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Stein\OneDrive\Documents\Masters Thesis Project\Publications\"/>
    </mc:Choice>
  </mc:AlternateContent>
  <xr:revisionPtr revIDLastSave="0" documentId="8_{EDCE6447-8F78-4A92-BD49-51E4BBA1B533}" xr6:coauthVersionLast="47" xr6:coauthVersionMax="47" xr10:uidLastSave="{00000000-0000-0000-0000-000000000000}"/>
  <bookViews>
    <workbookView xWindow="-120" yWindow="-120" windowWidth="20730" windowHeight="11040" tabRatio="613" xr2:uid="{594556E0-0B05-475C-9BDA-9B8571CD58DC}"/>
  </bookViews>
  <sheets>
    <sheet name="ANOVA Test Statistic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320" i="2" l="1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7" i="2"/>
  <c r="CB306" i="2"/>
  <c r="CB305" i="2"/>
  <c r="CB304" i="2"/>
  <c r="CB303" i="2"/>
  <c r="CB302" i="2"/>
  <c r="CB301" i="2"/>
  <c r="CB300" i="2"/>
  <c r="CB299" i="2"/>
  <c r="CB298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CB284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9" i="2"/>
  <c r="CB268" i="2"/>
  <c r="CB267" i="2"/>
  <c r="CB266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1" i="2"/>
  <c r="CB250" i="2"/>
  <c r="CB249" i="2"/>
  <c r="CB248" i="2"/>
  <c r="CB247" i="2"/>
  <c r="CB246" i="2"/>
  <c r="CB245" i="2"/>
  <c r="CB244" i="2"/>
  <c r="CB243" i="2"/>
  <c r="CB242" i="2"/>
  <c r="CB241" i="2"/>
  <c r="CB240" i="2"/>
  <c r="CB239" i="2"/>
  <c r="CB238" i="2"/>
  <c r="CB237" i="2"/>
  <c r="CB236" i="2"/>
  <c r="CB235" i="2"/>
  <c r="CB234" i="2"/>
  <c r="CB233" i="2"/>
  <c r="CB232" i="2"/>
  <c r="CB231" i="2"/>
  <c r="CB230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4" i="2"/>
  <c r="CB203" i="2"/>
  <c r="CB202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9" i="2"/>
  <c r="CB188" i="2"/>
  <c r="CB187" i="2"/>
  <c r="CB186" i="2"/>
  <c r="CB185" i="2"/>
  <c r="CB184" i="2"/>
  <c r="CB183" i="2"/>
  <c r="CB182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2" i="2"/>
  <c r="CB161" i="2"/>
  <c r="CB160" i="2"/>
  <c r="CB159" i="2"/>
  <c r="CB158" i="2"/>
  <c r="CB157" i="2"/>
  <c r="CB156" i="2"/>
  <c r="CB155" i="2"/>
  <c r="CB154" i="2"/>
  <c r="CB153" i="2"/>
  <c r="CB152" i="2"/>
  <c r="CB151" i="2"/>
  <c r="CB150" i="2"/>
  <c r="CB149" i="2"/>
  <c r="CB148" i="2"/>
  <c r="CB147" i="2"/>
  <c r="CB146" i="2"/>
  <c r="CB145" i="2"/>
  <c r="CB144" i="2"/>
  <c r="CB143" i="2"/>
  <c r="CB142" i="2"/>
  <c r="CB141" i="2"/>
  <c r="CB140" i="2"/>
  <c r="CB139" i="2"/>
  <c r="CB138" i="2"/>
  <c r="CB137" i="2"/>
  <c r="CB136" i="2"/>
  <c r="CB135" i="2"/>
  <c r="CB134" i="2"/>
  <c r="CB133" i="2"/>
  <c r="CB132" i="2"/>
  <c r="CB131" i="2"/>
  <c r="CB130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CB128" i="2"/>
  <c r="CB127" i="2"/>
  <c r="CB126" i="2"/>
  <c r="CB125" i="2"/>
  <c r="CB124" i="2"/>
  <c r="CB123" i="2"/>
  <c r="CB122" i="2"/>
  <c r="CB121" i="2"/>
  <c r="CB120" i="2"/>
  <c r="CB119" i="2"/>
  <c r="CB118" i="2"/>
  <c r="CB117" i="2"/>
  <c r="CB116" i="2"/>
  <c r="CB115" i="2"/>
  <c r="CB114" i="2"/>
  <c r="CB113" i="2"/>
  <c r="CB112" i="2"/>
  <c r="CB111" i="2"/>
  <c r="CB110" i="2"/>
  <c r="CB109" i="2"/>
  <c r="CB108" i="2"/>
  <c r="CB107" i="2"/>
  <c r="CB106" i="2"/>
  <c r="CB105" i="2"/>
  <c r="CB104" i="2"/>
  <c r="CB103" i="2"/>
  <c r="CB102" i="2"/>
  <c r="CB101" i="2"/>
  <c r="CB100" i="2"/>
  <c r="CB99" i="2"/>
  <c r="CB98" i="2"/>
  <c r="CB97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U10" i="2"/>
  <c r="BU9" i="2"/>
  <c r="BU8" i="2"/>
  <c r="BU7" i="2"/>
  <c r="BU6" i="2"/>
  <c r="BU5" i="2"/>
  <c r="BU4" i="2"/>
  <c r="BU3" i="2"/>
  <c r="BU2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50" i="2"/>
  <c r="CB49" i="2"/>
  <c r="CB48" i="2"/>
  <c r="CB47" i="2"/>
  <c r="CB46" i="2"/>
  <c r="CB45" i="2"/>
  <c r="CB44" i="2"/>
  <c r="CB43" i="2"/>
  <c r="CB42" i="2"/>
  <c r="CB41" i="2"/>
  <c r="CB40" i="2"/>
  <c r="CB38" i="2"/>
  <c r="CB37" i="2"/>
  <c r="CB36" i="2"/>
  <c r="CB35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8" i="2"/>
  <c r="CB17" i="2"/>
  <c r="CB16" i="2"/>
  <c r="CB15" i="2"/>
  <c r="CB14" i="2"/>
  <c r="CB13" i="2"/>
  <c r="CB12" i="2"/>
  <c r="CB11" i="2"/>
  <c r="CB10" i="2"/>
  <c r="CB9" i="2"/>
  <c r="CB8" i="2"/>
  <c r="CB7" i="2"/>
  <c r="CB6" i="2"/>
  <c r="CB5" i="2"/>
  <c r="CB4" i="2"/>
  <c r="CB3" i="2"/>
  <c r="CB2" i="2"/>
  <c r="CB1286" i="2"/>
  <c r="CB1285" i="2"/>
  <c r="CB1284" i="2"/>
  <c r="CB1283" i="2"/>
  <c r="CB1282" i="2"/>
  <c r="CB1281" i="2"/>
  <c r="CB1280" i="2"/>
  <c r="CB1279" i="2"/>
  <c r="CB1278" i="2"/>
  <c r="CB1277" i="2"/>
  <c r="CB1276" i="2"/>
  <c r="CB1275" i="2"/>
  <c r="CB1274" i="2"/>
  <c r="CB1273" i="2"/>
  <c r="CB1272" i="2"/>
  <c r="CB1271" i="2"/>
  <c r="CB1270" i="2"/>
  <c r="CB1269" i="2"/>
  <c r="CB1268" i="2"/>
  <c r="CB1267" i="2"/>
  <c r="CB1266" i="2"/>
  <c r="CB1265" i="2"/>
  <c r="CB1264" i="2"/>
  <c r="CB1263" i="2"/>
  <c r="CB1262" i="2"/>
  <c r="CB1261" i="2"/>
  <c r="CB1260" i="2"/>
  <c r="CB1259" i="2"/>
  <c r="CB1258" i="2"/>
  <c r="CB1257" i="2"/>
  <c r="CB1256" i="2"/>
  <c r="CB1255" i="2"/>
  <c r="CB1254" i="2"/>
  <c r="CB1253" i="2"/>
  <c r="CB1252" i="2"/>
  <c r="CB1251" i="2"/>
  <c r="CB1250" i="2"/>
  <c r="CB1249" i="2"/>
  <c r="CB1248" i="2"/>
  <c r="CB1247" i="2"/>
  <c r="CB1246" i="2"/>
  <c r="CB1245" i="2"/>
  <c r="CB1244" i="2"/>
  <c r="CB1243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CB1241" i="2"/>
  <c r="CB1240" i="2"/>
  <c r="CB1239" i="2"/>
  <c r="CB1238" i="2"/>
  <c r="CB1237" i="2"/>
  <c r="CB1236" i="2"/>
  <c r="CB1235" i="2"/>
  <c r="CB1234" i="2"/>
  <c r="CB1233" i="2"/>
  <c r="CB1232" i="2"/>
  <c r="CB1231" i="2"/>
  <c r="CB1230" i="2"/>
  <c r="CB1229" i="2"/>
  <c r="CB1228" i="2"/>
  <c r="CB1227" i="2"/>
  <c r="CB1226" i="2"/>
  <c r="CB1225" i="2"/>
  <c r="CB1224" i="2"/>
  <c r="CB1223" i="2"/>
  <c r="CB1222" i="2"/>
  <c r="CB1221" i="2"/>
  <c r="CB1220" i="2"/>
  <c r="CB1219" i="2"/>
  <c r="CB1218" i="2"/>
  <c r="CB1217" i="2"/>
  <c r="CB1216" i="2"/>
  <c r="CB1215" i="2"/>
  <c r="CB1214" i="2"/>
  <c r="CB1213" i="2"/>
  <c r="CB1212" i="2"/>
  <c r="CB1211" i="2"/>
  <c r="CB1210" i="2"/>
  <c r="CB1209" i="2"/>
  <c r="CB1208" i="2"/>
  <c r="CB1207" i="2"/>
  <c r="CB1206" i="2"/>
  <c r="CB1205" i="2"/>
  <c r="CB1204" i="2"/>
  <c r="CB1203" i="2"/>
  <c r="CB1202" i="2"/>
  <c r="CB1201" i="2"/>
  <c r="CB1200" i="2"/>
  <c r="CB1199" i="2"/>
  <c r="CB1198" i="2"/>
  <c r="CB1197" i="2"/>
  <c r="CB1196" i="2"/>
  <c r="CB1195" i="2"/>
  <c r="CB1194" i="2"/>
  <c r="CB1193" i="2"/>
  <c r="CB1192" i="2"/>
  <c r="CB1191" i="2"/>
  <c r="CB1190" i="2"/>
  <c r="CB1189" i="2"/>
  <c r="CB1188" i="2"/>
  <c r="CB1187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CB1185" i="2"/>
  <c r="CB1184" i="2"/>
  <c r="CB1183" i="2"/>
  <c r="CB1182" i="2"/>
  <c r="CB1181" i="2"/>
  <c r="CB1180" i="2"/>
  <c r="CB1179" i="2"/>
  <c r="CB1178" i="2"/>
  <c r="CB1177" i="2"/>
  <c r="CB1176" i="2"/>
  <c r="CB1175" i="2"/>
  <c r="CB1174" i="2"/>
  <c r="CB1173" i="2"/>
  <c r="CB1172" i="2"/>
  <c r="CB1171" i="2"/>
  <c r="CB1170" i="2"/>
  <c r="CB1169" i="2"/>
  <c r="CB1168" i="2"/>
  <c r="CB1167" i="2"/>
  <c r="CB1166" i="2"/>
  <c r="CB1165" i="2"/>
  <c r="CB1164" i="2"/>
  <c r="CB1163" i="2"/>
  <c r="CB1162" i="2"/>
  <c r="CB1161" i="2"/>
  <c r="CB1160" i="2"/>
  <c r="CB1159" i="2"/>
  <c r="CB1158" i="2"/>
  <c r="CB1157" i="2"/>
  <c r="CB1156" i="2"/>
  <c r="CB1155" i="2"/>
  <c r="CB1154" i="2"/>
  <c r="CB1153" i="2"/>
  <c r="CB1152" i="2"/>
  <c r="CB1151" i="2"/>
  <c r="CB1150" i="2"/>
  <c r="CB1149" i="2"/>
  <c r="CB1148" i="2"/>
  <c r="CB1147" i="2"/>
  <c r="CB1146" i="2"/>
  <c r="CB1145" i="2"/>
  <c r="CB1144" i="2"/>
  <c r="CB1143" i="2"/>
  <c r="CB1142" i="2"/>
  <c r="CB1141" i="2"/>
  <c r="CB1140" i="2"/>
  <c r="CB1139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CB1137" i="2"/>
  <c r="CB1136" i="2"/>
  <c r="CB1135" i="2"/>
  <c r="CB1134" i="2"/>
  <c r="CB1133" i="2"/>
  <c r="CB1132" i="2"/>
  <c r="CB1131" i="2"/>
  <c r="CB1130" i="2"/>
  <c r="CB1129" i="2"/>
  <c r="CB1128" i="2"/>
  <c r="CB1127" i="2"/>
  <c r="CB1126" i="2"/>
  <c r="CB1125" i="2"/>
  <c r="CB1123" i="2"/>
  <c r="CB1122" i="2"/>
  <c r="CB1121" i="2"/>
  <c r="CB1120" i="2"/>
  <c r="CB1119" i="2"/>
  <c r="CB1118" i="2"/>
  <c r="CB1117" i="2"/>
  <c r="CB1116" i="2"/>
  <c r="CB1115" i="2"/>
  <c r="CB1114" i="2"/>
  <c r="CB1113" i="2"/>
  <c r="CB1112" i="2"/>
  <c r="CB1111" i="2"/>
  <c r="CB1110" i="2"/>
  <c r="CB1109" i="2"/>
  <c r="CB1108" i="2"/>
  <c r="CB1107" i="2"/>
  <c r="CB1106" i="2"/>
  <c r="CB1105" i="2"/>
  <c r="CB1104" i="2"/>
  <c r="CB1103" i="2"/>
  <c r="CB1102" i="2"/>
  <c r="CB1101" i="2"/>
  <c r="CB1100" i="2"/>
  <c r="CB1099" i="2"/>
  <c r="CB1098" i="2"/>
  <c r="CB1097" i="2"/>
  <c r="CB1096" i="2"/>
  <c r="CB1095" i="2"/>
  <c r="CB1094" i="2"/>
  <c r="CB1093" i="2"/>
  <c r="CB1092" i="2"/>
  <c r="CB1091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CB1089" i="2"/>
  <c r="CB1088" i="2"/>
  <c r="CB1087" i="2"/>
  <c r="CB1086" i="2"/>
  <c r="CB1085" i="2"/>
  <c r="CB1084" i="2"/>
  <c r="CB1083" i="2"/>
  <c r="CB1082" i="2"/>
  <c r="CB1081" i="2"/>
  <c r="CB1080" i="2"/>
  <c r="CB1079" i="2"/>
  <c r="CB1078" i="2"/>
  <c r="CB1077" i="2"/>
  <c r="CB1076" i="2"/>
  <c r="CB1075" i="2"/>
  <c r="CB1074" i="2"/>
  <c r="CB1073" i="2"/>
  <c r="CB1072" i="2"/>
  <c r="CB1071" i="2"/>
  <c r="CB1070" i="2"/>
  <c r="CB1069" i="2"/>
  <c r="CB1068" i="2"/>
  <c r="CB1067" i="2"/>
  <c r="CB1066" i="2"/>
  <c r="CB1065" i="2"/>
  <c r="CB1064" i="2"/>
  <c r="CB1063" i="2"/>
  <c r="CB1062" i="2"/>
  <c r="CB1061" i="2"/>
  <c r="CB1060" i="2"/>
  <c r="CB1059" i="2"/>
  <c r="CB1058" i="2"/>
  <c r="CB1057" i="2"/>
  <c r="CB1055" i="2"/>
  <c r="CB1054" i="2"/>
  <c r="CB1053" i="2"/>
  <c r="CB1052" i="2"/>
  <c r="CB1051" i="2"/>
  <c r="CB1050" i="2"/>
  <c r="CB1049" i="2"/>
  <c r="CB1048" i="2"/>
  <c r="CB1047" i="2"/>
  <c r="CB1046" i="2"/>
  <c r="CB1045" i="2"/>
  <c r="CB1044" i="2"/>
  <c r="CB1043" i="2"/>
  <c r="CB1042" i="2"/>
  <c r="CB1041" i="2"/>
  <c r="CB1040" i="2"/>
  <c r="CB1039" i="2"/>
  <c r="CB1038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CB1036" i="2"/>
  <c r="CB1035" i="2"/>
  <c r="CB1034" i="2"/>
  <c r="CB1033" i="2"/>
  <c r="CB1032" i="2"/>
  <c r="CB1031" i="2"/>
  <c r="CB1030" i="2"/>
  <c r="CB1029" i="2"/>
  <c r="CB1028" i="2"/>
  <c r="CB1027" i="2"/>
  <c r="CB1026" i="2"/>
  <c r="CB1025" i="2"/>
  <c r="CB1024" i="2"/>
  <c r="CB1023" i="2"/>
  <c r="CB1022" i="2"/>
  <c r="CB1021" i="2"/>
  <c r="CB1020" i="2"/>
  <c r="CB1019" i="2"/>
  <c r="CB1018" i="2"/>
  <c r="CB1017" i="2"/>
  <c r="CB1016" i="2"/>
  <c r="CB1015" i="2"/>
  <c r="CB1014" i="2"/>
  <c r="CB1013" i="2"/>
  <c r="CB1012" i="2"/>
  <c r="CB1011" i="2"/>
  <c r="CB1009" i="2"/>
  <c r="CB1008" i="2"/>
  <c r="CB1007" i="2"/>
  <c r="CB1006" i="2"/>
  <c r="CB1005" i="2"/>
  <c r="CB1004" i="2"/>
  <c r="CB1003" i="2"/>
  <c r="CB1002" i="2"/>
  <c r="CB1001" i="2"/>
  <c r="CB1000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09" i="2"/>
  <c r="BU1008" i="2"/>
  <c r="BU1007" i="2"/>
  <c r="BU1006" i="2"/>
  <c r="BU1005" i="2"/>
  <c r="BU1004" i="2"/>
  <c r="BU1003" i="2"/>
  <c r="BU1002" i="2"/>
  <c r="BU1001" i="2"/>
  <c r="BU1000" i="2"/>
  <c r="CB998" i="2"/>
  <c r="CB997" i="2"/>
  <c r="CB996" i="2"/>
  <c r="CB995" i="2"/>
  <c r="CB994" i="2"/>
  <c r="CB993" i="2"/>
  <c r="CB992" i="2"/>
  <c r="CB991" i="2"/>
  <c r="CB990" i="2"/>
  <c r="CB989" i="2"/>
  <c r="CB988" i="2"/>
  <c r="CB987" i="2"/>
  <c r="CB986" i="2"/>
  <c r="CB985" i="2"/>
  <c r="CB984" i="2"/>
  <c r="CB983" i="2"/>
  <c r="CB982" i="2"/>
  <c r="CB981" i="2"/>
  <c r="CB980" i="2"/>
  <c r="CB979" i="2"/>
  <c r="CB978" i="2"/>
  <c r="CB977" i="2"/>
  <c r="CB976" i="2"/>
  <c r="CB975" i="2"/>
  <c r="CB974" i="2"/>
  <c r="CB973" i="2"/>
  <c r="CB972" i="2"/>
  <c r="CB971" i="2"/>
  <c r="CB970" i="2"/>
  <c r="CB969" i="2"/>
  <c r="CB968" i="2"/>
  <c r="CB967" i="2"/>
  <c r="CB966" i="2"/>
  <c r="CB965" i="2"/>
  <c r="CB964" i="2"/>
  <c r="CB963" i="2"/>
  <c r="CB962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CB960" i="2"/>
  <c r="CB959" i="2"/>
  <c r="CB958" i="2"/>
  <c r="CB957" i="2"/>
  <c r="CB956" i="2"/>
  <c r="CB955" i="2"/>
  <c r="CB954" i="2"/>
  <c r="CB953" i="2"/>
  <c r="CB952" i="2"/>
  <c r="CB951" i="2"/>
  <c r="CB950" i="2"/>
  <c r="CB949" i="2"/>
  <c r="CB948" i="2"/>
  <c r="CB947" i="2"/>
  <c r="CB946" i="2"/>
  <c r="CB945" i="2"/>
  <c r="CB944" i="2"/>
  <c r="CB943" i="2"/>
  <c r="CB942" i="2"/>
  <c r="CB941" i="2"/>
  <c r="CB940" i="2"/>
  <c r="CB939" i="2"/>
  <c r="CB938" i="2"/>
  <c r="CB937" i="2"/>
  <c r="CB936" i="2"/>
  <c r="CB935" i="2"/>
  <c r="CB934" i="2"/>
  <c r="CB933" i="2"/>
  <c r="CB932" i="2"/>
  <c r="CB931" i="2"/>
  <c r="CB930" i="2"/>
  <c r="CB929" i="2"/>
  <c r="CB928" i="2"/>
  <c r="CB927" i="2"/>
  <c r="CB926" i="2"/>
  <c r="CB925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CB923" i="2"/>
  <c r="CB922" i="2"/>
  <c r="CB921" i="2"/>
  <c r="CB920" i="2"/>
  <c r="CB919" i="2"/>
  <c r="CB918" i="2"/>
  <c r="CB917" i="2"/>
  <c r="CB916" i="2"/>
  <c r="CB915" i="2"/>
  <c r="CB914" i="2"/>
  <c r="CB913" i="2"/>
  <c r="CB912" i="2"/>
  <c r="CB911" i="2"/>
  <c r="CB910" i="2"/>
  <c r="CB909" i="2"/>
  <c r="CB908" i="2"/>
  <c r="CB907" i="2"/>
  <c r="CB906" i="2"/>
  <c r="CB905" i="2"/>
  <c r="CB904" i="2"/>
  <c r="CB903" i="2"/>
  <c r="CB902" i="2"/>
  <c r="CB901" i="2"/>
  <c r="CB900" i="2"/>
  <c r="CB899" i="2"/>
  <c r="CB898" i="2"/>
  <c r="CB897" i="2"/>
  <c r="CB896" i="2"/>
  <c r="CB895" i="2"/>
  <c r="CB894" i="2"/>
  <c r="CB893" i="2"/>
  <c r="CB892" i="2"/>
  <c r="CB891" i="2"/>
  <c r="CB890" i="2"/>
  <c r="CB889" i="2"/>
  <c r="CB888" i="2"/>
  <c r="CB887" i="2"/>
  <c r="CB886" i="2"/>
  <c r="CB885" i="2"/>
  <c r="CB884" i="2"/>
  <c r="CB883" i="2"/>
  <c r="CB882" i="2"/>
  <c r="CB881" i="2"/>
  <c r="CB880" i="2"/>
  <c r="CB879" i="2"/>
  <c r="CB878" i="2"/>
  <c r="CB877" i="2"/>
  <c r="CB876" i="2"/>
  <c r="CB875" i="2"/>
  <c r="CB874" i="2"/>
  <c r="CB873" i="2"/>
  <c r="CB872" i="2"/>
  <c r="CB871" i="2"/>
  <c r="CB870" i="2"/>
  <c r="CB869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CB867" i="2"/>
  <c r="CB866" i="2"/>
  <c r="CB865" i="2"/>
  <c r="CB864" i="2"/>
  <c r="CB863" i="2"/>
  <c r="CB862" i="2"/>
  <c r="CB861" i="2"/>
  <c r="CB860" i="2"/>
  <c r="CB859" i="2"/>
  <c r="CB858" i="2"/>
  <c r="CB857" i="2"/>
  <c r="CB856" i="2"/>
  <c r="CB855" i="2"/>
  <c r="CB854" i="2"/>
  <c r="CB853" i="2"/>
  <c r="CB852" i="2"/>
  <c r="CB851" i="2"/>
  <c r="CB850" i="2"/>
  <c r="CB849" i="2"/>
  <c r="CB848" i="2"/>
  <c r="CB847" i="2"/>
  <c r="CB846" i="2"/>
  <c r="CB845" i="2"/>
  <c r="CB844" i="2"/>
  <c r="CB843" i="2"/>
  <c r="CB842" i="2"/>
  <c r="CB841" i="2"/>
  <c r="CB840" i="2"/>
  <c r="CB839" i="2"/>
  <c r="CB838" i="2"/>
  <c r="CB837" i="2"/>
  <c r="CB836" i="2"/>
  <c r="CB835" i="2"/>
  <c r="CB834" i="2"/>
  <c r="CB833" i="2"/>
  <c r="CB832" i="2"/>
  <c r="CB831" i="2"/>
  <c r="CB830" i="2"/>
  <c r="CB829" i="2"/>
  <c r="CB828" i="2"/>
  <c r="CB827" i="2"/>
  <c r="CB826" i="2"/>
  <c r="CB825" i="2"/>
  <c r="CB824" i="2"/>
  <c r="CB823" i="2"/>
  <c r="CB822" i="2"/>
  <c r="CB821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CB819" i="2"/>
  <c r="CB818" i="2"/>
  <c r="CB817" i="2"/>
  <c r="CB816" i="2"/>
  <c r="CB815" i="2"/>
  <c r="CB814" i="2"/>
  <c r="CB813" i="2"/>
  <c r="CB812" i="2"/>
  <c r="CB811" i="2"/>
  <c r="CB810" i="2"/>
  <c r="CB809" i="2"/>
  <c r="CB808" i="2"/>
  <c r="CB807" i="2"/>
  <c r="CB806" i="2"/>
  <c r="CB805" i="2"/>
  <c r="CB804" i="2"/>
  <c r="CB803" i="2"/>
  <c r="CB802" i="2"/>
  <c r="CB800" i="2"/>
  <c r="CB799" i="2"/>
  <c r="CB798" i="2"/>
  <c r="CB797" i="2"/>
  <c r="CB796" i="2"/>
  <c r="CB795" i="2"/>
  <c r="CB794" i="2"/>
  <c r="CB793" i="2"/>
  <c r="CB792" i="2"/>
  <c r="CB791" i="2"/>
  <c r="CB790" i="2"/>
  <c r="CB789" i="2"/>
  <c r="CB788" i="2"/>
  <c r="CB787" i="2"/>
  <c r="CB786" i="2"/>
  <c r="CB785" i="2"/>
  <c r="CB784" i="2"/>
  <c r="CB783" i="2"/>
  <c r="CB782" i="2"/>
  <c r="CB781" i="2"/>
  <c r="CB780" i="2"/>
  <c r="CB779" i="2"/>
  <c r="CB778" i="2"/>
  <c r="CB777" i="2"/>
  <c r="CB776" i="2"/>
  <c r="CB775" i="2"/>
  <c r="CB774" i="2"/>
  <c r="CB773" i="2"/>
  <c r="CB772" i="2"/>
  <c r="CB771" i="2"/>
  <c r="CB770" i="2"/>
  <c r="CB769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CB767" i="2"/>
  <c r="CB766" i="2"/>
  <c r="CB765" i="2"/>
  <c r="CB764" i="2"/>
  <c r="CB763" i="2"/>
  <c r="CB762" i="2"/>
  <c r="CB761" i="2"/>
  <c r="CB760" i="2"/>
  <c r="CB759" i="2"/>
  <c r="CB758" i="2"/>
  <c r="CB757" i="2"/>
  <c r="CB756" i="2"/>
  <c r="CB755" i="2"/>
  <c r="CB754" i="2"/>
  <c r="CB753" i="2"/>
  <c r="CB752" i="2"/>
  <c r="CB751" i="2"/>
  <c r="CB750" i="2"/>
  <c r="CB749" i="2"/>
  <c r="CB748" i="2"/>
  <c r="CB747" i="2"/>
  <c r="CB746" i="2"/>
  <c r="CB745" i="2"/>
  <c r="CB744" i="2"/>
  <c r="CB743" i="2"/>
  <c r="CB742" i="2"/>
  <c r="CB741" i="2"/>
  <c r="CB740" i="2"/>
  <c r="CB739" i="2"/>
  <c r="CB738" i="2"/>
  <c r="CB737" i="2"/>
  <c r="CB736" i="2"/>
  <c r="CB735" i="2"/>
  <c r="CB734" i="2"/>
  <c r="CB733" i="2"/>
  <c r="CB732" i="2"/>
  <c r="CB731" i="2"/>
  <c r="CB730" i="2"/>
  <c r="CB729" i="2"/>
  <c r="CB728" i="2"/>
  <c r="CB727" i="2"/>
  <c r="CB726" i="2"/>
  <c r="CB725" i="2"/>
  <c r="CB724" i="2"/>
  <c r="CB723" i="2"/>
  <c r="CB722" i="2"/>
  <c r="CB721" i="2"/>
  <c r="CB720" i="2"/>
  <c r="CB719" i="2"/>
  <c r="CB718" i="2"/>
  <c r="CB717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CB715" i="2"/>
  <c r="CB714" i="2"/>
  <c r="CB713" i="2"/>
  <c r="CB712" i="2"/>
  <c r="CB711" i="2"/>
  <c r="CB710" i="2"/>
  <c r="CB709" i="2"/>
  <c r="CB708" i="2"/>
  <c r="CB707" i="2"/>
  <c r="CB706" i="2"/>
  <c r="CB705" i="2"/>
  <c r="CB704" i="2"/>
  <c r="CB703" i="2"/>
  <c r="CB702" i="2"/>
  <c r="CB701" i="2"/>
  <c r="CB700" i="2"/>
  <c r="CB699" i="2"/>
  <c r="CB698" i="2"/>
  <c r="CB697" i="2"/>
  <c r="CB696" i="2"/>
  <c r="CB695" i="2"/>
  <c r="CB694" i="2"/>
  <c r="CB693" i="2"/>
  <c r="CB692" i="2"/>
  <c r="CB691" i="2"/>
  <c r="CB690" i="2"/>
  <c r="CB688" i="2"/>
  <c r="CB687" i="2"/>
  <c r="CB686" i="2"/>
  <c r="CB685" i="2"/>
  <c r="CB684" i="2"/>
  <c r="CB683" i="2"/>
  <c r="CB682" i="2"/>
  <c r="CB681" i="2"/>
  <c r="CB680" i="2"/>
  <c r="CB679" i="2"/>
  <c r="CB678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8" i="2"/>
  <c r="BU687" i="2"/>
  <c r="BU686" i="2"/>
  <c r="BU685" i="2"/>
  <c r="BU684" i="2"/>
  <c r="BU683" i="2"/>
  <c r="BU682" i="2"/>
  <c r="BU681" i="2"/>
  <c r="BU680" i="2"/>
  <c r="BU679" i="2"/>
  <c r="BU678" i="2"/>
  <c r="CB676" i="2"/>
  <c r="CB675" i="2"/>
  <c r="CB674" i="2"/>
  <c r="CB673" i="2"/>
  <c r="CB672" i="2"/>
  <c r="CB671" i="2"/>
  <c r="CB670" i="2"/>
  <c r="CB669" i="2"/>
  <c r="CB668" i="2"/>
  <c r="CB667" i="2"/>
  <c r="CB666" i="2"/>
  <c r="CB665" i="2"/>
  <c r="CB664" i="2"/>
  <c r="CB663" i="2"/>
  <c r="CB662" i="2"/>
  <c r="CB661" i="2"/>
  <c r="CB660" i="2"/>
  <c r="CB659" i="2"/>
  <c r="CB658" i="2"/>
  <c r="CB657" i="2"/>
  <c r="CB656" i="2"/>
  <c r="CB655" i="2"/>
  <c r="CB654" i="2"/>
  <c r="CB653" i="2"/>
  <c r="CB652" i="2"/>
  <c r="CB651" i="2"/>
  <c r="CB650" i="2"/>
  <c r="CB649" i="2"/>
  <c r="CB648" i="2"/>
  <c r="CB647" i="2"/>
  <c r="CB646" i="2"/>
  <c r="CB645" i="2"/>
  <c r="CB644" i="2"/>
  <c r="CB643" i="2"/>
  <c r="CB642" i="2"/>
  <c r="CB641" i="2"/>
  <c r="CB640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CB638" i="2"/>
  <c r="CB637" i="2"/>
  <c r="CB636" i="2"/>
  <c r="CB635" i="2"/>
  <c r="CB634" i="2"/>
  <c r="CB633" i="2"/>
  <c r="CB632" i="2"/>
  <c r="CB631" i="2"/>
  <c r="CB630" i="2"/>
  <c r="CB629" i="2"/>
  <c r="CB628" i="2"/>
  <c r="CB627" i="2"/>
  <c r="CB626" i="2"/>
  <c r="CB625" i="2"/>
  <c r="CB624" i="2"/>
  <c r="CB623" i="2"/>
  <c r="CB622" i="2"/>
  <c r="CB621" i="2"/>
  <c r="CB620" i="2"/>
  <c r="CB619" i="2"/>
  <c r="CB618" i="2"/>
  <c r="CB617" i="2"/>
  <c r="CB616" i="2"/>
  <c r="CB615" i="2"/>
  <c r="CB614" i="2"/>
  <c r="CB613" i="2"/>
  <c r="CB612" i="2"/>
  <c r="CB611" i="2"/>
  <c r="CB610" i="2"/>
  <c r="CB609" i="2"/>
  <c r="CB608" i="2"/>
  <c r="CB607" i="2"/>
  <c r="CB606" i="2"/>
  <c r="CB605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CB603" i="2"/>
  <c r="CB602" i="2"/>
  <c r="CB601" i="2"/>
  <c r="CB600" i="2"/>
  <c r="CB599" i="2"/>
  <c r="CB598" i="2"/>
  <c r="CB597" i="2"/>
  <c r="CB596" i="2"/>
  <c r="CB595" i="2"/>
  <c r="CB594" i="2"/>
  <c r="CB593" i="2"/>
  <c r="CB592" i="2"/>
  <c r="CB591" i="2"/>
  <c r="CB590" i="2"/>
  <c r="CB589" i="2"/>
  <c r="CB588" i="2"/>
  <c r="CB587" i="2"/>
  <c r="CB586" i="2"/>
  <c r="CB585" i="2"/>
  <c r="CB584" i="2"/>
  <c r="CB583" i="2"/>
  <c r="CB582" i="2"/>
  <c r="CB581" i="2"/>
  <c r="CB580" i="2"/>
  <c r="CB579" i="2"/>
  <c r="CB578" i="2"/>
  <c r="CB577" i="2"/>
  <c r="CB576" i="2"/>
  <c r="CB575" i="2"/>
  <c r="CB574" i="2"/>
  <c r="CB573" i="2"/>
  <c r="CB572" i="2"/>
  <c r="CB571" i="2"/>
  <c r="CB570" i="2"/>
  <c r="CB569" i="2"/>
  <c r="CB568" i="2"/>
  <c r="CB567" i="2"/>
  <c r="CB566" i="2"/>
  <c r="CB565" i="2"/>
  <c r="CB564" i="2"/>
  <c r="CB563" i="2"/>
  <c r="CB562" i="2"/>
  <c r="CB561" i="2"/>
  <c r="CB560" i="2"/>
  <c r="CB559" i="2"/>
  <c r="CB558" i="2"/>
  <c r="CB557" i="2"/>
  <c r="CB556" i="2"/>
  <c r="CB555" i="2"/>
  <c r="CB554" i="2"/>
  <c r="CB553" i="2"/>
  <c r="CB552" i="2"/>
  <c r="CB551" i="2"/>
  <c r="CB550" i="2"/>
  <c r="CB549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CB547" i="2"/>
  <c r="CB546" i="2"/>
  <c r="CB545" i="2"/>
  <c r="CB544" i="2"/>
  <c r="CB543" i="2"/>
  <c r="CB542" i="2"/>
  <c r="CB541" i="2"/>
  <c r="CB540" i="2"/>
  <c r="CB539" i="2"/>
  <c r="CB538" i="2"/>
  <c r="CB537" i="2"/>
  <c r="CB536" i="2"/>
  <c r="CB535" i="2"/>
  <c r="CB534" i="2"/>
  <c r="CB533" i="2"/>
  <c r="CB532" i="2"/>
  <c r="CB531" i="2"/>
  <c r="CB530" i="2"/>
  <c r="CB529" i="2"/>
  <c r="CB528" i="2"/>
  <c r="CB527" i="2"/>
  <c r="CB526" i="2"/>
  <c r="CB525" i="2"/>
  <c r="CB524" i="2"/>
  <c r="CB523" i="2"/>
  <c r="CB522" i="2"/>
  <c r="CB521" i="2"/>
  <c r="CB520" i="2"/>
  <c r="CB519" i="2"/>
  <c r="CB518" i="2"/>
  <c r="CB517" i="2"/>
  <c r="CB516" i="2"/>
  <c r="CB515" i="2"/>
  <c r="CB514" i="2"/>
  <c r="CB513" i="2"/>
  <c r="CB512" i="2"/>
  <c r="CB511" i="2"/>
  <c r="CB510" i="2"/>
  <c r="CB509" i="2"/>
  <c r="CB508" i="2"/>
  <c r="CB507" i="2"/>
  <c r="CB506" i="2"/>
  <c r="CB505" i="2"/>
  <c r="CB504" i="2"/>
  <c r="CB503" i="2"/>
  <c r="CB502" i="2"/>
  <c r="CB501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CB499" i="2"/>
  <c r="CB498" i="2"/>
  <c r="CB497" i="2"/>
  <c r="CB496" i="2"/>
  <c r="CB495" i="2"/>
  <c r="CB494" i="2"/>
  <c r="CB493" i="2"/>
  <c r="CB492" i="2"/>
  <c r="CB491" i="2"/>
  <c r="CB490" i="2"/>
  <c r="CB489" i="2"/>
  <c r="CB488" i="2"/>
  <c r="CB487" i="2"/>
  <c r="CB486" i="2"/>
  <c r="CB485" i="2"/>
  <c r="CB484" i="2"/>
  <c r="CB483" i="2"/>
  <c r="CB481" i="2"/>
  <c r="CB480" i="2"/>
  <c r="CB479" i="2"/>
  <c r="CB478" i="2"/>
  <c r="CB477" i="2"/>
  <c r="CB476" i="2"/>
  <c r="CB475" i="2"/>
  <c r="CB474" i="2"/>
  <c r="CB473" i="2"/>
  <c r="CB472" i="2"/>
  <c r="CB471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1" i="2"/>
  <c r="CB450" i="2"/>
  <c r="CB449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30" i="2"/>
  <c r="CB429" i="2"/>
  <c r="CB428" i="2"/>
  <c r="CB427" i="2"/>
  <c r="CB426" i="2"/>
  <c r="CB425" i="2"/>
  <c r="CB424" i="2"/>
  <c r="CB423" i="2"/>
  <c r="CB422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9" i="2"/>
  <c r="CB408" i="2"/>
  <c r="CB407" i="2"/>
  <c r="CB406" i="2"/>
  <c r="CB405" i="2"/>
  <c r="CB404" i="2"/>
  <c r="CB403" i="2"/>
  <c r="CB402" i="2"/>
  <c r="CB401" i="2"/>
  <c r="CB400" i="2"/>
  <c r="CB399" i="2"/>
  <c r="CB39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CB358" i="2"/>
  <c r="CB357" i="2"/>
  <c r="CB356" i="2"/>
  <c r="CB355" i="2"/>
  <c r="CB354" i="2"/>
  <c r="CB353" i="2"/>
  <c r="CB352" i="2"/>
  <c r="CB351" i="2"/>
  <c r="CB350" i="2"/>
  <c r="CB349" i="2"/>
  <c r="CB348" i="2"/>
  <c r="CB347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BU325" i="2"/>
  <c r="BU324" i="2"/>
  <c r="BU323" i="2"/>
  <c r="BU322" i="2"/>
  <c r="O1448" i="2" l="1"/>
  <c r="N1448" i="2"/>
  <c r="O1441" i="2"/>
  <c r="N1441" i="2"/>
  <c r="O1121" i="2"/>
  <c r="N1121" i="2"/>
  <c r="O1114" i="2"/>
  <c r="N1114" i="2"/>
  <c r="O472" i="2"/>
  <c r="N472" i="2"/>
  <c r="O798" i="2"/>
  <c r="N798" i="2"/>
  <c r="O791" i="2"/>
  <c r="N791" i="2"/>
  <c r="O479" i="2"/>
  <c r="N479" i="2"/>
  <c r="N160" i="2"/>
  <c r="O160" i="2"/>
  <c r="O153" i="2"/>
  <c r="N153" i="2"/>
  <c r="Y1613" i="2"/>
  <c r="X1613" i="2"/>
  <c r="Y1612" i="2"/>
  <c r="X1612" i="2"/>
  <c r="Y1611" i="2"/>
  <c r="X1611" i="2"/>
  <c r="Y1610" i="2"/>
  <c r="X1610" i="2"/>
  <c r="Y1609" i="2"/>
  <c r="X1609" i="2"/>
  <c r="Y1608" i="2"/>
  <c r="X1608" i="2"/>
  <c r="Y1607" i="2"/>
  <c r="X1607" i="2"/>
  <c r="Y1606" i="2"/>
  <c r="X1606" i="2"/>
  <c r="Y1605" i="2"/>
  <c r="X1605" i="2"/>
  <c r="Y1604" i="2"/>
  <c r="X1604" i="2"/>
  <c r="Y1603" i="2"/>
  <c r="X1603" i="2"/>
  <c r="Y1602" i="2"/>
  <c r="X1602" i="2"/>
  <c r="Y1601" i="2"/>
  <c r="X1601" i="2"/>
  <c r="Y1600" i="2"/>
  <c r="X1600" i="2"/>
  <c r="Y1599" i="2"/>
  <c r="X1599" i="2"/>
  <c r="Y1598" i="2"/>
  <c r="X1598" i="2"/>
  <c r="Y1597" i="2"/>
  <c r="X1597" i="2"/>
  <c r="Y1596" i="2"/>
  <c r="X1596" i="2"/>
  <c r="Y1595" i="2"/>
  <c r="X1595" i="2"/>
  <c r="Y1594" i="2"/>
  <c r="X1594" i="2"/>
  <c r="Y1593" i="2"/>
  <c r="X1593" i="2"/>
  <c r="Y1592" i="2"/>
  <c r="X1592" i="2"/>
  <c r="Y1591" i="2"/>
  <c r="X1591" i="2"/>
  <c r="Y1590" i="2"/>
  <c r="X1590" i="2"/>
  <c r="Y1589" i="2"/>
  <c r="X1589" i="2"/>
  <c r="Y1588" i="2"/>
  <c r="X1588" i="2"/>
  <c r="Y1587" i="2"/>
  <c r="X1587" i="2"/>
  <c r="Y1586" i="2"/>
  <c r="X1586" i="2"/>
  <c r="Y1585" i="2"/>
  <c r="X1585" i="2"/>
  <c r="Y1584" i="2"/>
  <c r="X1584" i="2"/>
  <c r="Y1583" i="2"/>
  <c r="X1583" i="2"/>
  <c r="Y1582" i="2"/>
  <c r="X1582" i="2"/>
  <c r="Y1581" i="2"/>
  <c r="X1581" i="2"/>
  <c r="Y1580" i="2"/>
  <c r="X1580" i="2"/>
  <c r="Y1579" i="2"/>
  <c r="X1579" i="2"/>
  <c r="Y1578" i="2"/>
  <c r="X1578" i="2"/>
  <c r="Y1577" i="2"/>
  <c r="X1577" i="2"/>
  <c r="Y1576" i="2"/>
  <c r="X1576" i="2"/>
  <c r="Y1575" i="2"/>
  <c r="X1575" i="2"/>
  <c r="Y1574" i="2"/>
  <c r="X1574" i="2"/>
  <c r="Y1573" i="2"/>
  <c r="X1573" i="2"/>
  <c r="Y1572" i="2"/>
  <c r="X1572" i="2"/>
  <c r="Y1571" i="2"/>
  <c r="X1571" i="2"/>
  <c r="Y1570" i="2"/>
  <c r="X1570" i="2"/>
  <c r="Y1568" i="2"/>
  <c r="X1568" i="2"/>
  <c r="Y1567" i="2"/>
  <c r="X1567" i="2"/>
  <c r="Y1566" i="2"/>
  <c r="X1566" i="2"/>
  <c r="Y1565" i="2"/>
  <c r="X1565" i="2"/>
  <c r="Y1564" i="2"/>
  <c r="X1564" i="2"/>
  <c r="Y1563" i="2"/>
  <c r="X1563" i="2"/>
  <c r="Y1562" i="2"/>
  <c r="X1562" i="2"/>
  <c r="Y1561" i="2"/>
  <c r="X1561" i="2"/>
  <c r="Y1560" i="2"/>
  <c r="X1560" i="2"/>
  <c r="Y1559" i="2"/>
  <c r="X1559" i="2"/>
  <c r="Y1558" i="2"/>
  <c r="X1558" i="2"/>
  <c r="Y1557" i="2"/>
  <c r="X1557" i="2"/>
  <c r="Y1556" i="2"/>
  <c r="X1556" i="2"/>
  <c r="Y1555" i="2"/>
  <c r="X1555" i="2"/>
  <c r="Y1554" i="2"/>
  <c r="X1554" i="2"/>
  <c r="Y1553" i="2"/>
  <c r="X1553" i="2"/>
  <c r="Y1552" i="2"/>
  <c r="X1552" i="2"/>
  <c r="Y1551" i="2"/>
  <c r="X1551" i="2"/>
  <c r="Y1550" i="2"/>
  <c r="X1550" i="2"/>
  <c r="Y1549" i="2"/>
  <c r="X1549" i="2"/>
  <c r="Y1548" i="2"/>
  <c r="X1548" i="2"/>
  <c r="Y1547" i="2"/>
  <c r="X1547" i="2"/>
  <c r="Y1546" i="2"/>
  <c r="X1546" i="2"/>
  <c r="Y1545" i="2"/>
  <c r="X1545" i="2"/>
  <c r="Y1544" i="2"/>
  <c r="X1544" i="2"/>
  <c r="Y1543" i="2"/>
  <c r="X1543" i="2"/>
  <c r="Y1542" i="2"/>
  <c r="X1542" i="2"/>
  <c r="Y1541" i="2"/>
  <c r="X1541" i="2"/>
  <c r="Y1540" i="2"/>
  <c r="X1540" i="2"/>
  <c r="Y1539" i="2"/>
  <c r="X1539" i="2"/>
  <c r="Y1538" i="2"/>
  <c r="X1538" i="2"/>
  <c r="Y1537" i="2"/>
  <c r="X1537" i="2"/>
  <c r="Y1536" i="2"/>
  <c r="X1536" i="2"/>
  <c r="Y1535" i="2"/>
  <c r="X1535" i="2"/>
  <c r="Y1534" i="2"/>
  <c r="X1534" i="2"/>
  <c r="Y1533" i="2"/>
  <c r="X1533" i="2"/>
  <c r="Y1532" i="2"/>
  <c r="X1532" i="2"/>
  <c r="Y1531" i="2"/>
  <c r="X1531" i="2"/>
  <c r="Y1530" i="2"/>
  <c r="X1530" i="2"/>
  <c r="Y1529" i="2"/>
  <c r="X1529" i="2"/>
  <c r="Y1528" i="2"/>
  <c r="X1528" i="2"/>
  <c r="Y1527" i="2"/>
  <c r="X1527" i="2"/>
  <c r="Y1526" i="2"/>
  <c r="X1526" i="2"/>
  <c r="Y1525" i="2"/>
  <c r="X1525" i="2"/>
  <c r="Y1524" i="2"/>
  <c r="X1524" i="2"/>
  <c r="Y1523" i="2"/>
  <c r="X1523" i="2"/>
  <c r="Y1522" i="2"/>
  <c r="X1522" i="2"/>
  <c r="Y1521" i="2"/>
  <c r="X1521" i="2"/>
  <c r="Y1520" i="2"/>
  <c r="X1520" i="2"/>
  <c r="Y1519" i="2"/>
  <c r="X1519" i="2"/>
  <c r="Y1518" i="2"/>
  <c r="X1518" i="2"/>
  <c r="Y1517" i="2"/>
  <c r="X1517" i="2"/>
  <c r="Y1516" i="2"/>
  <c r="X1516" i="2"/>
  <c r="Y1515" i="2"/>
  <c r="X1515" i="2"/>
  <c r="Y1514" i="2"/>
  <c r="X1514" i="2"/>
  <c r="Y1512" i="2"/>
  <c r="X1512" i="2"/>
  <c r="Y1511" i="2"/>
  <c r="X1511" i="2"/>
  <c r="Y1510" i="2"/>
  <c r="X1510" i="2"/>
  <c r="Y1509" i="2"/>
  <c r="X1509" i="2"/>
  <c r="Y1508" i="2"/>
  <c r="X1508" i="2"/>
  <c r="Y1507" i="2"/>
  <c r="X1507" i="2"/>
  <c r="Y1506" i="2"/>
  <c r="X1506" i="2"/>
  <c r="Y1505" i="2"/>
  <c r="X1505" i="2"/>
  <c r="Y1504" i="2"/>
  <c r="X1504" i="2"/>
  <c r="Y1503" i="2"/>
  <c r="X1503" i="2"/>
  <c r="Y1502" i="2"/>
  <c r="X1502" i="2"/>
  <c r="Y1501" i="2"/>
  <c r="X1501" i="2"/>
  <c r="Y1500" i="2"/>
  <c r="X1500" i="2"/>
  <c r="Y1499" i="2"/>
  <c r="X1499" i="2"/>
  <c r="Y1498" i="2"/>
  <c r="X1498" i="2"/>
  <c r="Y1497" i="2"/>
  <c r="X1497" i="2"/>
  <c r="Y1496" i="2"/>
  <c r="X1496" i="2"/>
  <c r="Y1495" i="2"/>
  <c r="X1495" i="2"/>
  <c r="Y1494" i="2"/>
  <c r="X1494" i="2"/>
  <c r="Y1493" i="2"/>
  <c r="X1493" i="2"/>
  <c r="Y1492" i="2"/>
  <c r="X1492" i="2"/>
  <c r="Y1491" i="2"/>
  <c r="X1491" i="2"/>
  <c r="Y1490" i="2"/>
  <c r="X1490" i="2"/>
  <c r="Y1489" i="2"/>
  <c r="X1489" i="2"/>
  <c r="Y1488" i="2"/>
  <c r="X1488" i="2"/>
  <c r="Y1487" i="2"/>
  <c r="X1487" i="2"/>
  <c r="Y1486" i="2"/>
  <c r="X1486" i="2"/>
  <c r="Y1485" i="2"/>
  <c r="X1485" i="2"/>
  <c r="Y1484" i="2"/>
  <c r="X1484" i="2"/>
  <c r="Y1483" i="2"/>
  <c r="X1483" i="2"/>
  <c r="Y1482" i="2"/>
  <c r="X1482" i="2"/>
  <c r="Y1481" i="2"/>
  <c r="X1481" i="2"/>
  <c r="Y1480" i="2"/>
  <c r="X1480" i="2"/>
  <c r="Y1479" i="2"/>
  <c r="X1479" i="2"/>
  <c r="Y1478" i="2"/>
  <c r="X1478" i="2"/>
  <c r="Y1477" i="2"/>
  <c r="X1477" i="2"/>
  <c r="Y1476" i="2"/>
  <c r="X1476" i="2"/>
  <c r="Y1475" i="2"/>
  <c r="X1475" i="2"/>
  <c r="Y1474" i="2"/>
  <c r="X1474" i="2"/>
  <c r="Y1473" i="2"/>
  <c r="X1473" i="2"/>
  <c r="Y1472" i="2"/>
  <c r="X1472" i="2"/>
  <c r="Y1471" i="2"/>
  <c r="X1471" i="2"/>
  <c r="Y1470" i="2"/>
  <c r="X1470" i="2"/>
  <c r="Y1469" i="2"/>
  <c r="X1469" i="2"/>
  <c r="Y1468" i="2"/>
  <c r="X1468" i="2"/>
  <c r="Y1467" i="2"/>
  <c r="X1467" i="2"/>
  <c r="Y1466" i="2"/>
  <c r="X1466" i="2"/>
  <c r="Y1464" i="2"/>
  <c r="X1464" i="2"/>
  <c r="Y1463" i="2"/>
  <c r="X1463" i="2"/>
  <c r="Y1462" i="2"/>
  <c r="X1462" i="2"/>
  <c r="Y1461" i="2"/>
  <c r="X1461" i="2"/>
  <c r="Y1460" i="2"/>
  <c r="X1460" i="2"/>
  <c r="Y1459" i="2"/>
  <c r="X1459" i="2"/>
  <c r="Y1458" i="2"/>
  <c r="X1458" i="2"/>
  <c r="Y1457" i="2"/>
  <c r="X1457" i="2"/>
  <c r="Y1456" i="2"/>
  <c r="X1456" i="2"/>
  <c r="Y1455" i="2"/>
  <c r="X1455" i="2"/>
  <c r="Y1454" i="2"/>
  <c r="X1454" i="2"/>
  <c r="Y1453" i="2"/>
  <c r="X1453" i="2"/>
  <c r="Y1452" i="2"/>
  <c r="X1452" i="2"/>
  <c r="Y1451" i="2"/>
  <c r="X1451" i="2"/>
  <c r="Y1450" i="2"/>
  <c r="X1450" i="2"/>
  <c r="Y1449" i="2"/>
  <c r="X1449" i="2"/>
  <c r="Y1448" i="2"/>
  <c r="X1448" i="2"/>
  <c r="Y1447" i="2"/>
  <c r="X1447" i="2"/>
  <c r="Y1446" i="2"/>
  <c r="X1446" i="2"/>
  <c r="Y1445" i="2"/>
  <c r="X1445" i="2"/>
  <c r="Y1444" i="2"/>
  <c r="X1444" i="2"/>
  <c r="Y1443" i="2"/>
  <c r="X1443" i="2"/>
  <c r="Y1442" i="2"/>
  <c r="X1442" i="2"/>
  <c r="Y1441" i="2"/>
  <c r="X1441" i="2"/>
  <c r="Y1440" i="2"/>
  <c r="X1440" i="2"/>
  <c r="Y1439" i="2"/>
  <c r="X1439" i="2"/>
  <c r="Y1438" i="2"/>
  <c r="X1438" i="2"/>
  <c r="Y1437" i="2"/>
  <c r="X1437" i="2"/>
  <c r="Y1436" i="2"/>
  <c r="X1436" i="2"/>
  <c r="Y1435" i="2"/>
  <c r="X1435" i="2"/>
  <c r="Y1434" i="2"/>
  <c r="X1434" i="2"/>
  <c r="Y1433" i="2"/>
  <c r="X1433" i="2"/>
  <c r="Y1432" i="2"/>
  <c r="X1432" i="2"/>
  <c r="Y1431" i="2"/>
  <c r="X1431" i="2"/>
  <c r="Y1430" i="2"/>
  <c r="X1430" i="2"/>
  <c r="Y1429" i="2"/>
  <c r="X1429" i="2"/>
  <c r="Y1428" i="2"/>
  <c r="X1428" i="2"/>
  <c r="Y1427" i="2"/>
  <c r="X1427" i="2"/>
  <c r="Y1426" i="2"/>
  <c r="X1426" i="2"/>
  <c r="Y1425" i="2"/>
  <c r="X1425" i="2"/>
  <c r="Y1424" i="2"/>
  <c r="X1424" i="2"/>
  <c r="Y1423" i="2"/>
  <c r="X1423" i="2"/>
  <c r="Y1422" i="2"/>
  <c r="X1422" i="2"/>
  <c r="Y1421" i="2"/>
  <c r="X1421" i="2"/>
  <c r="Y1420" i="2"/>
  <c r="X1420" i="2"/>
  <c r="Y1419" i="2"/>
  <c r="X1419" i="2"/>
  <c r="Y1418" i="2"/>
  <c r="X1418" i="2"/>
  <c r="Y1416" i="2"/>
  <c r="X1416" i="2"/>
  <c r="Y1415" i="2"/>
  <c r="X1415" i="2"/>
  <c r="Y1414" i="2"/>
  <c r="X1414" i="2"/>
  <c r="Y1413" i="2"/>
  <c r="X1413" i="2"/>
  <c r="Y1412" i="2"/>
  <c r="X1412" i="2"/>
  <c r="Y1411" i="2"/>
  <c r="X1411" i="2"/>
  <c r="Y1410" i="2"/>
  <c r="X1410" i="2"/>
  <c r="Y1409" i="2"/>
  <c r="X1409" i="2"/>
  <c r="Y1408" i="2"/>
  <c r="X1408" i="2"/>
  <c r="Y1407" i="2"/>
  <c r="X1407" i="2"/>
  <c r="Y1406" i="2"/>
  <c r="X1406" i="2"/>
  <c r="Y1405" i="2"/>
  <c r="X1405" i="2"/>
  <c r="Y1404" i="2"/>
  <c r="X1404" i="2"/>
  <c r="Y1403" i="2"/>
  <c r="X1403" i="2"/>
  <c r="Y1402" i="2"/>
  <c r="X1402" i="2"/>
  <c r="Y1401" i="2"/>
  <c r="X1401" i="2"/>
  <c r="Y1400" i="2"/>
  <c r="X1400" i="2"/>
  <c r="Y1399" i="2"/>
  <c r="X1399" i="2"/>
  <c r="Y1398" i="2"/>
  <c r="X1398" i="2"/>
  <c r="Y1397" i="2"/>
  <c r="X1397" i="2"/>
  <c r="Y1396" i="2"/>
  <c r="X1396" i="2"/>
  <c r="Y1395" i="2"/>
  <c r="X1395" i="2"/>
  <c r="Y1394" i="2"/>
  <c r="X1394" i="2"/>
  <c r="Y1393" i="2"/>
  <c r="X1393" i="2"/>
  <c r="Y1392" i="2"/>
  <c r="X1392" i="2"/>
  <c r="Y1391" i="2"/>
  <c r="X1391" i="2"/>
  <c r="Y1390" i="2"/>
  <c r="X1390" i="2"/>
  <c r="Y1389" i="2"/>
  <c r="X1389" i="2"/>
  <c r="Y1388" i="2"/>
  <c r="X1388" i="2"/>
  <c r="Y1387" i="2"/>
  <c r="X1387" i="2"/>
  <c r="Y1386" i="2"/>
  <c r="X1386" i="2"/>
  <c r="Y1385" i="2"/>
  <c r="X1385" i="2"/>
  <c r="Y1384" i="2"/>
  <c r="X1384" i="2"/>
  <c r="Y1383" i="2"/>
  <c r="X1383" i="2"/>
  <c r="Y1382" i="2"/>
  <c r="X1382" i="2"/>
  <c r="Y1381" i="2"/>
  <c r="X1381" i="2"/>
  <c r="Y1380" i="2"/>
  <c r="X1380" i="2"/>
  <c r="Y1379" i="2"/>
  <c r="X1379" i="2"/>
  <c r="Y1378" i="2"/>
  <c r="X1378" i="2"/>
  <c r="Y1377" i="2"/>
  <c r="X1377" i="2"/>
  <c r="Y1376" i="2"/>
  <c r="X1376" i="2"/>
  <c r="Y1375" i="2"/>
  <c r="X1375" i="2"/>
  <c r="Y1374" i="2"/>
  <c r="X1374" i="2"/>
  <c r="Y1373" i="2"/>
  <c r="X1373" i="2"/>
  <c r="Y1372" i="2"/>
  <c r="X1372" i="2"/>
  <c r="Y1371" i="2"/>
  <c r="X1371" i="2"/>
  <c r="Y1370" i="2"/>
  <c r="X1370" i="2"/>
  <c r="Y1369" i="2"/>
  <c r="X1369" i="2"/>
  <c r="Y1368" i="2"/>
  <c r="X1368" i="2"/>
  <c r="Y1367" i="2"/>
  <c r="X1367" i="2"/>
  <c r="Y1366" i="2"/>
  <c r="X1366" i="2"/>
  <c r="Y1365" i="2"/>
  <c r="X1365" i="2"/>
  <c r="Y1364" i="2"/>
  <c r="X1364" i="2"/>
  <c r="Y1362" i="2"/>
  <c r="X1362" i="2"/>
  <c r="Y1361" i="2"/>
  <c r="X1361" i="2"/>
  <c r="Y1360" i="2"/>
  <c r="X1360" i="2"/>
  <c r="Y1359" i="2"/>
  <c r="X1359" i="2"/>
  <c r="Y1358" i="2"/>
  <c r="X1358" i="2"/>
  <c r="Y1357" i="2"/>
  <c r="X1357" i="2"/>
  <c r="Y1356" i="2"/>
  <c r="X1356" i="2"/>
  <c r="Y1355" i="2"/>
  <c r="X1355" i="2"/>
  <c r="Y1354" i="2"/>
  <c r="X1354" i="2"/>
  <c r="Y1353" i="2"/>
  <c r="X1353" i="2"/>
  <c r="Y1352" i="2"/>
  <c r="X1352" i="2"/>
  <c r="Y1351" i="2"/>
  <c r="X1351" i="2"/>
  <c r="Y1350" i="2"/>
  <c r="X1350" i="2"/>
  <c r="Y1349" i="2"/>
  <c r="X1349" i="2"/>
  <c r="Y1348" i="2"/>
  <c r="X1348" i="2"/>
  <c r="Y1347" i="2"/>
  <c r="X1347" i="2"/>
  <c r="Y1346" i="2"/>
  <c r="X1346" i="2"/>
  <c r="Y1345" i="2"/>
  <c r="X1345" i="2"/>
  <c r="Y1344" i="2"/>
  <c r="X1344" i="2"/>
  <c r="Y1343" i="2"/>
  <c r="X1343" i="2"/>
  <c r="Y1342" i="2"/>
  <c r="X1342" i="2"/>
  <c r="Y1341" i="2"/>
  <c r="X1341" i="2"/>
  <c r="Y1340" i="2"/>
  <c r="X1340" i="2"/>
  <c r="Y1339" i="2"/>
  <c r="X1339" i="2"/>
  <c r="Y1338" i="2"/>
  <c r="X1338" i="2"/>
  <c r="Y1337" i="2"/>
  <c r="X1337" i="2"/>
  <c r="Y1336" i="2"/>
  <c r="X1336" i="2"/>
  <c r="Y1335" i="2"/>
  <c r="X1335" i="2"/>
  <c r="Y1334" i="2"/>
  <c r="X1334" i="2"/>
  <c r="Y1333" i="2"/>
  <c r="X1333" i="2"/>
  <c r="Y1332" i="2"/>
  <c r="X1332" i="2"/>
  <c r="Y1331" i="2"/>
  <c r="X1331" i="2"/>
  <c r="Y1330" i="2"/>
  <c r="X1330" i="2"/>
  <c r="Y1329" i="2"/>
  <c r="X1329" i="2"/>
  <c r="Y1328" i="2"/>
  <c r="X1328" i="2"/>
  <c r="Y1327" i="2"/>
  <c r="X1327" i="2"/>
  <c r="Y1326" i="2"/>
  <c r="X1326" i="2"/>
  <c r="Y1324" i="2"/>
  <c r="X1324" i="2"/>
  <c r="Y1323" i="2"/>
  <c r="X1323" i="2"/>
  <c r="Y1322" i="2"/>
  <c r="X1322" i="2"/>
  <c r="Y1321" i="2"/>
  <c r="X1321" i="2"/>
  <c r="Y1320" i="2"/>
  <c r="X1320" i="2"/>
  <c r="Y1319" i="2"/>
  <c r="X1319" i="2"/>
  <c r="Y1318" i="2"/>
  <c r="X1318" i="2"/>
  <c r="Y1317" i="2"/>
  <c r="X1317" i="2"/>
  <c r="Y1316" i="2"/>
  <c r="X1316" i="2"/>
  <c r="Y1315" i="2"/>
  <c r="X1315" i="2"/>
  <c r="Y1314" i="2"/>
  <c r="X1314" i="2"/>
  <c r="Y1313" i="2"/>
  <c r="X1313" i="2"/>
  <c r="Y1312" i="2"/>
  <c r="X1312" i="2"/>
  <c r="Y1311" i="2"/>
  <c r="X1311" i="2"/>
  <c r="Y1310" i="2"/>
  <c r="X1310" i="2"/>
  <c r="Y1309" i="2"/>
  <c r="X1309" i="2"/>
  <c r="Y1308" i="2"/>
  <c r="X1308" i="2"/>
  <c r="Y1307" i="2"/>
  <c r="X1307" i="2"/>
  <c r="Y1306" i="2"/>
  <c r="X1306" i="2"/>
  <c r="Y1305" i="2"/>
  <c r="X1305" i="2"/>
  <c r="Y1304" i="2"/>
  <c r="X1304" i="2"/>
  <c r="Y1303" i="2"/>
  <c r="X1303" i="2"/>
  <c r="Y1302" i="2"/>
  <c r="X1302" i="2"/>
  <c r="Y1301" i="2"/>
  <c r="X1301" i="2"/>
  <c r="Y1300" i="2"/>
  <c r="X1300" i="2"/>
  <c r="Y1299" i="2"/>
  <c r="X1299" i="2"/>
  <c r="Y1298" i="2"/>
  <c r="X1298" i="2"/>
  <c r="Y1297" i="2"/>
  <c r="X1297" i="2"/>
  <c r="Y1296" i="2"/>
  <c r="X1296" i="2"/>
  <c r="Y1295" i="2"/>
  <c r="X1295" i="2"/>
  <c r="Y1294" i="2"/>
  <c r="X1294" i="2"/>
  <c r="Y1293" i="2"/>
  <c r="X1293" i="2"/>
  <c r="Y1292" i="2"/>
  <c r="X1292" i="2"/>
  <c r="Y1291" i="2"/>
  <c r="X1291" i="2"/>
  <c r="Y1290" i="2"/>
  <c r="X1290" i="2"/>
  <c r="Y1289" i="2"/>
  <c r="X1289" i="2"/>
  <c r="Y1288" i="2"/>
  <c r="X1288" i="2"/>
  <c r="Y1286" i="2"/>
  <c r="X1286" i="2"/>
  <c r="AI1286" i="2"/>
  <c r="AG1286" i="2"/>
  <c r="AE1286" i="2"/>
  <c r="AD1286" i="2"/>
  <c r="Y1262" i="2"/>
  <c r="X1262" i="2"/>
  <c r="AI1262" i="2"/>
  <c r="AH1262" i="2"/>
  <c r="AG1262" i="2"/>
  <c r="AE1262" i="2"/>
  <c r="AD1262" i="2"/>
  <c r="AC1262" i="2"/>
  <c r="Y1129" i="2"/>
  <c r="X1129" i="2"/>
  <c r="AI1129" i="2"/>
  <c r="AG1129" i="2"/>
  <c r="AE1129" i="2"/>
  <c r="AD1129" i="2"/>
  <c r="AI953" i="2" l="1"/>
  <c r="AE953" i="2"/>
  <c r="AD953" i="2"/>
  <c r="AB953" i="2"/>
  <c r="Y953" i="2"/>
  <c r="X953" i="2"/>
  <c r="Y960" i="2"/>
  <c r="X960" i="2"/>
  <c r="Y811" i="2"/>
  <c r="X811" i="2"/>
  <c r="Y767" i="2"/>
  <c r="X767" i="2"/>
  <c r="Y689" i="2"/>
  <c r="X689" i="2"/>
  <c r="Y637" i="2"/>
  <c r="X637" i="2"/>
  <c r="AI637" i="2"/>
  <c r="AH637" i="2"/>
  <c r="AG637" i="2"/>
  <c r="AE637" i="2"/>
  <c r="AD637" i="2"/>
  <c r="AC637" i="2"/>
  <c r="AB637" i="2"/>
  <c r="Y629" i="2"/>
  <c r="X629" i="2"/>
  <c r="AI629" i="2"/>
  <c r="AH629" i="2"/>
  <c r="AG629" i="2"/>
  <c r="AE629" i="2"/>
  <c r="AD629" i="2"/>
  <c r="AC629" i="2"/>
  <c r="AI411" i="2"/>
  <c r="AG411" i="2"/>
  <c r="AE411" i="2"/>
  <c r="AD411" i="2"/>
  <c r="AC411" i="2"/>
  <c r="Y411" i="2"/>
  <c r="X411" i="2"/>
  <c r="Y307" i="2"/>
  <c r="X307" i="2"/>
  <c r="AI307" i="2"/>
  <c r="AG307" i="2"/>
  <c r="AE307" i="2"/>
  <c r="AD307" i="2"/>
  <c r="AC307" i="2"/>
  <c r="Y318" i="2"/>
  <c r="X318" i="2"/>
  <c r="AI318" i="2"/>
  <c r="AH318" i="2"/>
  <c r="AG318" i="2"/>
  <c r="AE318" i="2"/>
  <c r="AD318" i="2"/>
  <c r="AI92" i="2"/>
  <c r="AG92" i="2"/>
  <c r="AE92" i="2"/>
  <c r="AI91" i="2"/>
  <c r="AG91" i="2"/>
  <c r="AE91" i="2"/>
  <c r="AD92" i="2"/>
  <c r="AD91" i="2"/>
  <c r="AC92" i="2"/>
  <c r="Y92" i="2"/>
  <c r="X92" i="2"/>
  <c r="Y91" i="2"/>
  <c r="X91" i="2"/>
  <c r="Y1285" i="2"/>
  <c r="X1285" i="2"/>
  <c r="Y1284" i="2"/>
  <c r="X1284" i="2"/>
  <c r="Y1283" i="2"/>
  <c r="X1283" i="2"/>
  <c r="Y1282" i="2"/>
  <c r="X1282" i="2"/>
  <c r="Y1281" i="2"/>
  <c r="X1281" i="2"/>
  <c r="Y1280" i="2"/>
  <c r="X1280" i="2"/>
  <c r="Y1279" i="2"/>
  <c r="X1279" i="2"/>
  <c r="Y1278" i="2"/>
  <c r="X1278" i="2"/>
  <c r="Y1277" i="2"/>
  <c r="X1277" i="2"/>
  <c r="Y1276" i="2"/>
  <c r="X1276" i="2"/>
  <c r="Y1275" i="2"/>
  <c r="X1275" i="2"/>
  <c r="Y1274" i="2"/>
  <c r="X1274" i="2"/>
  <c r="Y1273" i="2"/>
  <c r="X1273" i="2"/>
  <c r="Y1272" i="2"/>
  <c r="X1272" i="2"/>
  <c r="Y1271" i="2"/>
  <c r="X1271" i="2"/>
  <c r="Y1270" i="2"/>
  <c r="X1270" i="2"/>
  <c r="Y1269" i="2"/>
  <c r="X1269" i="2"/>
  <c r="Y1268" i="2"/>
  <c r="X1268" i="2"/>
  <c r="Y1267" i="2"/>
  <c r="X1267" i="2"/>
  <c r="Y1266" i="2"/>
  <c r="X1266" i="2"/>
  <c r="Y1265" i="2"/>
  <c r="X1265" i="2"/>
  <c r="Y1264" i="2"/>
  <c r="X1264" i="2"/>
  <c r="Y1263" i="2"/>
  <c r="X1263" i="2"/>
  <c r="Y1261" i="2"/>
  <c r="X1261" i="2"/>
  <c r="Y1260" i="2"/>
  <c r="X1260" i="2"/>
  <c r="Y1259" i="2"/>
  <c r="X1259" i="2"/>
  <c r="Y1258" i="2"/>
  <c r="X1258" i="2"/>
  <c r="Y1257" i="2"/>
  <c r="X1257" i="2"/>
  <c r="Y1256" i="2"/>
  <c r="X1256" i="2"/>
  <c r="Y1255" i="2"/>
  <c r="X1255" i="2"/>
  <c r="Y1254" i="2"/>
  <c r="X1254" i="2"/>
  <c r="Y1253" i="2"/>
  <c r="X1253" i="2"/>
  <c r="Y1252" i="2"/>
  <c r="X1252" i="2"/>
  <c r="Y1251" i="2"/>
  <c r="X1251" i="2"/>
  <c r="Y1250" i="2"/>
  <c r="X1250" i="2"/>
  <c r="Y1249" i="2"/>
  <c r="X1249" i="2"/>
  <c r="Y1248" i="2"/>
  <c r="X1248" i="2"/>
  <c r="Y1247" i="2"/>
  <c r="X1247" i="2"/>
  <c r="Y1246" i="2"/>
  <c r="X1246" i="2"/>
  <c r="Y1245" i="2"/>
  <c r="X1245" i="2"/>
  <c r="Y1244" i="2"/>
  <c r="X1244" i="2"/>
  <c r="Y1243" i="2"/>
  <c r="X1243" i="2"/>
  <c r="Y1241" i="2"/>
  <c r="X1241" i="2"/>
  <c r="Y1240" i="2"/>
  <c r="X1240" i="2"/>
  <c r="Y1239" i="2"/>
  <c r="X1239" i="2"/>
  <c r="Y1238" i="2"/>
  <c r="X1238" i="2"/>
  <c r="Y1237" i="2"/>
  <c r="X1237" i="2"/>
  <c r="Y1236" i="2"/>
  <c r="X1236" i="2"/>
  <c r="Y1235" i="2"/>
  <c r="X1235" i="2"/>
  <c r="Y1234" i="2"/>
  <c r="X1234" i="2"/>
  <c r="Y1233" i="2"/>
  <c r="X1233" i="2"/>
  <c r="Y1232" i="2"/>
  <c r="X1232" i="2"/>
  <c r="Y1231" i="2"/>
  <c r="X1231" i="2"/>
  <c r="Y1230" i="2"/>
  <c r="X1230" i="2"/>
  <c r="Y1229" i="2"/>
  <c r="X1229" i="2"/>
  <c r="Y1228" i="2"/>
  <c r="X1228" i="2"/>
  <c r="Y1227" i="2"/>
  <c r="X1227" i="2"/>
  <c r="Y1226" i="2"/>
  <c r="X1226" i="2"/>
  <c r="Y1225" i="2"/>
  <c r="X1225" i="2"/>
  <c r="Y1224" i="2"/>
  <c r="X1224" i="2"/>
  <c r="Y1223" i="2"/>
  <c r="X1223" i="2"/>
  <c r="Y1222" i="2"/>
  <c r="X1222" i="2"/>
  <c r="Y1221" i="2"/>
  <c r="X1221" i="2"/>
  <c r="Y1220" i="2"/>
  <c r="X1220" i="2"/>
  <c r="Y1219" i="2"/>
  <c r="X1219" i="2"/>
  <c r="Y1218" i="2"/>
  <c r="X1218" i="2"/>
  <c r="Y1217" i="2"/>
  <c r="X1217" i="2"/>
  <c r="Y1216" i="2"/>
  <c r="X1216" i="2"/>
  <c r="Y1215" i="2"/>
  <c r="X1215" i="2"/>
  <c r="Y1214" i="2"/>
  <c r="X1214" i="2"/>
  <c r="Y1213" i="2"/>
  <c r="X1213" i="2"/>
  <c r="Y1212" i="2"/>
  <c r="X1212" i="2"/>
  <c r="Y1211" i="2"/>
  <c r="X1211" i="2"/>
  <c r="Y1210" i="2"/>
  <c r="X1210" i="2"/>
  <c r="Y1209" i="2"/>
  <c r="X1209" i="2"/>
  <c r="Y1208" i="2"/>
  <c r="X1208" i="2"/>
  <c r="Y1207" i="2"/>
  <c r="X1207" i="2"/>
  <c r="Y1206" i="2"/>
  <c r="X1206" i="2"/>
  <c r="Y1205" i="2"/>
  <c r="X1205" i="2"/>
  <c r="Y1204" i="2"/>
  <c r="X1204" i="2"/>
  <c r="Y1203" i="2"/>
  <c r="X1203" i="2"/>
  <c r="Y1202" i="2"/>
  <c r="X1202" i="2"/>
  <c r="Y1201" i="2"/>
  <c r="X1201" i="2"/>
  <c r="Y1200" i="2"/>
  <c r="X1200" i="2"/>
  <c r="Y1199" i="2"/>
  <c r="X1199" i="2"/>
  <c r="Y1198" i="2"/>
  <c r="X1198" i="2"/>
  <c r="Y1197" i="2"/>
  <c r="X1197" i="2"/>
  <c r="Y1196" i="2"/>
  <c r="X1196" i="2"/>
  <c r="Y1195" i="2"/>
  <c r="X1195" i="2"/>
  <c r="Y1194" i="2"/>
  <c r="X1194" i="2"/>
  <c r="Y1193" i="2"/>
  <c r="X1193" i="2"/>
  <c r="Y1192" i="2"/>
  <c r="X1192" i="2"/>
  <c r="Y1191" i="2"/>
  <c r="X1191" i="2"/>
  <c r="Y1190" i="2"/>
  <c r="X1190" i="2"/>
  <c r="Y1189" i="2"/>
  <c r="X1189" i="2"/>
  <c r="Y1188" i="2"/>
  <c r="X1188" i="2"/>
  <c r="Y1187" i="2"/>
  <c r="X1187" i="2"/>
  <c r="Y1185" i="2"/>
  <c r="X1185" i="2"/>
  <c r="Y1184" i="2"/>
  <c r="X1184" i="2"/>
  <c r="Y1183" i="2"/>
  <c r="X1183" i="2"/>
  <c r="Y1182" i="2"/>
  <c r="X1182" i="2"/>
  <c r="Y1181" i="2"/>
  <c r="X1181" i="2"/>
  <c r="Y1180" i="2"/>
  <c r="X1180" i="2"/>
  <c r="Y1179" i="2"/>
  <c r="X1179" i="2"/>
  <c r="Y1178" i="2"/>
  <c r="X1178" i="2"/>
  <c r="Y1177" i="2"/>
  <c r="X1177" i="2"/>
  <c r="Y1176" i="2"/>
  <c r="X1176" i="2"/>
  <c r="Y1175" i="2"/>
  <c r="X1175" i="2"/>
  <c r="Y1174" i="2"/>
  <c r="X1174" i="2"/>
  <c r="Y1173" i="2"/>
  <c r="X1173" i="2"/>
  <c r="Y1172" i="2"/>
  <c r="X1172" i="2"/>
  <c r="Y1171" i="2"/>
  <c r="X1171" i="2"/>
  <c r="Y1170" i="2"/>
  <c r="X1170" i="2"/>
  <c r="Y1169" i="2"/>
  <c r="X1169" i="2"/>
  <c r="Y1168" i="2"/>
  <c r="X1168" i="2"/>
  <c r="Y1167" i="2"/>
  <c r="X1167" i="2"/>
  <c r="Y1166" i="2"/>
  <c r="X1166" i="2"/>
  <c r="Y1165" i="2"/>
  <c r="X1165" i="2"/>
  <c r="Y1164" i="2"/>
  <c r="X1164" i="2"/>
  <c r="Y1163" i="2"/>
  <c r="X1163" i="2"/>
  <c r="Y1162" i="2"/>
  <c r="X1162" i="2"/>
  <c r="Y1161" i="2"/>
  <c r="X1161" i="2"/>
  <c r="Y1160" i="2"/>
  <c r="X1160" i="2"/>
  <c r="Y1159" i="2"/>
  <c r="X1159" i="2"/>
  <c r="Y1158" i="2"/>
  <c r="X1158" i="2"/>
  <c r="Y1157" i="2"/>
  <c r="X1157" i="2"/>
  <c r="Y1156" i="2"/>
  <c r="X1156" i="2"/>
  <c r="Y1155" i="2"/>
  <c r="X1155" i="2"/>
  <c r="Y1154" i="2"/>
  <c r="X1154" i="2"/>
  <c r="Y1153" i="2"/>
  <c r="X1153" i="2"/>
  <c r="Y1152" i="2"/>
  <c r="X1152" i="2"/>
  <c r="Y1151" i="2"/>
  <c r="X1151" i="2"/>
  <c r="Y1150" i="2"/>
  <c r="X1150" i="2"/>
  <c r="Y1149" i="2"/>
  <c r="X1149" i="2"/>
  <c r="Y1148" i="2"/>
  <c r="X1148" i="2"/>
  <c r="Y1147" i="2"/>
  <c r="X1147" i="2"/>
  <c r="Y1146" i="2"/>
  <c r="X1146" i="2"/>
  <c r="Y1145" i="2"/>
  <c r="X1145" i="2"/>
  <c r="Y1144" i="2"/>
  <c r="X1144" i="2"/>
  <c r="Y1143" i="2"/>
  <c r="X1143" i="2"/>
  <c r="Y1142" i="2"/>
  <c r="X1142" i="2"/>
  <c r="Y1141" i="2"/>
  <c r="X1141" i="2"/>
  <c r="Y1140" i="2"/>
  <c r="X1140" i="2"/>
  <c r="Y1139" i="2"/>
  <c r="X1139" i="2"/>
  <c r="Y1137" i="2"/>
  <c r="X1137" i="2"/>
  <c r="Y1136" i="2"/>
  <c r="X1136" i="2"/>
  <c r="Y1135" i="2"/>
  <c r="X1135" i="2"/>
  <c r="Y1134" i="2"/>
  <c r="X1134" i="2"/>
  <c r="Y1133" i="2"/>
  <c r="X1133" i="2"/>
  <c r="Y1132" i="2"/>
  <c r="X1132" i="2"/>
  <c r="Y1131" i="2"/>
  <c r="X1131" i="2"/>
  <c r="Y1130" i="2"/>
  <c r="X1130" i="2"/>
  <c r="Y1128" i="2"/>
  <c r="X1128" i="2"/>
  <c r="Y1127" i="2"/>
  <c r="X1127" i="2"/>
  <c r="Y1126" i="2"/>
  <c r="X1126" i="2"/>
  <c r="Y1125" i="2"/>
  <c r="X1125" i="2"/>
  <c r="Y1124" i="2"/>
  <c r="X1124" i="2"/>
  <c r="Y1123" i="2"/>
  <c r="X1123" i="2"/>
  <c r="Y1122" i="2"/>
  <c r="X1122" i="2"/>
  <c r="Y1121" i="2"/>
  <c r="X1121" i="2"/>
  <c r="Y1120" i="2"/>
  <c r="X1120" i="2"/>
  <c r="Y1119" i="2"/>
  <c r="X1119" i="2"/>
  <c r="Y1118" i="2"/>
  <c r="X1118" i="2"/>
  <c r="Y1117" i="2"/>
  <c r="X1117" i="2"/>
  <c r="Y1116" i="2"/>
  <c r="X1116" i="2"/>
  <c r="Y1115" i="2"/>
  <c r="X1115" i="2"/>
  <c r="Y1114" i="2"/>
  <c r="X1114" i="2"/>
  <c r="Y1113" i="2"/>
  <c r="X1113" i="2"/>
  <c r="Y1112" i="2"/>
  <c r="X1112" i="2"/>
  <c r="Y1111" i="2"/>
  <c r="X1111" i="2"/>
  <c r="Y1110" i="2"/>
  <c r="X1110" i="2"/>
  <c r="Y1109" i="2"/>
  <c r="X1109" i="2"/>
  <c r="Y1108" i="2"/>
  <c r="X1108" i="2"/>
  <c r="Y1107" i="2"/>
  <c r="X1107" i="2"/>
  <c r="Y1106" i="2"/>
  <c r="X1106" i="2"/>
  <c r="Y1105" i="2"/>
  <c r="X1105" i="2"/>
  <c r="Y1104" i="2"/>
  <c r="X1104" i="2"/>
  <c r="Y1103" i="2"/>
  <c r="X1103" i="2"/>
  <c r="Y1102" i="2"/>
  <c r="X1102" i="2"/>
  <c r="Y1101" i="2"/>
  <c r="X1101" i="2"/>
  <c r="Y1100" i="2"/>
  <c r="X1100" i="2"/>
  <c r="Y1099" i="2"/>
  <c r="X1099" i="2"/>
  <c r="Y1098" i="2"/>
  <c r="X1098" i="2"/>
  <c r="Y1097" i="2"/>
  <c r="X1097" i="2"/>
  <c r="Y1096" i="2"/>
  <c r="X1096" i="2"/>
  <c r="Y1095" i="2"/>
  <c r="X1095" i="2"/>
  <c r="Y1094" i="2"/>
  <c r="X1094" i="2"/>
  <c r="Y1093" i="2"/>
  <c r="X1093" i="2"/>
  <c r="Y1092" i="2"/>
  <c r="X1092" i="2"/>
  <c r="Y1091" i="2"/>
  <c r="X1091" i="2"/>
  <c r="Y1089" i="2"/>
  <c r="X1089" i="2"/>
  <c r="Y1088" i="2"/>
  <c r="X1088" i="2"/>
  <c r="Y1087" i="2"/>
  <c r="X1087" i="2"/>
  <c r="Y1086" i="2"/>
  <c r="X1086" i="2"/>
  <c r="Y1085" i="2"/>
  <c r="X1085" i="2"/>
  <c r="Y1084" i="2"/>
  <c r="X1084" i="2"/>
  <c r="Y1083" i="2"/>
  <c r="X1083" i="2"/>
  <c r="Y1082" i="2"/>
  <c r="X1082" i="2"/>
  <c r="Y1081" i="2"/>
  <c r="X1081" i="2"/>
  <c r="Y1080" i="2"/>
  <c r="X1080" i="2"/>
  <c r="Y1079" i="2"/>
  <c r="X1079" i="2"/>
  <c r="Y1078" i="2"/>
  <c r="X1078" i="2"/>
  <c r="Y1077" i="2"/>
  <c r="X1077" i="2"/>
  <c r="Y1076" i="2"/>
  <c r="X1076" i="2"/>
  <c r="Y1075" i="2"/>
  <c r="X1075" i="2"/>
  <c r="Y1074" i="2"/>
  <c r="X1074" i="2"/>
  <c r="Y1073" i="2"/>
  <c r="X1073" i="2"/>
  <c r="Y1072" i="2"/>
  <c r="X1072" i="2"/>
  <c r="Y1071" i="2"/>
  <c r="X1071" i="2"/>
  <c r="Y1070" i="2"/>
  <c r="X1070" i="2"/>
  <c r="Y1069" i="2"/>
  <c r="X1069" i="2"/>
  <c r="Y1068" i="2"/>
  <c r="X1068" i="2"/>
  <c r="Y1067" i="2"/>
  <c r="X1067" i="2"/>
  <c r="Y1066" i="2"/>
  <c r="X1066" i="2"/>
  <c r="Y1065" i="2"/>
  <c r="X1065" i="2"/>
  <c r="Y1064" i="2"/>
  <c r="X1064" i="2"/>
  <c r="Y1063" i="2"/>
  <c r="X1063" i="2"/>
  <c r="Y1062" i="2"/>
  <c r="X1062" i="2"/>
  <c r="Y1061" i="2"/>
  <c r="X1061" i="2"/>
  <c r="Y1060" i="2"/>
  <c r="X1060" i="2"/>
  <c r="Y1059" i="2"/>
  <c r="X1059" i="2"/>
  <c r="Y1058" i="2"/>
  <c r="X1058" i="2"/>
  <c r="Y1057" i="2"/>
  <c r="X1057" i="2"/>
  <c r="Y1056" i="2"/>
  <c r="X1056" i="2"/>
  <c r="Y1055" i="2"/>
  <c r="X1055" i="2"/>
  <c r="Y1054" i="2"/>
  <c r="X1054" i="2"/>
  <c r="Y1053" i="2"/>
  <c r="X1053" i="2"/>
  <c r="Y1052" i="2"/>
  <c r="X1052" i="2"/>
  <c r="Y1051" i="2"/>
  <c r="X1051" i="2"/>
  <c r="Y1050" i="2"/>
  <c r="X1050" i="2"/>
  <c r="Y1049" i="2"/>
  <c r="X1049" i="2"/>
  <c r="Y1048" i="2"/>
  <c r="X1048" i="2"/>
  <c r="Y1047" i="2"/>
  <c r="X1047" i="2"/>
  <c r="Y1046" i="2"/>
  <c r="X1046" i="2"/>
  <c r="Y1045" i="2"/>
  <c r="X1045" i="2"/>
  <c r="Y1044" i="2"/>
  <c r="X1044" i="2"/>
  <c r="Y1043" i="2"/>
  <c r="X1043" i="2"/>
  <c r="Y1042" i="2"/>
  <c r="X1042" i="2"/>
  <c r="Y1041" i="2"/>
  <c r="X1041" i="2"/>
  <c r="Y1040" i="2"/>
  <c r="X1040" i="2"/>
  <c r="Y1039" i="2"/>
  <c r="X1039" i="2"/>
  <c r="Y1038" i="2"/>
  <c r="X1038" i="2"/>
  <c r="Y1036" i="2"/>
  <c r="X1036" i="2"/>
  <c r="Y1035" i="2"/>
  <c r="X1035" i="2"/>
  <c r="Y1034" i="2"/>
  <c r="X1034" i="2"/>
  <c r="Y1033" i="2"/>
  <c r="X1033" i="2"/>
  <c r="Y1032" i="2"/>
  <c r="X1032" i="2"/>
  <c r="Y1031" i="2"/>
  <c r="X1031" i="2"/>
  <c r="Y1030" i="2"/>
  <c r="X1030" i="2"/>
  <c r="Y1029" i="2"/>
  <c r="X1029" i="2"/>
  <c r="Y1028" i="2"/>
  <c r="X1028" i="2"/>
  <c r="Y1027" i="2"/>
  <c r="X1027" i="2"/>
  <c r="Y1026" i="2"/>
  <c r="X1026" i="2"/>
  <c r="Y1025" i="2"/>
  <c r="X1025" i="2"/>
  <c r="Y1024" i="2"/>
  <c r="X1024" i="2"/>
  <c r="Y1023" i="2"/>
  <c r="X1023" i="2"/>
  <c r="Y1022" i="2"/>
  <c r="X1022" i="2"/>
  <c r="Y1021" i="2"/>
  <c r="X1021" i="2"/>
  <c r="Y1020" i="2"/>
  <c r="X1020" i="2"/>
  <c r="Y1019" i="2"/>
  <c r="X1019" i="2"/>
  <c r="Y1018" i="2"/>
  <c r="X1018" i="2"/>
  <c r="Y1017" i="2"/>
  <c r="X1017" i="2"/>
  <c r="Y1016" i="2"/>
  <c r="X1016" i="2"/>
  <c r="Y1015" i="2"/>
  <c r="X1015" i="2"/>
  <c r="Y1014" i="2"/>
  <c r="X1014" i="2"/>
  <c r="Y1013" i="2"/>
  <c r="X1013" i="2"/>
  <c r="Y1012" i="2"/>
  <c r="X1012" i="2"/>
  <c r="Y1011" i="2"/>
  <c r="X1011" i="2"/>
  <c r="Y1010" i="2"/>
  <c r="X1010" i="2"/>
  <c r="Y1009" i="2"/>
  <c r="X1009" i="2"/>
  <c r="Y1008" i="2"/>
  <c r="X1008" i="2"/>
  <c r="Y1007" i="2"/>
  <c r="X1007" i="2"/>
  <c r="Y1006" i="2"/>
  <c r="X1006" i="2"/>
  <c r="Y1005" i="2"/>
  <c r="X1005" i="2"/>
  <c r="Y1004" i="2"/>
  <c r="X1004" i="2"/>
  <c r="Y1003" i="2"/>
  <c r="X1003" i="2"/>
  <c r="Y1002" i="2"/>
  <c r="X1002" i="2"/>
  <c r="Y1001" i="2"/>
  <c r="X1001" i="2"/>
  <c r="Y1000" i="2"/>
  <c r="X1000" i="2"/>
  <c r="Y998" i="2"/>
  <c r="X998" i="2"/>
  <c r="Y997" i="2"/>
  <c r="X997" i="2"/>
  <c r="Y996" i="2"/>
  <c r="X996" i="2"/>
  <c r="Y995" i="2"/>
  <c r="X995" i="2"/>
  <c r="Y994" i="2"/>
  <c r="X994" i="2"/>
  <c r="Y993" i="2"/>
  <c r="X993" i="2"/>
  <c r="Y992" i="2"/>
  <c r="X992" i="2"/>
  <c r="Y991" i="2"/>
  <c r="X991" i="2"/>
  <c r="Y990" i="2"/>
  <c r="X990" i="2"/>
  <c r="Y989" i="2"/>
  <c r="X989" i="2"/>
  <c r="Y988" i="2"/>
  <c r="X988" i="2"/>
  <c r="Y987" i="2"/>
  <c r="X987" i="2"/>
  <c r="Y986" i="2"/>
  <c r="X986" i="2"/>
  <c r="Y985" i="2"/>
  <c r="X985" i="2"/>
  <c r="Y984" i="2"/>
  <c r="X984" i="2"/>
  <c r="Y983" i="2"/>
  <c r="X983" i="2"/>
  <c r="Y982" i="2"/>
  <c r="X982" i="2"/>
  <c r="Y981" i="2"/>
  <c r="X981" i="2"/>
  <c r="Y980" i="2"/>
  <c r="X980" i="2"/>
  <c r="Y979" i="2"/>
  <c r="X979" i="2"/>
  <c r="Y978" i="2"/>
  <c r="X978" i="2"/>
  <c r="Y977" i="2"/>
  <c r="X977" i="2"/>
  <c r="Y976" i="2"/>
  <c r="X976" i="2"/>
  <c r="Y975" i="2"/>
  <c r="X975" i="2"/>
  <c r="Y974" i="2"/>
  <c r="X974" i="2"/>
  <c r="Y973" i="2"/>
  <c r="X973" i="2"/>
  <c r="Y972" i="2"/>
  <c r="X972" i="2"/>
  <c r="Y971" i="2"/>
  <c r="X971" i="2"/>
  <c r="Y970" i="2"/>
  <c r="X970" i="2"/>
  <c r="Y969" i="2"/>
  <c r="X969" i="2"/>
  <c r="Y968" i="2"/>
  <c r="X968" i="2"/>
  <c r="Y967" i="2"/>
  <c r="X967" i="2"/>
  <c r="Y966" i="2"/>
  <c r="X966" i="2"/>
  <c r="Y965" i="2"/>
  <c r="X965" i="2"/>
  <c r="Y964" i="2"/>
  <c r="X964" i="2"/>
  <c r="Y963" i="2"/>
  <c r="X963" i="2"/>
  <c r="Y962" i="2"/>
  <c r="X962" i="2"/>
  <c r="AI944" i="2"/>
  <c r="AH944" i="2"/>
  <c r="AG944" i="2"/>
  <c r="AE944" i="2"/>
  <c r="AD944" i="2"/>
  <c r="Y944" i="2"/>
  <c r="X944" i="2"/>
  <c r="Y959" i="2"/>
  <c r="X959" i="2"/>
  <c r="Y958" i="2"/>
  <c r="X958" i="2"/>
  <c r="Y957" i="2"/>
  <c r="X957" i="2"/>
  <c r="Y956" i="2"/>
  <c r="X956" i="2"/>
  <c r="Y955" i="2"/>
  <c r="X955" i="2"/>
  <c r="Y954" i="2"/>
  <c r="X954" i="2"/>
  <c r="Y952" i="2"/>
  <c r="X952" i="2"/>
  <c r="Y951" i="2"/>
  <c r="X951" i="2"/>
  <c r="Y950" i="2"/>
  <c r="X950" i="2"/>
  <c r="Y949" i="2"/>
  <c r="X949" i="2"/>
  <c r="Y948" i="2"/>
  <c r="X948" i="2"/>
  <c r="Y947" i="2"/>
  <c r="X947" i="2"/>
  <c r="Y946" i="2"/>
  <c r="X946" i="2"/>
  <c r="Y945" i="2"/>
  <c r="X945" i="2"/>
  <c r="Y943" i="2"/>
  <c r="X943" i="2"/>
  <c r="Y942" i="2"/>
  <c r="X942" i="2"/>
  <c r="Y941" i="2"/>
  <c r="X941" i="2"/>
  <c r="Y940" i="2"/>
  <c r="X940" i="2"/>
  <c r="Y939" i="2"/>
  <c r="X939" i="2"/>
  <c r="Y938" i="2"/>
  <c r="X938" i="2"/>
  <c r="Y937" i="2"/>
  <c r="X937" i="2"/>
  <c r="Y936" i="2"/>
  <c r="X936" i="2"/>
  <c r="Y935" i="2"/>
  <c r="X935" i="2"/>
  <c r="Y934" i="2"/>
  <c r="X934" i="2"/>
  <c r="Y933" i="2"/>
  <c r="X933" i="2"/>
  <c r="Y932" i="2"/>
  <c r="X932" i="2"/>
  <c r="Y931" i="2"/>
  <c r="X931" i="2"/>
  <c r="Y930" i="2"/>
  <c r="X930" i="2"/>
  <c r="Y929" i="2"/>
  <c r="X929" i="2"/>
  <c r="Y928" i="2"/>
  <c r="X928" i="2"/>
  <c r="Y927" i="2"/>
  <c r="X927" i="2"/>
  <c r="Y926" i="2"/>
  <c r="X926" i="2"/>
  <c r="Y925" i="2"/>
  <c r="X925" i="2"/>
  <c r="Y923" i="2"/>
  <c r="X923" i="2"/>
  <c r="Y922" i="2"/>
  <c r="X922" i="2"/>
  <c r="Y921" i="2"/>
  <c r="X921" i="2"/>
  <c r="Y920" i="2"/>
  <c r="X920" i="2"/>
  <c r="Y919" i="2"/>
  <c r="X919" i="2"/>
  <c r="Y918" i="2"/>
  <c r="X918" i="2"/>
  <c r="Y917" i="2"/>
  <c r="X917" i="2"/>
  <c r="Y916" i="2"/>
  <c r="X916" i="2"/>
  <c r="Y915" i="2"/>
  <c r="X915" i="2"/>
  <c r="Y914" i="2"/>
  <c r="X914" i="2"/>
  <c r="Y913" i="2"/>
  <c r="X913" i="2"/>
  <c r="Y912" i="2"/>
  <c r="X912" i="2"/>
  <c r="Y911" i="2"/>
  <c r="X911" i="2"/>
  <c r="Y910" i="2"/>
  <c r="X910" i="2"/>
  <c r="Y909" i="2"/>
  <c r="X909" i="2"/>
  <c r="Y908" i="2"/>
  <c r="X908" i="2"/>
  <c r="Y907" i="2"/>
  <c r="X907" i="2"/>
  <c r="Y906" i="2"/>
  <c r="X906" i="2"/>
  <c r="Y905" i="2"/>
  <c r="X905" i="2"/>
  <c r="Y904" i="2"/>
  <c r="X904" i="2"/>
  <c r="Y903" i="2"/>
  <c r="X903" i="2"/>
  <c r="Y902" i="2"/>
  <c r="X902" i="2"/>
  <c r="Y901" i="2"/>
  <c r="X901" i="2"/>
  <c r="Y900" i="2"/>
  <c r="X900" i="2"/>
  <c r="Y899" i="2"/>
  <c r="X899" i="2"/>
  <c r="Y898" i="2"/>
  <c r="X898" i="2"/>
  <c r="Y897" i="2"/>
  <c r="X897" i="2"/>
  <c r="Y896" i="2"/>
  <c r="X896" i="2"/>
  <c r="Y895" i="2"/>
  <c r="X895" i="2"/>
  <c r="Y894" i="2"/>
  <c r="X894" i="2"/>
  <c r="Y893" i="2"/>
  <c r="X893" i="2"/>
  <c r="Y892" i="2"/>
  <c r="X892" i="2"/>
  <c r="Y891" i="2"/>
  <c r="X891" i="2"/>
  <c r="Y890" i="2"/>
  <c r="X890" i="2"/>
  <c r="Y889" i="2"/>
  <c r="X889" i="2"/>
  <c r="Y888" i="2"/>
  <c r="X888" i="2"/>
  <c r="Y887" i="2"/>
  <c r="X887" i="2"/>
  <c r="Y886" i="2"/>
  <c r="X886" i="2"/>
  <c r="Y885" i="2"/>
  <c r="X885" i="2"/>
  <c r="Y884" i="2"/>
  <c r="X884" i="2"/>
  <c r="Y883" i="2"/>
  <c r="X883" i="2"/>
  <c r="Y882" i="2"/>
  <c r="X882" i="2"/>
  <c r="Y881" i="2"/>
  <c r="X881" i="2"/>
  <c r="Y880" i="2"/>
  <c r="X880" i="2"/>
  <c r="Y879" i="2"/>
  <c r="X879" i="2"/>
  <c r="Y878" i="2"/>
  <c r="X878" i="2"/>
  <c r="Y877" i="2"/>
  <c r="X877" i="2"/>
  <c r="Y876" i="2"/>
  <c r="X876" i="2"/>
  <c r="Y875" i="2"/>
  <c r="X875" i="2"/>
  <c r="Y874" i="2"/>
  <c r="X874" i="2"/>
  <c r="Y873" i="2"/>
  <c r="X873" i="2"/>
  <c r="Y872" i="2"/>
  <c r="X872" i="2"/>
  <c r="Y871" i="2"/>
  <c r="X871" i="2"/>
  <c r="Y870" i="2"/>
  <c r="X870" i="2"/>
  <c r="Y869" i="2"/>
  <c r="X869" i="2"/>
  <c r="Y867" i="2"/>
  <c r="X867" i="2"/>
  <c r="Y866" i="2"/>
  <c r="X866" i="2"/>
  <c r="Y865" i="2"/>
  <c r="X865" i="2"/>
  <c r="Y864" i="2"/>
  <c r="X864" i="2"/>
  <c r="Y863" i="2"/>
  <c r="X863" i="2"/>
  <c r="Y862" i="2"/>
  <c r="X862" i="2"/>
  <c r="Y861" i="2"/>
  <c r="X861" i="2"/>
  <c r="Y860" i="2"/>
  <c r="X860" i="2"/>
  <c r="Y859" i="2"/>
  <c r="X859" i="2"/>
  <c r="Y858" i="2"/>
  <c r="X858" i="2"/>
  <c r="Y857" i="2"/>
  <c r="X857" i="2"/>
  <c r="Y856" i="2"/>
  <c r="X856" i="2"/>
  <c r="Y855" i="2"/>
  <c r="X855" i="2"/>
  <c r="Y854" i="2"/>
  <c r="X854" i="2"/>
  <c r="Y853" i="2"/>
  <c r="X853" i="2"/>
  <c r="Y852" i="2"/>
  <c r="X852" i="2"/>
  <c r="Y851" i="2"/>
  <c r="X851" i="2"/>
  <c r="Y850" i="2"/>
  <c r="X850" i="2"/>
  <c r="Y849" i="2"/>
  <c r="X849" i="2"/>
  <c r="Y848" i="2"/>
  <c r="X848" i="2"/>
  <c r="Y847" i="2"/>
  <c r="X847" i="2"/>
  <c r="Y846" i="2"/>
  <c r="X846" i="2"/>
  <c r="Y845" i="2"/>
  <c r="X845" i="2"/>
  <c r="Y844" i="2"/>
  <c r="X844" i="2"/>
  <c r="Y843" i="2"/>
  <c r="X843" i="2"/>
  <c r="Y842" i="2"/>
  <c r="X842" i="2"/>
  <c r="Y841" i="2"/>
  <c r="X841" i="2"/>
  <c r="Y840" i="2"/>
  <c r="X840" i="2"/>
  <c r="Y839" i="2"/>
  <c r="X839" i="2"/>
  <c r="Y838" i="2"/>
  <c r="X838" i="2"/>
  <c r="Y837" i="2"/>
  <c r="X837" i="2"/>
  <c r="Y836" i="2"/>
  <c r="X836" i="2"/>
  <c r="Y835" i="2"/>
  <c r="X835" i="2"/>
  <c r="Y834" i="2"/>
  <c r="X834" i="2"/>
  <c r="Y833" i="2"/>
  <c r="X833" i="2"/>
  <c r="Y832" i="2"/>
  <c r="X832" i="2"/>
  <c r="Y831" i="2"/>
  <c r="X831" i="2"/>
  <c r="Y830" i="2"/>
  <c r="X830" i="2"/>
  <c r="Y829" i="2"/>
  <c r="X829" i="2"/>
  <c r="Y828" i="2"/>
  <c r="X828" i="2"/>
  <c r="Y827" i="2"/>
  <c r="X827" i="2"/>
  <c r="Y826" i="2"/>
  <c r="X826" i="2"/>
  <c r="Y825" i="2"/>
  <c r="X825" i="2"/>
  <c r="Y824" i="2"/>
  <c r="X824" i="2"/>
  <c r="Y823" i="2"/>
  <c r="X823" i="2"/>
  <c r="Y822" i="2"/>
  <c r="X822" i="2"/>
  <c r="Y821" i="2"/>
  <c r="X821" i="2"/>
  <c r="Y819" i="2"/>
  <c r="X819" i="2"/>
  <c r="Y818" i="2"/>
  <c r="X818" i="2"/>
  <c r="Y817" i="2"/>
  <c r="X817" i="2"/>
  <c r="Y816" i="2"/>
  <c r="X816" i="2"/>
  <c r="Y815" i="2"/>
  <c r="X815" i="2"/>
  <c r="Y814" i="2"/>
  <c r="X814" i="2"/>
  <c r="Y813" i="2"/>
  <c r="X813" i="2"/>
  <c r="Y812" i="2"/>
  <c r="X812" i="2"/>
  <c r="Y810" i="2"/>
  <c r="X810" i="2"/>
  <c r="Y809" i="2"/>
  <c r="X809" i="2"/>
  <c r="Y808" i="2"/>
  <c r="X808" i="2"/>
  <c r="Y807" i="2"/>
  <c r="X807" i="2"/>
  <c r="Y806" i="2"/>
  <c r="X806" i="2"/>
  <c r="Y805" i="2"/>
  <c r="X805" i="2"/>
  <c r="Y804" i="2"/>
  <c r="X804" i="2"/>
  <c r="Y803" i="2"/>
  <c r="X803" i="2"/>
  <c r="Y802" i="2"/>
  <c r="X802" i="2"/>
  <c r="Y801" i="2"/>
  <c r="X801" i="2"/>
  <c r="Y800" i="2"/>
  <c r="X800" i="2"/>
  <c r="Y799" i="2"/>
  <c r="X799" i="2"/>
  <c r="Y798" i="2"/>
  <c r="X798" i="2"/>
  <c r="Y797" i="2"/>
  <c r="X797" i="2"/>
  <c r="Y796" i="2"/>
  <c r="X796" i="2"/>
  <c r="Y795" i="2"/>
  <c r="X795" i="2"/>
  <c r="Y794" i="2"/>
  <c r="X794" i="2"/>
  <c r="Y793" i="2"/>
  <c r="X793" i="2"/>
  <c r="Y792" i="2"/>
  <c r="X792" i="2"/>
  <c r="Y791" i="2"/>
  <c r="X791" i="2"/>
  <c r="Y790" i="2"/>
  <c r="X790" i="2"/>
  <c r="Y789" i="2"/>
  <c r="X789" i="2"/>
  <c r="Y788" i="2"/>
  <c r="X788" i="2"/>
  <c r="Y787" i="2"/>
  <c r="X787" i="2"/>
  <c r="Y786" i="2"/>
  <c r="X786" i="2"/>
  <c r="Y785" i="2"/>
  <c r="X785" i="2"/>
  <c r="Y784" i="2"/>
  <c r="X784" i="2"/>
  <c r="Y783" i="2"/>
  <c r="X783" i="2"/>
  <c r="Y782" i="2"/>
  <c r="X782" i="2"/>
  <c r="Y781" i="2"/>
  <c r="X781" i="2"/>
  <c r="Y780" i="2"/>
  <c r="X780" i="2"/>
  <c r="Y779" i="2"/>
  <c r="X779" i="2"/>
  <c r="Y778" i="2"/>
  <c r="X778" i="2"/>
  <c r="Y777" i="2"/>
  <c r="X777" i="2"/>
  <c r="Y776" i="2"/>
  <c r="X776" i="2"/>
  <c r="Y775" i="2"/>
  <c r="X775" i="2"/>
  <c r="Y774" i="2"/>
  <c r="X774" i="2"/>
  <c r="Y773" i="2"/>
  <c r="X773" i="2"/>
  <c r="Y772" i="2"/>
  <c r="X772" i="2"/>
  <c r="Y771" i="2"/>
  <c r="X771" i="2"/>
  <c r="Y770" i="2"/>
  <c r="X770" i="2"/>
  <c r="Y769" i="2"/>
  <c r="X769" i="2"/>
  <c r="Y766" i="2"/>
  <c r="X766" i="2"/>
  <c r="Y765" i="2"/>
  <c r="X765" i="2"/>
  <c r="Y764" i="2"/>
  <c r="X764" i="2"/>
  <c r="Y763" i="2"/>
  <c r="X763" i="2"/>
  <c r="Y762" i="2"/>
  <c r="X762" i="2"/>
  <c r="Y761" i="2"/>
  <c r="X761" i="2"/>
  <c r="Y760" i="2"/>
  <c r="X760" i="2"/>
  <c r="Y759" i="2"/>
  <c r="X759" i="2"/>
  <c r="Y758" i="2"/>
  <c r="X758" i="2"/>
  <c r="Y757" i="2"/>
  <c r="X757" i="2"/>
  <c r="Y756" i="2"/>
  <c r="X756" i="2"/>
  <c r="Y755" i="2"/>
  <c r="X755" i="2"/>
  <c r="Y754" i="2"/>
  <c r="X754" i="2"/>
  <c r="Y753" i="2"/>
  <c r="X753" i="2"/>
  <c r="Y752" i="2"/>
  <c r="X752" i="2"/>
  <c r="Y751" i="2"/>
  <c r="X751" i="2"/>
  <c r="Y750" i="2"/>
  <c r="X750" i="2"/>
  <c r="Y749" i="2"/>
  <c r="X749" i="2"/>
  <c r="Y748" i="2"/>
  <c r="X748" i="2"/>
  <c r="Y747" i="2"/>
  <c r="X747" i="2"/>
  <c r="Y746" i="2"/>
  <c r="X746" i="2"/>
  <c r="Y745" i="2"/>
  <c r="X745" i="2"/>
  <c r="Y744" i="2"/>
  <c r="X744" i="2"/>
  <c r="Y743" i="2"/>
  <c r="X743" i="2"/>
  <c r="Y742" i="2"/>
  <c r="X742" i="2"/>
  <c r="Y741" i="2"/>
  <c r="X741" i="2"/>
  <c r="Y740" i="2"/>
  <c r="X740" i="2"/>
  <c r="Y739" i="2"/>
  <c r="X739" i="2"/>
  <c r="Y738" i="2"/>
  <c r="X738" i="2"/>
  <c r="Y737" i="2"/>
  <c r="X737" i="2"/>
  <c r="Y736" i="2"/>
  <c r="X736" i="2"/>
  <c r="Y735" i="2"/>
  <c r="X735" i="2"/>
  <c r="Y734" i="2"/>
  <c r="X734" i="2"/>
  <c r="Y733" i="2"/>
  <c r="X733" i="2"/>
  <c r="Y732" i="2"/>
  <c r="X732" i="2"/>
  <c r="Y731" i="2"/>
  <c r="X731" i="2"/>
  <c r="Y730" i="2"/>
  <c r="X730" i="2"/>
  <c r="Y729" i="2"/>
  <c r="X729" i="2"/>
  <c r="Y728" i="2"/>
  <c r="X728" i="2"/>
  <c r="Y727" i="2"/>
  <c r="X727" i="2"/>
  <c r="Y726" i="2"/>
  <c r="X726" i="2"/>
  <c r="Y725" i="2"/>
  <c r="X725" i="2"/>
  <c r="Y724" i="2"/>
  <c r="X724" i="2"/>
  <c r="Y723" i="2"/>
  <c r="X723" i="2"/>
  <c r="Y722" i="2"/>
  <c r="X722" i="2"/>
  <c r="Y721" i="2"/>
  <c r="X721" i="2"/>
  <c r="Y720" i="2"/>
  <c r="X720" i="2"/>
  <c r="Y719" i="2"/>
  <c r="X719" i="2"/>
  <c r="Y718" i="2"/>
  <c r="X718" i="2"/>
  <c r="Y717" i="2"/>
  <c r="X717" i="2"/>
  <c r="Y715" i="2"/>
  <c r="X715" i="2"/>
  <c r="Y714" i="2"/>
  <c r="X714" i="2"/>
  <c r="Y713" i="2"/>
  <c r="X713" i="2"/>
  <c r="Y712" i="2"/>
  <c r="X712" i="2"/>
  <c r="Y711" i="2"/>
  <c r="X711" i="2"/>
  <c r="Y710" i="2"/>
  <c r="X710" i="2"/>
  <c r="Y709" i="2"/>
  <c r="X709" i="2"/>
  <c r="Y708" i="2"/>
  <c r="X708" i="2"/>
  <c r="Y707" i="2"/>
  <c r="X707" i="2"/>
  <c r="Y706" i="2"/>
  <c r="X706" i="2"/>
  <c r="Y705" i="2"/>
  <c r="X705" i="2"/>
  <c r="Y704" i="2"/>
  <c r="X704" i="2"/>
  <c r="Y703" i="2"/>
  <c r="X703" i="2"/>
  <c r="Y702" i="2"/>
  <c r="X702" i="2"/>
  <c r="Y701" i="2"/>
  <c r="X701" i="2"/>
  <c r="Y700" i="2"/>
  <c r="X700" i="2"/>
  <c r="Y699" i="2"/>
  <c r="X699" i="2"/>
  <c r="Y698" i="2"/>
  <c r="X698" i="2"/>
  <c r="Y697" i="2"/>
  <c r="X697" i="2"/>
  <c r="Y696" i="2"/>
  <c r="X696" i="2"/>
  <c r="Y695" i="2"/>
  <c r="X695" i="2"/>
  <c r="Y694" i="2"/>
  <c r="X694" i="2"/>
  <c r="Y693" i="2"/>
  <c r="X693" i="2"/>
  <c r="Y692" i="2"/>
  <c r="X692" i="2"/>
  <c r="Y691" i="2"/>
  <c r="X691" i="2"/>
  <c r="Y690" i="2"/>
  <c r="X690" i="2"/>
  <c r="Y688" i="2"/>
  <c r="X688" i="2"/>
  <c r="Y687" i="2"/>
  <c r="X687" i="2"/>
  <c r="Y686" i="2"/>
  <c r="X686" i="2"/>
  <c r="Y685" i="2"/>
  <c r="X685" i="2"/>
  <c r="Y684" i="2"/>
  <c r="X684" i="2"/>
  <c r="Y683" i="2"/>
  <c r="X683" i="2"/>
  <c r="Y682" i="2"/>
  <c r="X682" i="2"/>
  <c r="Y681" i="2"/>
  <c r="X681" i="2"/>
  <c r="Y680" i="2"/>
  <c r="X680" i="2"/>
  <c r="Y679" i="2"/>
  <c r="X679" i="2"/>
  <c r="Y678" i="2"/>
  <c r="X678" i="2"/>
  <c r="Y676" i="2"/>
  <c r="X676" i="2"/>
  <c r="Y675" i="2"/>
  <c r="X675" i="2"/>
  <c r="Y674" i="2"/>
  <c r="X674" i="2"/>
  <c r="Y673" i="2"/>
  <c r="X673" i="2"/>
  <c r="Y672" i="2"/>
  <c r="X672" i="2"/>
  <c r="Y671" i="2"/>
  <c r="X671" i="2"/>
  <c r="Y670" i="2"/>
  <c r="X670" i="2"/>
  <c r="Y669" i="2"/>
  <c r="X669" i="2"/>
  <c r="Y668" i="2"/>
  <c r="X668" i="2"/>
  <c r="Y667" i="2"/>
  <c r="X667" i="2"/>
  <c r="Y666" i="2"/>
  <c r="X666" i="2"/>
  <c r="Y665" i="2"/>
  <c r="X665" i="2"/>
  <c r="Y664" i="2"/>
  <c r="X664" i="2"/>
  <c r="Y663" i="2"/>
  <c r="X663" i="2"/>
  <c r="Y662" i="2"/>
  <c r="X662" i="2"/>
  <c r="Y661" i="2"/>
  <c r="X661" i="2"/>
  <c r="Y660" i="2"/>
  <c r="X660" i="2"/>
  <c r="Y659" i="2"/>
  <c r="X659" i="2"/>
  <c r="Y658" i="2"/>
  <c r="X658" i="2"/>
  <c r="Y657" i="2"/>
  <c r="X657" i="2"/>
  <c r="Y656" i="2"/>
  <c r="X656" i="2"/>
  <c r="Y655" i="2"/>
  <c r="X655" i="2"/>
  <c r="Y654" i="2"/>
  <c r="X654" i="2"/>
  <c r="Y653" i="2"/>
  <c r="X653" i="2"/>
  <c r="Y652" i="2"/>
  <c r="X652" i="2"/>
  <c r="Y651" i="2"/>
  <c r="X651" i="2"/>
  <c r="Y650" i="2"/>
  <c r="X650" i="2"/>
  <c r="Y649" i="2"/>
  <c r="X649" i="2"/>
  <c r="Y648" i="2"/>
  <c r="X648" i="2"/>
  <c r="Y647" i="2"/>
  <c r="X647" i="2"/>
  <c r="Y646" i="2"/>
  <c r="X646" i="2"/>
  <c r="Y645" i="2"/>
  <c r="X645" i="2"/>
  <c r="Y644" i="2"/>
  <c r="X644" i="2"/>
  <c r="Y643" i="2"/>
  <c r="X643" i="2"/>
  <c r="Y642" i="2"/>
  <c r="X642" i="2"/>
  <c r="Y641" i="2"/>
  <c r="X641" i="2"/>
  <c r="Y640" i="2"/>
  <c r="X640" i="2"/>
  <c r="Y638" i="2"/>
  <c r="X638" i="2"/>
  <c r="Y636" i="2"/>
  <c r="X636" i="2"/>
  <c r="Y635" i="2"/>
  <c r="X635" i="2"/>
  <c r="Y634" i="2"/>
  <c r="X634" i="2"/>
  <c r="Y633" i="2"/>
  <c r="X633" i="2"/>
  <c r="Y632" i="2"/>
  <c r="X632" i="2"/>
  <c r="Y631" i="2"/>
  <c r="X631" i="2"/>
  <c r="Y630" i="2"/>
  <c r="X630" i="2"/>
  <c r="Y628" i="2"/>
  <c r="X628" i="2"/>
  <c r="Y627" i="2"/>
  <c r="X627" i="2"/>
  <c r="Y626" i="2"/>
  <c r="X626" i="2"/>
  <c r="Y625" i="2"/>
  <c r="X625" i="2"/>
  <c r="Y624" i="2"/>
  <c r="X624" i="2"/>
  <c r="Y623" i="2"/>
  <c r="X623" i="2"/>
  <c r="Y622" i="2"/>
  <c r="X622" i="2"/>
  <c r="Y621" i="2"/>
  <c r="X621" i="2"/>
  <c r="Y620" i="2"/>
  <c r="X620" i="2"/>
  <c r="Y619" i="2"/>
  <c r="X619" i="2"/>
  <c r="Y618" i="2"/>
  <c r="X618" i="2"/>
  <c r="Y617" i="2"/>
  <c r="X617" i="2"/>
  <c r="Y616" i="2"/>
  <c r="X616" i="2"/>
  <c r="Y615" i="2"/>
  <c r="X615" i="2"/>
  <c r="Y614" i="2"/>
  <c r="X614" i="2"/>
  <c r="Y613" i="2"/>
  <c r="X613" i="2"/>
  <c r="Y612" i="2"/>
  <c r="X612" i="2"/>
  <c r="Y611" i="2"/>
  <c r="X611" i="2"/>
  <c r="Y610" i="2"/>
  <c r="X610" i="2"/>
  <c r="Y609" i="2"/>
  <c r="X609" i="2"/>
  <c r="Y608" i="2"/>
  <c r="X608" i="2"/>
  <c r="Y607" i="2"/>
  <c r="X607" i="2"/>
  <c r="Y606" i="2"/>
  <c r="X606" i="2"/>
  <c r="Y605" i="2"/>
  <c r="X605" i="2"/>
  <c r="Y603" i="2"/>
  <c r="X603" i="2"/>
  <c r="Y602" i="2"/>
  <c r="X602" i="2"/>
  <c r="Y601" i="2"/>
  <c r="X601" i="2"/>
  <c r="Y600" i="2"/>
  <c r="X600" i="2"/>
  <c r="Y599" i="2"/>
  <c r="X599" i="2"/>
  <c r="Y598" i="2"/>
  <c r="X598" i="2"/>
  <c r="Y597" i="2"/>
  <c r="X597" i="2"/>
  <c r="Y596" i="2"/>
  <c r="X596" i="2"/>
  <c r="Y595" i="2"/>
  <c r="X595" i="2"/>
  <c r="Y594" i="2"/>
  <c r="X594" i="2"/>
  <c r="Y593" i="2"/>
  <c r="X593" i="2"/>
  <c r="Y592" i="2"/>
  <c r="X592" i="2"/>
  <c r="Y591" i="2"/>
  <c r="X591" i="2"/>
  <c r="Y590" i="2"/>
  <c r="X590" i="2"/>
  <c r="Y589" i="2"/>
  <c r="X589" i="2"/>
  <c r="Y588" i="2"/>
  <c r="X588" i="2"/>
  <c r="Y587" i="2"/>
  <c r="X587" i="2"/>
  <c r="Y586" i="2"/>
  <c r="X586" i="2"/>
  <c r="Y585" i="2"/>
  <c r="X585" i="2"/>
  <c r="Y584" i="2"/>
  <c r="X584" i="2"/>
  <c r="Y583" i="2"/>
  <c r="X583" i="2"/>
  <c r="Y582" i="2"/>
  <c r="X582" i="2"/>
  <c r="Y581" i="2"/>
  <c r="X581" i="2"/>
  <c r="Y580" i="2"/>
  <c r="X580" i="2"/>
  <c r="Y579" i="2"/>
  <c r="X579" i="2"/>
  <c r="Y578" i="2"/>
  <c r="X578" i="2"/>
  <c r="Y577" i="2"/>
  <c r="X577" i="2"/>
  <c r="Y576" i="2"/>
  <c r="X576" i="2"/>
  <c r="Y575" i="2"/>
  <c r="X575" i="2"/>
  <c r="Y574" i="2"/>
  <c r="X574" i="2"/>
  <c r="Y573" i="2"/>
  <c r="X573" i="2"/>
  <c r="Y572" i="2"/>
  <c r="X572" i="2"/>
  <c r="Y571" i="2"/>
  <c r="X571" i="2"/>
  <c r="Y570" i="2"/>
  <c r="X570" i="2"/>
  <c r="Y569" i="2"/>
  <c r="X569" i="2"/>
  <c r="Y568" i="2"/>
  <c r="X568" i="2"/>
  <c r="Y567" i="2"/>
  <c r="X567" i="2"/>
  <c r="Y566" i="2"/>
  <c r="X566" i="2"/>
  <c r="Y565" i="2"/>
  <c r="X565" i="2"/>
  <c r="Y564" i="2"/>
  <c r="X564" i="2"/>
  <c r="Y563" i="2"/>
  <c r="X563" i="2"/>
  <c r="Y562" i="2"/>
  <c r="X562" i="2"/>
  <c r="Y561" i="2"/>
  <c r="X561" i="2"/>
  <c r="Y560" i="2"/>
  <c r="X560" i="2"/>
  <c r="Y559" i="2"/>
  <c r="X559" i="2"/>
  <c r="Y558" i="2"/>
  <c r="X558" i="2"/>
  <c r="Y557" i="2"/>
  <c r="X557" i="2"/>
  <c r="Y556" i="2"/>
  <c r="X556" i="2"/>
  <c r="Y555" i="2"/>
  <c r="X555" i="2"/>
  <c r="Y554" i="2"/>
  <c r="X554" i="2"/>
  <c r="Y553" i="2"/>
  <c r="X553" i="2"/>
  <c r="Y552" i="2"/>
  <c r="X552" i="2"/>
  <c r="Y551" i="2"/>
  <c r="X551" i="2"/>
  <c r="Y550" i="2"/>
  <c r="X550" i="2"/>
  <c r="Y549" i="2"/>
  <c r="X549" i="2"/>
  <c r="AI554" i="2"/>
  <c r="AH554" i="2"/>
  <c r="AG554" i="2"/>
  <c r="AF554" i="2"/>
  <c r="AE554" i="2"/>
  <c r="AD554" i="2"/>
  <c r="AC554" i="2"/>
  <c r="AB554" i="2"/>
  <c r="AI553" i="2"/>
  <c r="AH553" i="2"/>
  <c r="AG553" i="2"/>
  <c r="AF553" i="2"/>
  <c r="AE553" i="2"/>
  <c r="AD553" i="2"/>
  <c r="AC553" i="2"/>
  <c r="AB553" i="2"/>
  <c r="AI552" i="2"/>
  <c r="AH552" i="2"/>
  <c r="AG552" i="2"/>
  <c r="AE552" i="2"/>
  <c r="AD552" i="2"/>
  <c r="AC552" i="2"/>
  <c r="AB552" i="2"/>
  <c r="AI551" i="2"/>
  <c r="AH551" i="2"/>
  <c r="AG551" i="2"/>
  <c r="AE551" i="2"/>
  <c r="AD551" i="2"/>
  <c r="AC551" i="2"/>
  <c r="AB551" i="2"/>
  <c r="AI550" i="2"/>
  <c r="AH550" i="2"/>
  <c r="AG550" i="2"/>
  <c r="AE550" i="2"/>
  <c r="AD550" i="2"/>
  <c r="AC550" i="2"/>
  <c r="AB550" i="2"/>
  <c r="AI549" i="2"/>
  <c r="AH549" i="2"/>
  <c r="AG549" i="2"/>
  <c r="AE549" i="2"/>
  <c r="AD549" i="2"/>
  <c r="AC549" i="2"/>
  <c r="AB549" i="2"/>
  <c r="Y547" i="2"/>
  <c r="X547" i="2"/>
  <c r="Y546" i="2"/>
  <c r="X546" i="2"/>
  <c r="Y545" i="2"/>
  <c r="X545" i="2"/>
  <c r="Y544" i="2"/>
  <c r="X544" i="2"/>
  <c r="Y543" i="2"/>
  <c r="X543" i="2"/>
  <c r="Y542" i="2"/>
  <c r="X542" i="2"/>
  <c r="Y541" i="2"/>
  <c r="X541" i="2"/>
  <c r="Y540" i="2"/>
  <c r="X540" i="2"/>
  <c r="Y539" i="2"/>
  <c r="X539" i="2"/>
  <c r="Y538" i="2"/>
  <c r="X538" i="2"/>
  <c r="Y537" i="2"/>
  <c r="X537" i="2"/>
  <c r="Y536" i="2"/>
  <c r="X536" i="2"/>
  <c r="Y535" i="2"/>
  <c r="X535" i="2"/>
  <c r="Y534" i="2"/>
  <c r="X534" i="2"/>
  <c r="Y533" i="2"/>
  <c r="X533" i="2"/>
  <c r="Y532" i="2"/>
  <c r="X532" i="2"/>
  <c r="Y531" i="2"/>
  <c r="X531" i="2"/>
  <c r="Y530" i="2"/>
  <c r="X530" i="2"/>
  <c r="Y529" i="2"/>
  <c r="X529" i="2"/>
  <c r="Y528" i="2"/>
  <c r="X528" i="2"/>
  <c r="Y527" i="2"/>
  <c r="X527" i="2"/>
  <c r="Y526" i="2"/>
  <c r="X526" i="2"/>
  <c r="Y525" i="2"/>
  <c r="X525" i="2"/>
  <c r="Y524" i="2"/>
  <c r="X524" i="2"/>
  <c r="Y523" i="2"/>
  <c r="X523" i="2"/>
  <c r="Y522" i="2"/>
  <c r="X522" i="2"/>
  <c r="Y521" i="2"/>
  <c r="X521" i="2"/>
  <c r="Y520" i="2"/>
  <c r="X520" i="2"/>
  <c r="Y519" i="2"/>
  <c r="X519" i="2"/>
  <c r="Y518" i="2"/>
  <c r="X518" i="2"/>
  <c r="Y517" i="2"/>
  <c r="X517" i="2"/>
  <c r="Y516" i="2"/>
  <c r="X516" i="2"/>
  <c r="Y515" i="2"/>
  <c r="X515" i="2"/>
  <c r="Y514" i="2"/>
  <c r="X514" i="2"/>
  <c r="Y513" i="2"/>
  <c r="X513" i="2"/>
  <c r="Y512" i="2"/>
  <c r="X512" i="2"/>
  <c r="Y511" i="2"/>
  <c r="X511" i="2"/>
  <c r="Y510" i="2"/>
  <c r="X510" i="2"/>
  <c r="Y509" i="2"/>
  <c r="X509" i="2"/>
  <c r="Y508" i="2"/>
  <c r="X508" i="2"/>
  <c r="Y507" i="2"/>
  <c r="X507" i="2"/>
  <c r="Y506" i="2"/>
  <c r="X506" i="2"/>
  <c r="Y505" i="2"/>
  <c r="X505" i="2"/>
  <c r="Y504" i="2"/>
  <c r="X504" i="2"/>
  <c r="Y503" i="2"/>
  <c r="X503" i="2"/>
  <c r="Y502" i="2"/>
  <c r="X502" i="2"/>
  <c r="Y501" i="2"/>
  <c r="X501" i="2"/>
  <c r="AI547" i="2"/>
  <c r="AH547" i="2"/>
  <c r="AG547" i="2"/>
  <c r="AE547" i="2"/>
  <c r="AD547" i="2"/>
  <c r="AC547" i="2"/>
  <c r="AB547" i="2"/>
  <c r="AI546" i="2"/>
  <c r="AH546" i="2"/>
  <c r="AG546" i="2"/>
  <c r="AE546" i="2"/>
  <c r="AD546" i="2"/>
  <c r="AC546" i="2"/>
  <c r="AB546" i="2"/>
  <c r="AI545" i="2"/>
  <c r="AH545" i="2"/>
  <c r="AG545" i="2"/>
  <c r="AE545" i="2"/>
  <c r="AD545" i="2"/>
  <c r="AC545" i="2"/>
  <c r="AB545" i="2"/>
  <c r="AI544" i="2"/>
  <c r="AH544" i="2"/>
  <c r="AG544" i="2"/>
  <c r="AE544" i="2"/>
  <c r="AD544" i="2"/>
  <c r="AC544" i="2"/>
  <c r="AB544" i="2"/>
  <c r="AI543" i="2"/>
  <c r="AH543" i="2"/>
  <c r="AG543" i="2"/>
  <c r="AE543" i="2"/>
  <c r="AD543" i="2"/>
  <c r="AB543" i="2"/>
  <c r="AI542" i="2"/>
  <c r="AH542" i="2"/>
  <c r="AG542" i="2"/>
  <c r="AE542" i="2"/>
  <c r="AD542" i="2"/>
  <c r="AC542" i="2"/>
  <c r="AB542" i="2"/>
  <c r="AI541" i="2"/>
  <c r="AH541" i="2"/>
  <c r="AG541" i="2"/>
  <c r="AE541" i="2"/>
  <c r="AD541" i="2"/>
  <c r="AC541" i="2"/>
  <c r="AB541" i="2"/>
  <c r="AI540" i="2"/>
  <c r="AH540" i="2"/>
  <c r="AG540" i="2"/>
  <c r="AE540" i="2"/>
  <c r="AD540" i="2"/>
  <c r="AC540" i="2"/>
  <c r="AB540" i="2"/>
  <c r="AI539" i="2"/>
  <c r="AH539" i="2"/>
  <c r="AG539" i="2"/>
  <c r="AE539" i="2"/>
  <c r="AD539" i="2"/>
  <c r="AC539" i="2"/>
  <c r="AB539" i="2"/>
  <c r="AI538" i="2"/>
  <c r="AG538" i="2"/>
  <c r="AE538" i="2"/>
  <c r="AD538" i="2"/>
  <c r="AC538" i="2"/>
  <c r="AH538" i="2"/>
  <c r="AB538" i="2"/>
  <c r="AI537" i="2"/>
  <c r="AH537" i="2"/>
  <c r="AG537" i="2"/>
  <c r="AD537" i="2"/>
  <c r="AB537" i="2"/>
  <c r="AI536" i="2"/>
  <c r="AH536" i="2"/>
  <c r="AG536" i="2"/>
  <c r="AE536" i="2"/>
  <c r="AD536" i="2"/>
  <c r="AB536" i="2"/>
  <c r="AI535" i="2"/>
  <c r="AH535" i="2"/>
  <c r="AG535" i="2"/>
  <c r="AE535" i="2"/>
  <c r="AD535" i="2"/>
  <c r="AC535" i="2"/>
  <c r="AB535" i="2"/>
  <c r="AI534" i="2"/>
  <c r="AG534" i="2"/>
  <c r="AE534" i="2"/>
  <c r="AD534" i="2"/>
  <c r="AC534" i="2"/>
  <c r="AI533" i="2"/>
  <c r="AH533" i="2"/>
  <c r="AG533" i="2"/>
  <c r="AE533" i="2"/>
  <c r="AD533" i="2"/>
  <c r="AC533" i="2"/>
  <c r="AB533" i="2"/>
  <c r="AI532" i="2"/>
  <c r="AG532" i="2"/>
  <c r="AF532" i="2"/>
  <c r="AE532" i="2"/>
  <c r="AD532" i="2"/>
  <c r="AC532" i="2"/>
  <c r="AB532" i="2"/>
  <c r="AI531" i="2"/>
  <c r="AG531" i="2"/>
  <c r="AD531" i="2"/>
  <c r="AI530" i="2"/>
  <c r="AH530" i="2"/>
  <c r="AG530" i="2"/>
  <c r="AE530" i="2"/>
  <c r="AD530" i="2"/>
  <c r="AC530" i="2"/>
  <c r="AI529" i="2"/>
  <c r="AH529" i="2"/>
  <c r="AG529" i="2"/>
  <c r="AE529" i="2"/>
  <c r="AD529" i="2"/>
  <c r="AI528" i="2"/>
  <c r="AH528" i="2"/>
  <c r="AG528" i="2"/>
  <c r="AE528" i="2"/>
  <c r="AD528" i="2"/>
  <c r="AC528" i="2"/>
  <c r="AB528" i="2"/>
  <c r="AI527" i="2"/>
  <c r="AG527" i="2"/>
  <c r="AE527" i="2"/>
  <c r="AD527" i="2"/>
  <c r="AI526" i="2"/>
  <c r="AH526" i="2"/>
  <c r="AG526" i="2"/>
  <c r="AF526" i="2"/>
  <c r="AE526" i="2"/>
  <c r="AD526" i="2"/>
  <c r="AC526" i="2"/>
  <c r="AB526" i="2"/>
  <c r="AI525" i="2"/>
  <c r="AH525" i="2"/>
  <c r="AG525" i="2"/>
  <c r="AF525" i="2"/>
  <c r="AE525" i="2"/>
  <c r="AD525" i="2"/>
  <c r="AC525" i="2"/>
  <c r="AB525" i="2"/>
  <c r="AI524" i="2"/>
  <c r="AH524" i="2"/>
  <c r="AG524" i="2"/>
  <c r="AF524" i="2"/>
  <c r="AE524" i="2"/>
  <c r="AD524" i="2"/>
  <c r="AC524" i="2"/>
  <c r="AB524" i="2"/>
  <c r="AI523" i="2"/>
  <c r="AH523" i="2"/>
  <c r="AG523" i="2"/>
  <c r="AE523" i="2"/>
  <c r="AD523" i="2"/>
  <c r="AB523" i="2"/>
  <c r="AI522" i="2"/>
  <c r="AH522" i="2"/>
  <c r="AG522" i="2"/>
  <c r="AE522" i="2"/>
  <c r="AD522" i="2"/>
  <c r="AB522" i="2"/>
  <c r="AI521" i="2"/>
  <c r="AH521" i="2"/>
  <c r="AG521" i="2"/>
  <c r="AE521" i="2"/>
  <c r="AD521" i="2"/>
  <c r="AC521" i="2"/>
  <c r="AB521" i="2"/>
  <c r="AI520" i="2"/>
  <c r="AH520" i="2"/>
  <c r="AG520" i="2"/>
  <c r="AE520" i="2"/>
  <c r="AD520" i="2"/>
  <c r="AC520" i="2"/>
  <c r="AB520" i="2"/>
  <c r="AI519" i="2"/>
  <c r="AH519" i="2"/>
  <c r="AG519" i="2"/>
  <c r="AE519" i="2"/>
  <c r="AD519" i="2"/>
  <c r="AC519" i="2"/>
  <c r="AB519" i="2"/>
  <c r="AI518" i="2"/>
  <c r="AH518" i="2"/>
  <c r="AG518" i="2"/>
  <c r="AE518" i="2"/>
  <c r="AD518" i="2"/>
  <c r="AB518" i="2"/>
  <c r="AI517" i="2"/>
  <c r="AH517" i="2"/>
  <c r="AG517" i="2"/>
  <c r="AE517" i="2"/>
  <c r="AD517" i="2"/>
  <c r="AB517" i="2"/>
  <c r="AI516" i="2"/>
  <c r="AH516" i="2"/>
  <c r="AG516" i="2"/>
  <c r="AE516" i="2"/>
  <c r="AD516" i="2"/>
  <c r="AC516" i="2"/>
  <c r="AI515" i="2"/>
  <c r="AH515" i="2"/>
  <c r="AG515" i="2"/>
  <c r="AE515" i="2"/>
  <c r="AD515" i="2"/>
  <c r="AI514" i="2"/>
  <c r="AH514" i="2"/>
  <c r="AG514" i="2"/>
  <c r="AD514" i="2"/>
  <c r="AI513" i="2"/>
  <c r="AG513" i="2"/>
  <c r="AE513" i="2"/>
  <c r="AD513" i="2"/>
  <c r="AC513" i="2"/>
  <c r="AH513" i="2"/>
  <c r="AB513" i="2"/>
  <c r="AI512" i="2"/>
  <c r="AH512" i="2"/>
  <c r="AG512" i="2"/>
  <c r="AE512" i="2"/>
  <c r="AD512" i="2"/>
  <c r="AC512" i="2"/>
  <c r="AB512" i="2"/>
  <c r="AI511" i="2"/>
  <c r="AH511" i="2"/>
  <c r="AG511" i="2"/>
  <c r="AE511" i="2"/>
  <c r="AD511" i="2"/>
  <c r="AC511" i="2"/>
  <c r="AB511" i="2"/>
  <c r="AI510" i="2"/>
  <c r="AG510" i="2"/>
  <c r="AE510" i="2"/>
  <c r="AD510" i="2"/>
  <c r="AC510" i="2"/>
  <c r="AB510" i="2"/>
  <c r="AI509" i="2"/>
  <c r="AH509" i="2"/>
  <c r="AG509" i="2"/>
  <c r="AE509" i="2"/>
  <c r="AD509" i="2"/>
  <c r="AC509" i="2"/>
  <c r="AB509" i="2"/>
  <c r="AI508" i="2"/>
  <c r="AH508" i="2"/>
  <c r="AG508" i="2"/>
  <c r="AF508" i="2"/>
  <c r="AE508" i="2"/>
  <c r="AD508" i="2"/>
  <c r="AC508" i="2"/>
  <c r="AB508" i="2"/>
  <c r="AI507" i="2"/>
  <c r="AG507" i="2"/>
  <c r="AD507" i="2"/>
  <c r="AB507" i="2"/>
  <c r="AI506" i="2"/>
  <c r="AH506" i="2"/>
  <c r="AG506" i="2"/>
  <c r="AE506" i="2"/>
  <c r="AD506" i="2"/>
  <c r="AC506" i="2"/>
  <c r="AB506" i="2"/>
  <c r="AI505" i="2"/>
  <c r="AH505" i="2"/>
  <c r="AG505" i="2"/>
  <c r="AE505" i="2"/>
  <c r="AD505" i="2"/>
  <c r="AC505" i="2"/>
  <c r="AB505" i="2"/>
  <c r="AI504" i="2"/>
  <c r="AG504" i="2"/>
  <c r="AE504" i="2"/>
  <c r="AD504" i="2"/>
  <c r="AC504" i="2"/>
  <c r="AB504" i="2"/>
  <c r="AI503" i="2"/>
  <c r="AG503" i="2"/>
  <c r="AE503" i="2"/>
  <c r="AD503" i="2"/>
  <c r="AC503" i="2"/>
  <c r="AB503" i="2"/>
  <c r="AI502" i="2"/>
  <c r="AH502" i="2"/>
  <c r="AG502" i="2"/>
  <c r="AE502" i="2"/>
  <c r="AD502" i="2"/>
  <c r="AC502" i="2"/>
  <c r="AB502" i="2"/>
  <c r="AI501" i="2"/>
  <c r="AH501" i="2"/>
  <c r="AG501" i="2"/>
  <c r="AE501" i="2"/>
  <c r="AD501" i="2"/>
  <c r="AC501" i="2"/>
  <c r="Y499" i="2"/>
  <c r="X499" i="2"/>
  <c r="Y498" i="2"/>
  <c r="X498" i="2"/>
  <c r="Y497" i="2"/>
  <c r="X497" i="2"/>
  <c r="Y496" i="2"/>
  <c r="X496" i="2"/>
  <c r="Y495" i="2"/>
  <c r="X495" i="2"/>
  <c r="Y494" i="2"/>
  <c r="X494" i="2"/>
  <c r="Y493" i="2"/>
  <c r="X493" i="2"/>
  <c r="Y492" i="2"/>
  <c r="X492" i="2"/>
  <c r="Y491" i="2"/>
  <c r="X491" i="2"/>
  <c r="Y490" i="2"/>
  <c r="X490" i="2"/>
  <c r="Y489" i="2"/>
  <c r="X489" i="2"/>
  <c r="Y488" i="2"/>
  <c r="X488" i="2"/>
  <c r="Y487" i="2"/>
  <c r="X487" i="2"/>
  <c r="Y486" i="2"/>
  <c r="X486" i="2"/>
  <c r="Y485" i="2"/>
  <c r="X485" i="2"/>
  <c r="Y484" i="2"/>
  <c r="X484" i="2"/>
  <c r="Y483" i="2"/>
  <c r="X483" i="2"/>
  <c r="Y482" i="2"/>
  <c r="X482" i="2"/>
  <c r="Y481" i="2"/>
  <c r="X481" i="2"/>
  <c r="Y480" i="2"/>
  <c r="X480" i="2"/>
  <c r="Y479" i="2"/>
  <c r="X479" i="2"/>
  <c r="Y478" i="2"/>
  <c r="X478" i="2"/>
  <c r="Y477" i="2"/>
  <c r="X477" i="2"/>
  <c r="Y476" i="2"/>
  <c r="X476" i="2"/>
  <c r="Y475" i="2"/>
  <c r="X475" i="2"/>
  <c r="Y474" i="2"/>
  <c r="X474" i="2"/>
  <c r="Y473" i="2"/>
  <c r="X473" i="2"/>
  <c r="Y472" i="2"/>
  <c r="X472" i="2"/>
  <c r="Y471" i="2"/>
  <c r="X471" i="2"/>
  <c r="Y470" i="2"/>
  <c r="X470" i="2"/>
  <c r="Y469" i="2"/>
  <c r="X469" i="2"/>
  <c r="Y468" i="2"/>
  <c r="X468" i="2"/>
  <c r="Y467" i="2"/>
  <c r="X467" i="2"/>
  <c r="Y466" i="2"/>
  <c r="X466" i="2"/>
  <c r="Y465" i="2"/>
  <c r="X465" i="2"/>
  <c r="Y464" i="2"/>
  <c r="X464" i="2"/>
  <c r="Y463" i="2"/>
  <c r="X463" i="2"/>
  <c r="Y462" i="2"/>
  <c r="X462" i="2"/>
  <c r="Y461" i="2"/>
  <c r="X461" i="2"/>
  <c r="Y460" i="2"/>
  <c r="X460" i="2"/>
  <c r="Y459" i="2"/>
  <c r="X459" i="2"/>
  <c r="Y458" i="2"/>
  <c r="X458" i="2"/>
  <c r="Y457" i="2"/>
  <c r="X457" i="2"/>
  <c r="Y456" i="2"/>
  <c r="X456" i="2"/>
  <c r="Y455" i="2"/>
  <c r="X455" i="2"/>
  <c r="Y454" i="2"/>
  <c r="X454" i="2"/>
  <c r="Y453" i="2"/>
  <c r="X453" i="2"/>
  <c r="Y452" i="2"/>
  <c r="X452" i="2"/>
  <c r="Y451" i="2"/>
  <c r="X451" i="2"/>
  <c r="Y450" i="2"/>
  <c r="X450" i="2"/>
  <c r="Y449" i="2"/>
  <c r="X449" i="2"/>
  <c r="AI499" i="2"/>
  <c r="AH499" i="2"/>
  <c r="AG499" i="2"/>
  <c r="AF499" i="2"/>
  <c r="AE499" i="2"/>
  <c r="AD499" i="2"/>
  <c r="AC499" i="2"/>
  <c r="AB499" i="2"/>
  <c r="AI498" i="2"/>
  <c r="AH498" i="2"/>
  <c r="AG498" i="2"/>
  <c r="AE498" i="2"/>
  <c r="AD498" i="2"/>
  <c r="AI497" i="2"/>
  <c r="AH497" i="2"/>
  <c r="AG497" i="2"/>
  <c r="AF497" i="2"/>
  <c r="AE497" i="2"/>
  <c r="AD497" i="2"/>
  <c r="AC497" i="2"/>
  <c r="AB497" i="2"/>
  <c r="AI496" i="2"/>
  <c r="AG496" i="2"/>
  <c r="AE496" i="2"/>
  <c r="AD496" i="2"/>
  <c r="AI495" i="2"/>
  <c r="AH495" i="2"/>
  <c r="AG495" i="2"/>
  <c r="AE495" i="2"/>
  <c r="AD495" i="2"/>
  <c r="AC495" i="2"/>
  <c r="AI494" i="2"/>
  <c r="AH494" i="2"/>
  <c r="AG494" i="2"/>
  <c r="AE494" i="2"/>
  <c r="AD494" i="2"/>
  <c r="AC494" i="2"/>
  <c r="AB494" i="2"/>
  <c r="AI493" i="2"/>
  <c r="AH493" i="2"/>
  <c r="AG493" i="2"/>
  <c r="AE493" i="2"/>
  <c r="AD493" i="2"/>
  <c r="AC493" i="2"/>
  <c r="AI492" i="2"/>
  <c r="AH492" i="2"/>
  <c r="AG492" i="2"/>
  <c r="AF492" i="2"/>
  <c r="AE492" i="2"/>
  <c r="AD492" i="2"/>
  <c r="AC492" i="2"/>
  <c r="AB492" i="2"/>
  <c r="AI491" i="2"/>
  <c r="AH491" i="2"/>
  <c r="AG491" i="2"/>
  <c r="AE491" i="2"/>
  <c r="AD491" i="2"/>
  <c r="AC491" i="2"/>
  <c r="AB491" i="2"/>
  <c r="AI490" i="2"/>
  <c r="AG490" i="2"/>
  <c r="AE490" i="2"/>
  <c r="AD490" i="2"/>
  <c r="AC490" i="2"/>
  <c r="AI489" i="2"/>
  <c r="AH489" i="2"/>
  <c r="AG489" i="2"/>
  <c r="AE489" i="2"/>
  <c r="AD489" i="2"/>
  <c r="AI488" i="2"/>
  <c r="AH488" i="2"/>
  <c r="AG488" i="2"/>
  <c r="AF488" i="2"/>
  <c r="AE488" i="2"/>
  <c r="AD488" i="2"/>
  <c r="AC488" i="2"/>
  <c r="AB488" i="2"/>
  <c r="AI487" i="2"/>
  <c r="AH487" i="2"/>
  <c r="AG487" i="2"/>
  <c r="AE487" i="2"/>
  <c r="AD487" i="2"/>
  <c r="AC487" i="2"/>
  <c r="AB487" i="2"/>
  <c r="AI486" i="2"/>
  <c r="AH486" i="2"/>
  <c r="AG486" i="2"/>
  <c r="AE486" i="2"/>
  <c r="AD486" i="2"/>
  <c r="AC486" i="2"/>
  <c r="AB486" i="2"/>
  <c r="AI485" i="2"/>
  <c r="AH485" i="2"/>
  <c r="AG485" i="2"/>
  <c r="AE485" i="2"/>
  <c r="AD485" i="2"/>
  <c r="AC485" i="2"/>
  <c r="AB485" i="2"/>
  <c r="AI484" i="2"/>
  <c r="AH484" i="2"/>
  <c r="AG484" i="2"/>
  <c r="AD484" i="2"/>
  <c r="AE484" i="2"/>
  <c r="AB484" i="2"/>
  <c r="AI483" i="2"/>
  <c r="AH483" i="2"/>
  <c r="AG483" i="2"/>
  <c r="AF483" i="2"/>
  <c r="AE483" i="2"/>
  <c r="AD483" i="2"/>
  <c r="AC483" i="2"/>
  <c r="AB483" i="2"/>
  <c r="AI482" i="2"/>
  <c r="AH482" i="2"/>
  <c r="AG482" i="2"/>
  <c r="AF482" i="2"/>
  <c r="AE482" i="2"/>
  <c r="AD482" i="2"/>
  <c r="AB482" i="2"/>
  <c r="AI481" i="2"/>
  <c r="AH481" i="2"/>
  <c r="AG481" i="2"/>
  <c r="AF481" i="2"/>
  <c r="AE481" i="2"/>
  <c r="AD481" i="2"/>
  <c r="AC481" i="2"/>
  <c r="AB481" i="2"/>
  <c r="AI480" i="2"/>
  <c r="AH480" i="2"/>
  <c r="AG480" i="2"/>
  <c r="AE480" i="2"/>
  <c r="AD480" i="2"/>
  <c r="AK479" i="2"/>
  <c r="AJ479" i="2"/>
  <c r="AI479" i="2"/>
  <c r="AH479" i="2"/>
  <c r="AG479" i="2"/>
  <c r="AE479" i="2"/>
  <c r="AD479" i="2"/>
  <c r="AC479" i="2"/>
  <c r="AB479" i="2"/>
  <c r="AA479" i="2"/>
  <c r="Z479" i="2"/>
  <c r="AI478" i="2"/>
  <c r="AH478" i="2"/>
  <c r="AG478" i="2"/>
  <c r="AE478" i="2"/>
  <c r="AD478" i="2"/>
  <c r="AC478" i="2"/>
  <c r="AI477" i="2"/>
  <c r="AH477" i="2"/>
  <c r="AG477" i="2"/>
  <c r="AE477" i="2"/>
  <c r="AD477" i="2"/>
  <c r="AI476" i="2"/>
  <c r="AG476" i="2"/>
  <c r="AE476" i="2"/>
  <c r="AD476" i="2"/>
  <c r="AC476" i="2"/>
  <c r="AB476" i="2"/>
  <c r="AI475" i="2"/>
  <c r="AH475" i="2"/>
  <c r="AG475" i="2"/>
  <c r="AE475" i="2"/>
  <c r="AD475" i="2"/>
  <c r="AI474" i="2"/>
  <c r="AH474" i="2"/>
  <c r="AG474" i="2"/>
  <c r="AE474" i="2"/>
  <c r="AD474" i="2"/>
  <c r="AC474" i="2"/>
  <c r="AI473" i="2"/>
  <c r="AH473" i="2"/>
  <c r="AG473" i="2"/>
  <c r="AE473" i="2"/>
  <c r="AD473" i="2"/>
  <c r="AC473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AI471" i="2"/>
  <c r="AH471" i="2"/>
  <c r="AG471" i="2"/>
  <c r="AE471" i="2"/>
  <c r="AD471" i="2"/>
  <c r="AC471" i="2"/>
  <c r="AB471" i="2"/>
  <c r="AI470" i="2"/>
  <c r="AH470" i="2"/>
  <c r="AG470" i="2"/>
  <c r="AE470" i="2"/>
  <c r="AD470" i="2"/>
  <c r="AB470" i="2"/>
  <c r="AI469" i="2"/>
  <c r="AH469" i="2"/>
  <c r="AG469" i="2"/>
  <c r="AE469" i="2"/>
  <c r="AD469" i="2"/>
  <c r="AC469" i="2"/>
  <c r="AB469" i="2"/>
  <c r="AI468" i="2"/>
  <c r="AG468" i="2"/>
  <c r="AE468" i="2"/>
  <c r="AD468" i="2"/>
  <c r="AB468" i="2"/>
  <c r="AI467" i="2"/>
  <c r="AH467" i="2"/>
  <c r="AG467" i="2"/>
  <c r="AE467" i="2"/>
  <c r="AD467" i="2"/>
  <c r="AC467" i="2"/>
  <c r="AI466" i="2"/>
  <c r="AG466" i="2"/>
  <c r="AD466" i="2"/>
  <c r="AC466" i="2"/>
  <c r="AI465" i="2"/>
  <c r="AG465" i="2"/>
  <c r="AE465" i="2"/>
  <c r="AD465" i="2"/>
  <c r="AB465" i="2"/>
  <c r="AI464" i="2"/>
  <c r="AH464" i="2"/>
  <c r="AG464" i="2"/>
  <c r="AE464" i="2"/>
  <c r="AD464" i="2"/>
  <c r="AC464" i="2"/>
  <c r="AB464" i="2"/>
  <c r="AI463" i="2"/>
  <c r="AH463" i="2"/>
  <c r="AG463" i="2"/>
  <c r="AE463" i="2"/>
  <c r="AD463" i="2"/>
  <c r="AC463" i="2"/>
  <c r="AB463" i="2"/>
  <c r="AI462" i="2"/>
  <c r="AH462" i="2"/>
  <c r="AG462" i="2"/>
  <c r="AF462" i="2"/>
  <c r="AE462" i="2"/>
  <c r="AD462" i="2"/>
  <c r="AC462" i="2"/>
  <c r="AB462" i="2"/>
  <c r="AI461" i="2"/>
  <c r="AH461" i="2"/>
  <c r="AG461" i="2"/>
  <c r="AE461" i="2"/>
  <c r="AD461" i="2"/>
  <c r="AC461" i="2"/>
  <c r="AI460" i="2"/>
  <c r="AH460" i="2"/>
  <c r="AG460" i="2"/>
  <c r="AE460" i="2"/>
  <c r="AD460" i="2"/>
  <c r="AC460" i="2"/>
  <c r="AB460" i="2"/>
  <c r="AI459" i="2"/>
  <c r="AH459" i="2"/>
  <c r="AG459" i="2"/>
  <c r="AE459" i="2"/>
  <c r="AD459" i="2"/>
  <c r="AC459" i="2"/>
  <c r="AI458" i="2"/>
  <c r="AH458" i="2"/>
  <c r="AG458" i="2"/>
  <c r="AF458" i="2"/>
  <c r="AE458" i="2"/>
  <c r="AD458" i="2"/>
  <c r="AC458" i="2"/>
  <c r="AB458" i="2"/>
  <c r="AI457" i="2"/>
  <c r="AH457" i="2"/>
  <c r="AG457" i="2"/>
  <c r="AF457" i="2"/>
  <c r="AE457" i="2"/>
  <c r="AD457" i="2"/>
  <c r="AC457" i="2"/>
  <c r="AB457" i="2"/>
  <c r="AI456" i="2"/>
  <c r="AH456" i="2"/>
  <c r="AG456" i="2"/>
  <c r="AE456" i="2"/>
  <c r="AD456" i="2"/>
  <c r="AC456" i="2"/>
  <c r="AB456" i="2"/>
  <c r="AI455" i="2"/>
  <c r="AH455" i="2"/>
  <c r="AG455" i="2"/>
  <c r="AF455" i="2"/>
  <c r="AE455" i="2"/>
  <c r="AD455" i="2"/>
  <c r="AC455" i="2"/>
  <c r="AB455" i="2"/>
  <c r="AI454" i="2"/>
  <c r="AH454" i="2"/>
  <c r="AG454" i="2"/>
  <c r="AE454" i="2"/>
  <c r="AD454" i="2"/>
  <c r="AC454" i="2"/>
  <c r="AI453" i="2"/>
  <c r="AH453" i="2"/>
  <c r="AG453" i="2"/>
  <c r="AE453" i="2"/>
  <c r="AD453" i="2"/>
  <c r="AC453" i="2"/>
  <c r="AB453" i="2"/>
  <c r="AI452" i="2"/>
  <c r="AH452" i="2"/>
  <c r="AG452" i="2"/>
  <c r="AE452" i="2"/>
  <c r="AD452" i="2"/>
  <c r="AC452" i="2"/>
  <c r="AB452" i="2"/>
  <c r="AI451" i="2"/>
  <c r="AH451" i="2"/>
  <c r="AG451" i="2"/>
  <c r="AF451" i="2"/>
  <c r="AE451" i="2"/>
  <c r="AD451" i="2"/>
  <c r="AC451" i="2"/>
  <c r="AB451" i="2"/>
  <c r="AI450" i="2"/>
  <c r="AH450" i="2"/>
  <c r="AG450" i="2"/>
  <c r="AE450" i="2"/>
  <c r="AD450" i="2"/>
  <c r="AB450" i="2"/>
  <c r="AI449" i="2"/>
  <c r="AH449" i="2"/>
  <c r="AG449" i="2"/>
  <c r="AE449" i="2"/>
  <c r="AD449" i="2"/>
  <c r="AC449" i="2"/>
  <c r="AB449" i="2"/>
  <c r="Y447" i="2"/>
  <c r="X447" i="2"/>
  <c r="Y446" i="2"/>
  <c r="X446" i="2"/>
  <c r="Y445" i="2"/>
  <c r="X445" i="2"/>
  <c r="Y444" i="2"/>
  <c r="X444" i="2"/>
  <c r="Y443" i="2"/>
  <c r="X443" i="2"/>
  <c r="Y442" i="2"/>
  <c r="X442" i="2"/>
  <c r="Y441" i="2"/>
  <c r="X441" i="2"/>
  <c r="Y440" i="2"/>
  <c r="X440" i="2"/>
  <c r="Y439" i="2"/>
  <c r="X439" i="2"/>
  <c r="Y438" i="2"/>
  <c r="X438" i="2"/>
  <c r="Y437" i="2"/>
  <c r="X437" i="2"/>
  <c r="Y436" i="2"/>
  <c r="X436" i="2"/>
  <c r="Y435" i="2"/>
  <c r="X435" i="2"/>
  <c r="Y434" i="2"/>
  <c r="X434" i="2"/>
  <c r="Y433" i="2"/>
  <c r="X433" i="2"/>
  <c r="Y432" i="2"/>
  <c r="X432" i="2"/>
  <c r="Y431" i="2"/>
  <c r="X431" i="2"/>
  <c r="Y430" i="2"/>
  <c r="X430" i="2"/>
  <c r="Y429" i="2"/>
  <c r="X429" i="2"/>
  <c r="Y428" i="2"/>
  <c r="X428" i="2"/>
  <c r="Y427" i="2"/>
  <c r="X427" i="2"/>
  <c r="Y426" i="2"/>
  <c r="X426" i="2"/>
  <c r="Y425" i="2"/>
  <c r="X425" i="2"/>
  <c r="Y424" i="2"/>
  <c r="X424" i="2"/>
  <c r="Y423" i="2"/>
  <c r="X423" i="2"/>
  <c r="Y422" i="2"/>
  <c r="X422" i="2"/>
  <c r="Y421" i="2"/>
  <c r="X421" i="2"/>
  <c r="Y420" i="2"/>
  <c r="X420" i="2"/>
  <c r="Y419" i="2"/>
  <c r="X419" i="2"/>
  <c r="Y418" i="2"/>
  <c r="X418" i="2"/>
  <c r="Y417" i="2"/>
  <c r="X417" i="2"/>
  <c r="Y416" i="2"/>
  <c r="X416" i="2"/>
  <c r="Y415" i="2"/>
  <c r="X415" i="2"/>
  <c r="Y414" i="2"/>
  <c r="X414" i="2"/>
  <c r="Y413" i="2"/>
  <c r="X413" i="2"/>
  <c r="Y412" i="2"/>
  <c r="X412" i="2"/>
  <c r="Y410" i="2"/>
  <c r="X410" i="2"/>
  <c r="Y409" i="2"/>
  <c r="X409" i="2"/>
  <c r="Y408" i="2"/>
  <c r="X408" i="2"/>
  <c r="Y407" i="2"/>
  <c r="X407" i="2"/>
  <c r="Y406" i="2"/>
  <c r="X406" i="2"/>
  <c r="Y405" i="2"/>
  <c r="X405" i="2"/>
  <c r="Y404" i="2"/>
  <c r="X404" i="2"/>
  <c r="Y403" i="2"/>
  <c r="X403" i="2"/>
  <c r="Y402" i="2"/>
  <c r="X402" i="2"/>
  <c r="Y401" i="2"/>
  <c r="X401" i="2"/>
  <c r="Y400" i="2"/>
  <c r="X400" i="2"/>
  <c r="Y399" i="2"/>
  <c r="X399" i="2"/>
  <c r="Y398" i="2"/>
  <c r="X398" i="2"/>
  <c r="AI447" i="2"/>
  <c r="AH447" i="2"/>
  <c r="AG447" i="2"/>
  <c r="AF447" i="2"/>
  <c r="AE447" i="2"/>
  <c r="AD447" i="2"/>
  <c r="AC447" i="2"/>
  <c r="AB447" i="2"/>
  <c r="AI446" i="2"/>
  <c r="AH446" i="2"/>
  <c r="AG446" i="2"/>
  <c r="AE446" i="2"/>
  <c r="AD446" i="2"/>
  <c r="AC446" i="2"/>
  <c r="AB446" i="2"/>
  <c r="AI445" i="2"/>
  <c r="AH445" i="2"/>
  <c r="AG445" i="2"/>
  <c r="AF445" i="2"/>
  <c r="AE445" i="2"/>
  <c r="AD445" i="2"/>
  <c r="AC445" i="2"/>
  <c r="AB445" i="2"/>
  <c r="AI444" i="2"/>
  <c r="AH444" i="2"/>
  <c r="AG444" i="2"/>
  <c r="AF444" i="2"/>
  <c r="AE444" i="2"/>
  <c r="AD444" i="2"/>
  <c r="AC444" i="2"/>
  <c r="AB444" i="2"/>
  <c r="AI443" i="2"/>
  <c r="AH443" i="2"/>
  <c r="AG443" i="2"/>
  <c r="AF443" i="2"/>
  <c r="AE443" i="2"/>
  <c r="AD443" i="2"/>
  <c r="AC443" i="2"/>
  <c r="AI442" i="2"/>
  <c r="AH442" i="2"/>
  <c r="AG442" i="2"/>
  <c r="AE442" i="2"/>
  <c r="AD442" i="2"/>
  <c r="AC442" i="2"/>
  <c r="AB442" i="2"/>
  <c r="AI441" i="2"/>
  <c r="AH441" i="2"/>
  <c r="AG441" i="2"/>
  <c r="AF441" i="2"/>
  <c r="AE441" i="2"/>
  <c r="AD441" i="2"/>
  <c r="AC441" i="2"/>
  <c r="AB441" i="2"/>
  <c r="AI440" i="2"/>
  <c r="AH440" i="2"/>
  <c r="AG440" i="2"/>
  <c r="AE440" i="2"/>
  <c r="AD440" i="2"/>
  <c r="AB440" i="2"/>
  <c r="AI439" i="2"/>
  <c r="AH439" i="2"/>
  <c r="AG439" i="2"/>
  <c r="AE439" i="2"/>
  <c r="AD439" i="2"/>
  <c r="AF439" i="2"/>
  <c r="AC439" i="2"/>
  <c r="AB439" i="2"/>
  <c r="AI438" i="2"/>
  <c r="AH438" i="2"/>
  <c r="AG438" i="2"/>
  <c r="AF438" i="2"/>
  <c r="AE438" i="2"/>
  <c r="AD438" i="2"/>
  <c r="AC438" i="2"/>
  <c r="AB438" i="2"/>
  <c r="AI437" i="2"/>
  <c r="AH437" i="2"/>
  <c r="AG437" i="2"/>
  <c r="AF437" i="2"/>
  <c r="AE437" i="2"/>
  <c r="AD437" i="2"/>
  <c r="AC437" i="2"/>
  <c r="AB437" i="2"/>
  <c r="AI436" i="2"/>
  <c r="AH436" i="2"/>
  <c r="AG436" i="2"/>
  <c r="AF436" i="2"/>
  <c r="AE436" i="2"/>
  <c r="AD436" i="2"/>
  <c r="AC436" i="2"/>
  <c r="AB436" i="2"/>
  <c r="AI435" i="2"/>
  <c r="AH435" i="2"/>
  <c r="AG435" i="2"/>
  <c r="AF435" i="2"/>
  <c r="AE435" i="2"/>
  <c r="AD435" i="2"/>
  <c r="AC435" i="2"/>
  <c r="AB435" i="2"/>
  <c r="AI434" i="2"/>
  <c r="AH434" i="2"/>
  <c r="AG434" i="2"/>
  <c r="AE434" i="2"/>
  <c r="AD434" i="2"/>
  <c r="AC434" i="2"/>
  <c r="AI433" i="2"/>
  <c r="AH433" i="2"/>
  <c r="AG433" i="2"/>
  <c r="AE433" i="2"/>
  <c r="AD433" i="2"/>
  <c r="AI432" i="2"/>
  <c r="AG432" i="2"/>
  <c r="AD432" i="2"/>
  <c r="AE432" i="2"/>
  <c r="AC432" i="2"/>
  <c r="AB432" i="2"/>
  <c r="AI431" i="2"/>
  <c r="AH431" i="2"/>
  <c r="AG431" i="2"/>
  <c r="AE431" i="2"/>
  <c r="AD431" i="2"/>
  <c r="AC431" i="2"/>
  <c r="AI430" i="2"/>
  <c r="AG430" i="2"/>
  <c r="AE430" i="2"/>
  <c r="AD430" i="2"/>
  <c r="AI429" i="2"/>
  <c r="AH429" i="2"/>
  <c r="AG429" i="2"/>
  <c r="AE429" i="2"/>
  <c r="AD429" i="2"/>
  <c r="AC429" i="2"/>
  <c r="AB429" i="2"/>
  <c r="AI428" i="2"/>
  <c r="AH428" i="2"/>
  <c r="AG428" i="2"/>
  <c r="AE428" i="2"/>
  <c r="AD428" i="2"/>
  <c r="AC428" i="2"/>
  <c r="AB428" i="2"/>
  <c r="AI427" i="2"/>
  <c r="AH427" i="2"/>
  <c r="AG427" i="2"/>
  <c r="AE427" i="2"/>
  <c r="AD427" i="2"/>
  <c r="AC427" i="2"/>
  <c r="AI426" i="2"/>
  <c r="AH426" i="2"/>
  <c r="AG426" i="2"/>
  <c r="AE426" i="2"/>
  <c r="AD426" i="2"/>
  <c r="AC426" i="2"/>
  <c r="AI425" i="2"/>
  <c r="AH425" i="2"/>
  <c r="AG425" i="2"/>
  <c r="AD425" i="2"/>
  <c r="AB425" i="2"/>
  <c r="AI424" i="2"/>
  <c r="AH424" i="2"/>
  <c r="AG424" i="2"/>
  <c r="AE424" i="2"/>
  <c r="AD424" i="2"/>
  <c r="AC424" i="2"/>
  <c r="AB424" i="2"/>
  <c r="AI423" i="2"/>
  <c r="AH423" i="2"/>
  <c r="AG423" i="2"/>
  <c r="AF423" i="2"/>
  <c r="AD423" i="2"/>
  <c r="AC423" i="2"/>
  <c r="AB423" i="2"/>
  <c r="AI422" i="2"/>
  <c r="AH422" i="2"/>
  <c r="AG422" i="2"/>
  <c r="AE422" i="2"/>
  <c r="AD422" i="2"/>
  <c r="AC422" i="2"/>
  <c r="AB422" i="2"/>
  <c r="AI421" i="2"/>
  <c r="AH421" i="2"/>
  <c r="AG421" i="2"/>
  <c r="AE421" i="2"/>
  <c r="AB421" i="2"/>
  <c r="AI420" i="2"/>
  <c r="AH420" i="2"/>
  <c r="AG420" i="2"/>
  <c r="AD420" i="2"/>
  <c r="AE420" i="2"/>
  <c r="AC420" i="2"/>
  <c r="AB420" i="2"/>
  <c r="AI419" i="2"/>
  <c r="AH419" i="2"/>
  <c r="AG419" i="2"/>
  <c r="AE419" i="2"/>
  <c r="AD419" i="2"/>
  <c r="AC419" i="2"/>
  <c r="AB419" i="2"/>
  <c r="AI418" i="2"/>
  <c r="AH418" i="2"/>
  <c r="AG418" i="2"/>
  <c r="AF418" i="2"/>
  <c r="AE418" i="2"/>
  <c r="AD418" i="2"/>
  <c r="AB418" i="2"/>
  <c r="AI417" i="2"/>
  <c r="AH417" i="2"/>
  <c r="AG417" i="2"/>
  <c r="AE417" i="2"/>
  <c r="AD417" i="2"/>
  <c r="AC417" i="2"/>
  <c r="AB417" i="2"/>
  <c r="AI416" i="2"/>
  <c r="AH416" i="2"/>
  <c r="AG416" i="2"/>
  <c r="AE416" i="2"/>
  <c r="AD416" i="2"/>
  <c r="AC416" i="2"/>
  <c r="AI415" i="2"/>
  <c r="AH415" i="2"/>
  <c r="AG415" i="2"/>
  <c r="AE415" i="2"/>
  <c r="AD415" i="2"/>
  <c r="AI414" i="2"/>
  <c r="AG414" i="2"/>
  <c r="AD414" i="2"/>
  <c r="AI413" i="2"/>
  <c r="AG413" i="2"/>
  <c r="AE413" i="2"/>
  <c r="AD413" i="2"/>
  <c r="AI412" i="2"/>
  <c r="AH412" i="2"/>
  <c r="AG412" i="2"/>
  <c r="AF412" i="2"/>
  <c r="AE412" i="2"/>
  <c r="AD412" i="2"/>
  <c r="AC412" i="2"/>
  <c r="AI410" i="2"/>
  <c r="AH410" i="2"/>
  <c r="AG410" i="2"/>
  <c r="AF410" i="2"/>
  <c r="AE410" i="2"/>
  <c r="AD410" i="2"/>
  <c r="AC410" i="2"/>
  <c r="AB410" i="2"/>
  <c r="AI409" i="2"/>
  <c r="AH409" i="2"/>
  <c r="AG409" i="2"/>
  <c r="AF409" i="2"/>
  <c r="AE409" i="2"/>
  <c r="AD409" i="2"/>
  <c r="AC409" i="2"/>
  <c r="AI408" i="2"/>
  <c r="AG408" i="2"/>
  <c r="AH408" i="2"/>
  <c r="AE408" i="2"/>
  <c r="AD408" i="2"/>
  <c r="AI407" i="2"/>
  <c r="AH407" i="2"/>
  <c r="AG407" i="2"/>
  <c r="AE407" i="2"/>
  <c r="AD407" i="2"/>
  <c r="AC407" i="2"/>
  <c r="AB407" i="2"/>
  <c r="AI406" i="2"/>
  <c r="AH406" i="2"/>
  <c r="AG406" i="2"/>
  <c r="AF406" i="2"/>
  <c r="AE406" i="2"/>
  <c r="AD406" i="2"/>
  <c r="AC406" i="2"/>
  <c r="AI405" i="2"/>
  <c r="AH405" i="2"/>
  <c r="AG405" i="2"/>
  <c r="AE405" i="2"/>
  <c r="AD405" i="2"/>
  <c r="AC405" i="2"/>
  <c r="AI404" i="2"/>
  <c r="AG404" i="2"/>
  <c r="AF404" i="2"/>
  <c r="AE404" i="2"/>
  <c r="AD404" i="2"/>
  <c r="AC404" i="2"/>
  <c r="AH404" i="2"/>
  <c r="AB404" i="2"/>
  <c r="AI403" i="2"/>
  <c r="AH403" i="2"/>
  <c r="AG403" i="2"/>
  <c r="AE403" i="2"/>
  <c r="AD403" i="2"/>
  <c r="AC403" i="2"/>
  <c r="AF403" i="2"/>
  <c r="AB403" i="2"/>
  <c r="AI402" i="2"/>
  <c r="AH402" i="2"/>
  <c r="AG402" i="2"/>
  <c r="AE402" i="2"/>
  <c r="AD402" i="2"/>
  <c r="AC402" i="2"/>
  <c r="AF402" i="2"/>
  <c r="AB402" i="2"/>
  <c r="AI401" i="2"/>
  <c r="AH401" i="2"/>
  <c r="AG401" i="2"/>
  <c r="AE401" i="2"/>
  <c r="AD401" i="2"/>
  <c r="AC401" i="2"/>
  <c r="AB401" i="2"/>
  <c r="AI400" i="2"/>
  <c r="AH400" i="2"/>
  <c r="AG400" i="2"/>
  <c r="AE400" i="2"/>
  <c r="AD400" i="2"/>
  <c r="AB400" i="2"/>
  <c r="AI399" i="2"/>
  <c r="AG399" i="2"/>
  <c r="AE399" i="2"/>
  <c r="AD399" i="2"/>
  <c r="AH399" i="2"/>
  <c r="AC399" i="2"/>
  <c r="AB399" i="2"/>
  <c r="AI398" i="2"/>
  <c r="AH398" i="2"/>
  <c r="AG398" i="2"/>
  <c r="AE398" i="2"/>
  <c r="AD398" i="2"/>
  <c r="AB398" i="2"/>
  <c r="Y396" i="2"/>
  <c r="X396" i="2"/>
  <c r="Y395" i="2"/>
  <c r="X395" i="2"/>
  <c r="Y394" i="2"/>
  <c r="X394" i="2"/>
  <c r="Y393" i="2"/>
  <c r="X393" i="2"/>
  <c r="Y392" i="2"/>
  <c r="X392" i="2"/>
  <c r="Y391" i="2"/>
  <c r="X391" i="2"/>
  <c r="Y390" i="2"/>
  <c r="X390" i="2"/>
  <c r="Y389" i="2"/>
  <c r="X389" i="2"/>
  <c r="Y388" i="2"/>
  <c r="X388" i="2"/>
  <c r="Y387" i="2"/>
  <c r="X387" i="2"/>
  <c r="Y386" i="2"/>
  <c r="X386" i="2"/>
  <c r="Y385" i="2"/>
  <c r="X385" i="2"/>
  <c r="Y384" i="2"/>
  <c r="X384" i="2"/>
  <c r="Y383" i="2"/>
  <c r="X383" i="2"/>
  <c r="Y382" i="2"/>
  <c r="X382" i="2"/>
  <c r="Y381" i="2"/>
  <c r="X381" i="2"/>
  <c r="Y380" i="2"/>
  <c r="X380" i="2"/>
  <c r="Y379" i="2"/>
  <c r="X379" i="2"/>
  <c r="Y378" i="2"/>
  <c r="X378" i="2"/>
  <c r="Y377" i="2"/>
  <c r="X377" i="2"/>
  <c r="Y376" i="2"/>
  <c r="X376" i="2"/>
  <c r="Y375" i="2"/>
  <c r="X375" i="2"/>
  <c r="Y374" i="2"/>
  <c r="X374" i="2"/>
  <c r="Y373" i="2"/>
  <c r="X373" i="2"/>
  <c r="Y372" i="2"/>
  <c r="X372" i="2"/>
  <c r="Y371" i="2"/>
  <c r="X371" i="2"/>
  <c r="Y370" i="2"/>
  <c r="X370" i="2"/>
  <c r="Y369" i="2"/>
  <c r="X369" i="2"/>
  <c r="Y368" i="2"/>
  <c r="X368" i="2"/>
  <c r="Y367" i="2"/>
  <c r="X367" i="2"/>
  <c r="Y366" i="2"/>
  <c r="X366" i="2"/>
  <c r="Y365" i="2"/>
  <c r="X365" i="2"/>
  <c r="Y364" i="2"/>
  <c r="X364" i="2"/>
  <c r="Y363" i="2"/>
  <c r="X363" i="2"/>
  <c r="Y362" i="2"/>
  <c r="X362" i="2"/>
  <c r="Y361" i="2"/>
  <c r="X361" i="2"/>
  <c r="Y360" i="2"/>
  <c r="X360" i="2"/>
  <c r="AI396" i="2"/>
  <c r="AH396" i="2"/>
  <c r="AG396" i="2"/>
  <c r="AE396" i="2"/>
  <c r="AD396" i="2"/>
  <c r="AC396" i="2"/>
  <c r="AB396" i="2"/>
  <c r="AI395" i="2"/>
  <c r="AH395" i="2"/>
  <c r="AG395" i="2"/>
  <c r="AE395" i="2"/>
  <c r="AD395" i="2"/>
  <c r="AB395" i="2"/>
  <c r="AI394" i="2"/>
  <c r="AH394" i="2"/>
  <c r="AG394" i="2"/>
  <c r="AE394" i="2"/>
  <c r="AD394" i="2"/>
  <c r="AI393" i="2"/>
  <c r="AH393" i="2"/>
  <c r="AG393" i="2"/>
  <c r="AD393" i="2"/>
  <c r="AE393" i="2"/>
  <c r="AC393" i="2"/>
  <c r="AB393" i="2"/>
  <c r="AI392" i="2"/>
  <c r="AG392" i="2"/>
  <c r="AE392" i="2"/>
  <c r="AD392" i="2"/>
  <c r="AC392" i="2"/>
  <c r="AB392" i="2"/>
  <c r="AI391" i="2"/>
  <c r="AH391" i="2"/>
  <c r="AG391" i="2"/>
  <c r="AE391" i="2"/>
  <c r="AD391" i="2"/>
  <c r="AI390" i="2"/>
  <c r="AH390" i="2"/>
  <c r="AG390" i="2"/>
  <c r="AE390" i="2"/>
  <c r="AD390" i="2"/>
  <c r="AI389" i="2"/>
  <c r="AH389" i="2"/>
  <c r="AG389" i="2"/>
  <c r="AE389" i="2"/>
  <c r="AD389" i="2"/>
  <c r="AC389" i="2"/>
  <c r="AI388" i="2"/>
  <c r="AH388" i="2"/>
  <c r="AG388" i="2"/>
  <c r="AD388" i="2"/>
  <c r="AI387" i="2"/>
  <c r="AG387" i="2"/>
  <c r="AE387" i="2"/>
  <c r="AD387" i="2"/>
  <c r="AC387" i="2"/>
  <c r="AI386" i="2"/>
  <c r="AH386" i="2"/>
  <c r="AG386" i="2"/>
  <c r="AE386" i="2"/>
  <c r="AD386" i="2"/>
  <c r="AB386" i="2"/>
  <c r="AI385" i="2"/>
  <c r="AH385" i="2"/>
  <c r="AG385" i="2"/>
  <c r="AE385" i="2"/>
  <c r="AD385" i="2"/>
  <c r="AB385" i="2"/>
  <c r="AI384" i="2"/>
  <c r="AG384" i="2"/>
  <c r="AD384" i="2"/>
  <c r="AB384" i="2"/>
  <c r="AI383" i="2"/>
  <c r="AH383" i="2"/>
  <c r="AG383" i="2"/>
  <c r="AE383" i="2"/>
  <c r="AD383" i="2"/>
  <c r="AC383" i="2"/>
  <c r="AB383" i="2"/>
  <c r="AI382" i="2"/>
  <c r="AH382" i="2"/>
  <c r="AG382" i="2"/>
  <c r="AF382" i="2"/>
  <c r="AE382" i="2"/>
  <c r="AD382" i="2"/>
  <c r="AC382" i="2"/>
  <c r="AI381" i="2"/>
  <c r="AH381" i="2"/>
  <c r="AG381" i="2"/>
  <c r="AE381" i="2"/>
  <c r="AD381" i="2"/>
  <c r="AB381" i="2"/>
  <c r="AI380" i="2"/>
  <c r="AH380" i="2"/>
  <c r="AG380" i="2"/>
  <c r="AE380" i="2"/>
  <c r="AD380" i="2"/>
  <c r="AI379" i="2"/>
  <c r="AH379" i="2"/>
  <c r="AG379" i="2"/>
  <c r="AE379" i="2"/>
  <c r="AD379" i="2"/>
  <c r="AC379" i="2"/>
  <c r="AB379" i="2"/>
  <c r="AI378" i="2"/>
  <c r="AH378" i="2"/>
  <c r="AG378" i="2"/>
  <c r="AE378" i="2"/>
  <c r="AD378" i="2"/>
  <c r="AC378" i="2"/>
  <c r="AB378" i="2"/>
  <c r="AI377" i="2"/>
  <c r="AH377" i="2"/>
  <c r="AG377" i="2"/>
  <c r="AD377" i="2"/>
  <c r="AB377" i="2"/>
  <c r="AI376" i="2"/>
  <c r="AH376" i="2"/>
  <c r="AG376" i="2"/>
  <c r="AE376" i="2"/>
  <c r="AD376" i="2"/>
  <c r="AC376" i="2"/>
  <c r="AI375" i="2"/>
  <c r="AH375" i="2"/>
  <c r="AG375" i="2"/>
  <c r="AF375" i="2"/>
  <c r="AE375" i="2"/>
  <c r="AD375" i="2"/>
  <c r="AC375" i="2"/>
  <c r="AB375" i="2"/>
  <c r="AI374" i="2"/>
  <c r="AH374" i="2"/>
  <c r="AG374" i="2"/>
  <c r="AF374" i="2"/>
  <c r="AE374" i="2"/>
  <c r="AD374" i="2"/>
  <c r="AC374" i="2"/>
  <c r="AB374" i="2"/>
  <c r="AI373" i="2"/>
  <c r="AH373" i="2"/>
  <c r="AG373" i="2"/>
  <c r="AE373" i="2"/>
  <c r="AD373" i="2"/>
  <c r="AC373" i="2"/>
  <c r="AI372" i="2"/>
  <c r="AH372" i="2"/>
  <c r="AG372" i="2"/>
  <c r="AE372" i="2"/>
  <c r="AD372" i="2"/>
  <c r="AB372" i="2"/>
  <c r="AI371" i="2"/>
  <c r="AH371" i="2"/>
  <c r="AG371" i="2"/>
  <c r="AF371" i="2"/>
  <c r="AE371" i="2"/>
  <c r="AD371" i="2"/>
  <c r="AC371" i="2"/>
  <c r="AI370" i="2"/>
  <c r="AH370" i="2"/>
  <c r="AG370" i="2"/>
  <c r="AE370" i="2"/>
  <c r="AD370" i="2"/>
  <c r="AI369" i="2"/>
  <c r="AH369" i="2"/>
  <c r="AG369" i="2"/>
  <c r="AE369" i="2"/>
  <c r="AD369" i="2"/>
  <c r="AI368" i="2"/>
  <c r="AH368" i="2"/>
  <c r="AG368" i="2"/>
  <c r="AE368" i="2"/>
  <c r="AD368" i="2"/>
  <c r="AC368" i="2"/>
  <c r="AB368" i="2"/>
  <c r="AI367" i="2"/>
  <c r="AH367" i="2"/>
  <c r="AG367" i="2"/>
  <c r="AE367" i="2"/>
  <c r="AD367" i="2"/>
  <c r="AC367" i="2"/>
  <c r="AB367" i="2"/>
  <c r="AI366" i="2"/>
  <c r="AH366" i="2"/>
  <c r="AG366" i="2"/>
  <c r="AE366" i="2"/>
  <c r="AD366" i="2"/>
  <c r="AC366" i="2"/>
  <c r="AB366" i="2"/>
  <c r="AI365" i="2"/>
  <c r="AH365" i="2"/>
  <c r="AG365" i="2"/>
  <c r="AE365" i="2"/>
  <c r="AD365" i="2"/>
  <c r="AC365" i="2"/>
  <c r="AB365" i="2"/>
  <c r="AI364" i="2"/>
  <c r="AH364" i="2"/>
  <c r="AG364" i="2"/>
  <c r="AD364" i="2"/>
  <c r="AI363" i="2"/>
  <c r="AG363" i="2"/>
  <c r="AE363" i="2"/>
  <c r="AD363" i="2"/>
  <c r="AC363" i="2"/>
  <c r="AI362" i="2"/>
  <c r="AH362" i="2"/>
  <c r="AG362" i="2"/>
  <c r="AF362" i="2"/>
  <c r="AE362" i="2"/>
  <c r="AD362" i="2"/>
  <c r="AC362" i="2"/>
  <c r="AB362" i="2"/>
  <c r="AI361" i="2"/>
  <c r="AH361" i="2"/>
  <c r="AG361" i="2"/>
  <c r="AE361" i="2"/>
  <c r="AD361" i="2"/>
  <c r="AC361" i="2"/>
  <c r="AB361" i="2"/>
  <c r="AI360" i="2"/>
  <c r="AH360" i="2"/>
  <c r="AG360" i="2"/>
  <c r="AE360" i="2"/>
  <c r="AD360" i="2"/>
  <c r="AC360" i="2"/>
  <c r="AF360" i="2"/>
  <c r="AB360" i="2"/>
  <c r="AI358" i="2"/>
  <c r="AH358" i="2"/>
  <c r="AG358" i="2"/>
  <c r="AF358" i="2"/>
  <c r="AD358" i="2"/>
  <c r="AC358" i="2"/>
  <c r="AI357" i="2"/>
  <c r="AH357" i="2"/>
  <c r="AG357" i="2"/>
  <c r="AF357" i="2"/>
  <c r="AE357" i="2"/>
  <c r="AD357" i="2"/>
  <c r="AC357" i="2"/>
  <c r="AB357" i="2"/>
  <c r="AI356" i="2"/>
  <c r="AH356" i="2"/>
  <c r="AG356" i="2"/>
  <c r="AF356" i="2"/>
  <c r="AE356" i="2"/>
  <c r="AD356" i="2"/>
  <c r="AC356" i="2"/>
  <c r="AB356" i="2"/>
  <c r="AI355" i="2"/>
  <c r="AH355" i="2"/>
  <c r="AG355" i="2"/>
  <c r="AF355" i="2"/>
  <c r="AE355" i="2"/>
  <c r="AD355" i="2"/>
  <c r="AC355" i="2"/>
  <c r="AI354" i="2"/>
  <c r="AH354" i="2"/>
  <c r="AG354" i="2"/>
  <c r="AE354" i="2"/>
  <c r="AD354" i="2"/>
  <c r="AC354" i="2"/>
  <c r="AB354" i="2"/>
  <c r="AI353" i="2"/>
  <c r="AH353" i="2"/>
  <c r="AG353" i="2"/>
  <c r="AF353" i="2"/>
  <c r="AE353" i="2"/>
  <c r="AD353" i="2"/>
  <c r="AC353" i="2"/>
  <c r="AB353" i="2"/>
  <c r="AI352" i="2"/>
  <c r="AH352" i="2"/>
  <c r="AG352" i="2"/>
  <c r="AE352" i="2"/>
  <c r="AD352" i="2"/>
  <c r="AI351" i="2"/>
  <c r="AH351" i="2"/>
  <c r="AG351" i="2"/>
  <c r="AE351" i="2"/>
  <c r="AD351" i="2"/>
  <c r="AC351" i="2"/>
  <c r="AI350" i="2"/>
  <c r="AH350" i="2"/>
  <c r="AG350" i="2"/>
  <c r="AE350" i="2"/>
  <c r="AD350" i="2"/>
  <c r="AI349" i="2"/>
  <c r="AH349" i="2"/>
  <c r="AG349" i="2"/>
  <c r="AE349" i="2"/>
  <c r="AD349" i="2"/>
  <c r="AC349" i="2"/>
  <c r="AB349" i="2"/>
  <c r="AI348" i="2"/>
  <c r="AH348" i="2"/>
  <c r="AG348" i="2"/>
  <c r="AD348" i="2"/>
  <c r="AI347" i="2"/>
  <c r="AG347" i="2"/>
  <c r="AE347" i="2"/>
  <c r="AD347" i="2"/>
  <c r="AI346" i="2"/>
  <c r="AH346" i="2"/>
  <c r="AG346" i="2"/>
  <c r="AE346" i="2"/>
  <c r="AD346" i="2"/>
  <c r="AC346" i="2"/>
  <c r="AB346" i="2"/>
  <c r="AI345" i="2"/>
  <c r="AH345" i="2"/>
  <c r="AG345" i="2"/>
  <c r="AE345" i="2"/>
  <c r="AD345" i="2"/>
  <c r="AB345" i="2"/>
  <c r="AI344" i="2"/>
  <c r="AH344" i="2"/>
  <c r="AG344" i="2"/>
  <c r="AE344" i="2"/>
  <c r="AD344" i="2"/>
  <c r="AC344" i="2"/>
  <c r="AB344" i="2"/>
  <c r="AI343" i="2"/>
  <c r="AH343" i="2"/>
  <c r="AG343" i="2"/>
  <c r="AE343" i="2"/>
  <c r="AD343" i="2"/>
  <c r="AC343" i="2"/>
  <c r="AB343" i="2"/>
  <c r="AI342" i="2"/>
  <c r="AH342" i="2"/>
  <c r="AG342" i="2"/>
  <c r="AF342" i="2"/>
  <c r="AE342" i="2"/>
  <c r="AD342" i="2"/>
  <c r="AC342" i="2"/>
  <c r="AB342" i="2"/>
  <c r="AI341" i="2"/>
  <c r="AH341" i="2"/>
  <c r="AG341" i="2"/>
  <c r="AE341" i="2"/>
  <c r="AD341" i="2"/>
  <c r="AB341" i="2"/>
  <c r="AI340" i="2"/>
  <c r="AH340" i="2"/>
  <c r="AG340" i="2"/>
  <c r="AE340" i="2"/>
  <c r="AD340" i="2"/>
  <c r="AC340" i="2"/>
  <c r="AB340" i="2"/>
  <c r="AI339" i="2"/>
  <c r="AH339" i="2"/>
  <c r="AG339" i="2"/>
  <c r="AE339" i="2"/>
  <c r="AD339" i="2"/>
  <c r="AC339" i="2"/>
  <c r="AB339" i="2"/>
  <c r="AI338" i="2"/>
  <c r="AH338" i="2"/>
  <c r="AG338" i="2"/>
  <c r="AE338" i="2"/>
  <c r="AD338" i="2"/>
  <c r="AC338" i="2"/>
  <c r="AB338" i="2"/>
  <c r="AI337" i="2"/>
  <c r="AH337" i="2"/>
  <c r="AG337" i="2"/>
  <c r="AE337" i="2"/>
  <c r="AD337" i="2"/>
  <c r="AC337" i="2"/>
  <c r="AB337" i="2"/>
  <c r="AI336" i="2"/>
  <c r="AH336" i="2"/>
  <c r="AG336" i="2"/>
  <c r="AF336" i="2"/>
  <c r="AE336" i="2"/>
  <c r="AD336" i="2"/>
  <c r="AC336" i="2"/>
  <c r="AB336" i="2"/>
  <c r="AI335" i="2"/>
  <c r="AH335" i="2"/>
  <c r="AG335" i="2"/>
  <c r="AF335" i="2"/>
  <c r="AE335" i="2"/>
  <c r="AD335" i="2"/>
  <c r="AC335" i="2"/>
  <c r="AB335" i="2"/>
  <c r="AI334" i="2"/>
  <c r="AH334" i="2"/>
  <c r="AG334" i="2"/>
  <c r="AF334" i="2"/>
  <c r="AE334" i="2"/>
  <c r="AD334" i="2"/>
  <c r="AC334" i="2"/>
  <c r="AB334" i="2"/>
  <c r="AI333" i="2"/>
  <c r="AG333" i="2"/>
  <c r="AE333" i="2"/>
  <c r="AD333" i="2"/>
  <c r="AB333" i="2"/>
  <c r="AI332" i="2"/>
  <c r="AH332" i="2"/>
  <c r="AG332" i="2"/>
  <c r="AE332" i="2"/>
  <c r="AD332" i="2"/>
  <c r="AB332" i="2"/>
  <c r="AI331" i="2"/>
  <c r="AH331" i="2"/>
  <c r="AG331" i="2"/>
  <c r="AE331" i="2"/>
  <c r="AD331" i="2"/>
  <c r="AC331" i="2"/>
  <c r="AB331" i="2"/>
  <c r="AI330" i="2"/>
  <c r="AH330" i="2"/>
  <c r="AG330" i="2"/>
  <c r="AE330" i="2"/>
  <c r="AD330" i="2"/>
  <c r="AC330" i="2"/>
  <c r="AB330" i="2"/>
  <c r="AI329" i="2"/>
  <c r="AH329" i="2"/>
  <c r="AG329" i="2"/>
  <c r="AF329" i="2"/>
  <c r="AE329" i="2"/>
  <c r="AD329" i="2"/>
  <c r="AC329" i="2"/>
  <c r="AB329" i="2"/>
  <c r="AI328" i="2"/>
  <c r="AH328" i="2"/>
  <c r="AG328" i="2"/>
  <c r="AE328" i="2"/>
  <c r="AC328" i="2"/>
  <c r="AB328" i="2"/>
  <c r="AI327" i="2"/>
  <c r="AH327" i="2"/>
  <c r="AG327" i="2"/>
  <c r="AE327" i="2"/>
  <c r="AD327" i="2"/>
  <c r="AC327" i="2"/>
  <c r="AB327" i="2"/>
  <c r="AI326" i="2"/>
  <c r="AH326" i="2"/>
  <c r="AG326" i="2"/>
  <c r="AE326" i="2"/>
  <c r="AD326" i="2"/>
  <c r="AC326" i="2"/>
  <c r="AB326" i="2"/>
  <c r="AI325" i="2"/>
  <c r="AH325" i="2"/>
  <c r="AG325" i="2"/>
  <c r="AE325" i="2"/>
  <c r="AD325" i="2"/>
  <c r="AC325" i="2"/>
  <c r="AB325" i="2"/>
  <c r="AI324" i="2"/>
  <c r="AH324" i="2"/>
  <c r="AG324" i="2"/>
  <c r="AE324" i="2"/>
  <c r="AD324" i="2"/>
  <c r="AI323" i="2"/>
  <c r="AH323" i="2"/>
  <c r="AG323" i="2"/>
  <c r="AE323" i="2"/>
  <c r="AD323" i="2"/>
  <c r="AB323" i="2"/>
  <c r="AI322" i="2"/>
  <c r="AH322" i="2"/>
  <c r="AG322" i="2"/>
  <c r="AE322" i="2"/>
  <c r="AD322" i="2"/>
  <c r="AB322" i="2"/>
  <c r="AI320" i="2"/>
  <c r="AG320" i="2"/>
  <c r="AE320" i="2"/>
  <c r="AD320" i="2"/>
  <c r="AI319" i="2"/>
  <c r="AG319" i="2"/>
  <c r="AE319" i="2"/>
  <c r="AD319" i="2"/>
  <c r="AI317" i="2"/>
  <c r="AH317" i="2"/>
  <c r="AG317" i="2"/>
  <c r="AE317" i="2"/>
  <c r="AD317" i="2"/>
  <c r="AC317" i="2"/>
  <c r="AI316" i="2"/>
  <c r="AG316" i="2"/>
  <c r="AE316" i="2"/>
  <c r="AD316" i="2"/>
  <c r="AB316" i="2"/>
  <c r="AI315" i="2"/>
  <c r="AE315" i="2"/>
  <c r="AD315" i="2"/>
  <c r="AC315" i="2"/>
  <c r="AI314" i="2"/>
  <c r="AH314" i="2"/>
  <c r="AG314" i="2"/>
  <c r="AE314" i="2"/>
  <c r="AD314" i="2"/>
  <c r="AI313" i="2"/>
  <c r="AH313" i="2"/>
  <c r="AG313" i="2"/>
  <c r="AE313" i="2"/>
  <c r="AD313" i="2"/>
  <c r="AC313" i="2"/>
  <c r="AI312" i="2"/>
  <c r="AH312" i="2"/>
  <c r="AG312" i="2"/>
  <c r="AE312" i="2"/>
  <c r="AD312" i="2"/>
  <c r="AC312" i="2"/>
  <c r="AI311" i="2"/>
  <c r="AH311" i="2"/>
  <c r="AG311" i="2"/>
  <c r="AE311" i="2"/>
  <c r="AD311" i="2"/>
  <c r="AI310" i="2"/>
  <c r="AG310" i="2"/>
  <c r="AE310" i="2"/>
  <c r="AD310" i="2"/>
  <c r="AC310" i="2"/>
  <c r="AB310" i="2"/>
  <c r="AI309" i="2"/>
  <c r="AG309" i="2"/>
  <c r="AD309" i="2"/>
  <c r="AI308" i="2"/>
  <c r="AH308" i="2"/>
  <c r="AE308" i="2"/>
  <c r="AD308" i="2"/>
  <c r="AC308" i="2"/>
  <c r="AI306" i="2"/>
  <c r="AH306" i="2"/>
  <c r="AG306" i="2"/>
  <c r="AF306" i="2"/>
  <c r="AE306" i="2"/>
  <c r="AD306" i="2"/>
  <c r="AC306" i="2"/>
  <c r="AI305" i="2"/>
  <c r="AG305" i="2"/>
  <c r="AD305" i="2"/>
  <c r="AB305" i="2"/>
  <c r="AI304" i="2"/>
  <c r="AH304" i="2"/>
  <c r="AG304" i="2"/>
  <c r="AE304" i="2"/>
  <c r="AD304" i="2"/>
  <c r="AC304" i="2"/>
  <c r="AB304" i="2"/>
  <c r="AI303" i="2"/>
  <c r="AH303" i="2"/>
  <c r="AG303" i="2"/>
  <c r="AF303" i="2"/>
  <c r="AE303" i="2"/>
  <c r="AD303" i="2"/>
  <c r="AC303" i="2"/>
  <c r="AI302" i="2"/>
  <c r="AG302" i="2"/>
  <c r="AD302" i="2"/>
  <c r="AI301" i="2"/>
  <c r="AH301" i="2"/>
  <c r="AG301" i="2"/>
  <c r="AF301" i="2"/>
  <c r="AE301" i="2"/>
  <c r="AD301" i="2"/>
  <c r="AC301" i="2"/>
  <c r="AB301" i="2"/>
  <c r="AI300" i="2"/>
  <c r="AH300" i="2"/>
  <c r="AG300" i="2"/>
  <c r="AF300" i="2"/>
  <c r="AE300" i="2"/>
  <c r="AD300" i="2"/>
  <c r="AC300" i="2"/>
  <c r="AI299" i="2"/>
  <c r="AH299" i="2"/>
  <c r="AG299" i="2"/>
  <c r="AF299" i="2"/>
  <c r="AE299" i="2"/>
  <c r="AD299" i="2"/>
  <c r="AC299" i="2"/>
  <c r="AI298" i="2"/>
  <c r="AH298" i="2"/>
  <c r="AG298" i="2"/>
  <c r="AE298" i="2"/>
  <c r="AD298" i="2"/>
  <c r="AC298" i="2"/>
  <c r="AB298" i="2"/>
  <c r="AI297" i="2"/>
  <c r="AG297" i="2"/>
  <c r="AD297" i="2"/>
  <c r="AI296" i="2"/>
  <c r="AG296" i="2"/>
  <c r="AD296" i="2"/>
  <c r="AI295" i="2"/>
  <c r="AH295" i="2"/>
  <c r="AG295" i="2"/>
  <c r="AE295" i="2"/>
  <c r="AD295" i="2"/>
  <c r="AC295" i="2"/>
  <c r="AB295" i="2"/>
  <c r="AI294" i="2"/>
  <c r="AG294" i="2"/>
  <c r="AF294" i="2"/>
  <c r="AE294" i="2"/>
  <c r="AD294" i="2"/>
  <c r="AC294" i="2"/>
  <c r="AB294" i="2"/>
  <c r="AI293" i="2"/>
  <c r="AG293" i="2"/>
  <c r="AE293" i="2"/>
  <c r="AD293" i="2"/>
  <c r="AI292" i="2"/>
  <c r="AH292" i="2"/>
  <c r="AG292" i="2"/>
  <c r="AE292" i="2"/>
  <c r="AD292" i="2"/>
  <c r="AC292" i="2"/>
  <c r="AB292" i="2"/>
  <c r="AI291" i="2"/>
  <c r="AG291" i="2"/>
  <c r="AE291" i="2"/>
  <c r="AD291" i="2"/>
  <c r="AC291" i="2"/>
  <c r="AI290" i="2"/>
  <c r="AH290" i="2"/>
  <c r="AG290" i="2"/>
  <c r="AE290" i="2"/>
  <c r="AD290" i="2"/>
  <c r="AC290" i="2"/>
  <c r="AI289" i="2"/>
  <c r="AH289" i="2"/>
  <c r="AG289" i="2"/>
  <c r="AE289" i="2"/>
  <c r="AD289" i="2"/>
  <c r="AC289" i="2"/>
  <c r="AI288" i="2"/>
  <c r="AH288" i="2"/>
  <c r="AG288" i="2"/>
  <c r="AE288" i="2"/>
  <c r="AD288" i="2"/>
  <c r="AI287" i="2"/>
  <c r="AH287" i="2"/>
  <c r="AG287" i="2"/>
  <c r="AF287" i="2"/>
  <c r="AE287" i="2"/>
  <c r="AD287" i="2"/>
  <c r="AC287" i="2"/>
  <c r="AB287" i="2"/>
  <c r="AI286" i="2"/>
  <c r="AG286" i="2"/>
  <c r="AE286" i="2"/>
  <c r="AD286" i="2"/>
  <c r="Y358" i="2"/>
  <c r="X358" i="2"/>
  <c r="Y357" i="2"/>
  <c r="X357" i="2"/>
  <c r="Y356" i="2"/>
  <c r="X356" i="2"/>
  <c r="Y355" i="2"/>
  <c r="X355" i="2"/>
  <c r="Y354" i="2"/>
  <c r="X354" i="2"/>
  <c r="Y353" i="2"/>
  <c r="X353" i="2"/>
  <c r="Y352" i="2"/>
  <c r="X352" i="2"/>
  <c r="Y351" i="2"/>
  <c r="X351" i="2"/>
  <c r="Y350" i="2"/>
  <c r="X350" i="2"/>
  <c r="Y349" i="2"/>
  <c r="X349" i="2"/>
  <c r="Y348" i="2"/>
  <c r="X348" i="2"/>
  <c r="Y347" i="2"/>
  <c r="X347" i="2"/>
  <c r="Y346" i="2"/>
  <c r="X346" i="2"/>
  <c r="Y345" i="2"/>
  <c r="X345" i="2"/>
  <c r="Y344" i="2"/>
  <c r="X344" i="2"/>
  <c r="Y343" i="2"/>
  <c r="X343" i="2"/>
  <c r="Y342" i="2"/>
  <c r="X342" i="2"/>
  <c r="Y341" i="2"/>
  <c r="X341" i="2"/>
  <c r="Y340" i="2"/>
  <c r="X340" i="2"/>
  <c r="Y339" i="2"/>
  <c r="X339" i="2"/>
  <c r="Y338" i="2"/>
  <c r="X338" i="2"/>
  <c r="Y337" i="2"/>
  <c r="X337" i="2"/>
  <c r="Y336" i="2"/>
  <c r="X336" i="2"/>
  <c r="Y335" i="2"/>
  <c r="X335" i="2"/>
  <c r="Y334" i="2"/>
  <c r="X334" i="2"/>
  <c r="Y333" i="2"/>
  <c r="X333" i="2"/>
  <c r="Y332" i="2"/>
  <c r="X332" i="2"/>
  <c r="Y331" i="2"/>
  <c r="X331" i="2"/>
  <c r="Y330" i="2"/>
  <c r="X330" i="2"/>
  <c r="Y329" i="2"/>
  <c r="X329" i="2"/>
  <c r="Y328" i="2"/>
  <c r="X328" i="2"/>
  <c r="Y327" i="2"/>
  <c r="X327" i="2"/>
  <c r="Y326" i="2"/>
  <c r="X326" i="2"/>
  <c r="Y325" i="2"/>
  <c r="X325" i="2"/>
  <c r="Y324" i="2"/>
  <c r="X324" i="2"/>
  <c r="Y323" i="2"/>
  <c r="X323" i="2"/>
  <c r="Y322" i="2"/>
  <c r="X322" i="2"/>
  <c r="Y320" i="2"/>
  <c r="Y319" i="2"/>
  <c r="Y317" i="2"/>
  <c r="Y316" i="2"/>
  <c r="Y315" i="2"/>
  <c r="Y314" i="2"/>
  <c r="Y313" i="2"/>
  <c r="Y312" i="2"/>
  <c r="Y311" i="2"/>
  <c r="Y310" i="2"/>
  <c r="Y309" i="2"/>
  <c r="Y308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320" i="2"/>
  <c r="X319" i="2"/>
  <c r="X317" i="2"/>
  <c r="X316" i="2"/>
  <c r="X315" i="2"/>
  <c r="X314" i="2"/>
  <c r="X313" i="2"/>
  <c r="X312" i="2"/>
  <c r="X311" i="2"/>
  <c r="X310" i="2"/>
  <c r="X309" i="2"/>
  <c r="X308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AI284" i="2" l="1"/>
  <c r="AG284" i="2"/>
  <c r="AE284" i="2"/>
  <c r="AD284" i="2"/>
  <c r="AB284" i="2"/>
  <c r="AI283" i="2"/>
  <c r="AH283" i="2"/>
  <c r="AG283" i="2"/>
  <c r="AE283" i="2"/>
  <c r="AD283" i="2"/>
  <c r="AI282" i="2"/>
  <c r="AH282" i="2"/>
  <c r="AG282" i="2"/>
  <c r="AE282" i="2"/>
  <c r="AD282" i="2"/>
  <c r="AI281" i="2"/>
  <c r="AH281" i="2"/>
  <c r="AG281" i="2"/>
  <c r="AE281" i="2"/>
  <c r="AD281" i="2"/>
  <c r="AI280" i="2"/>
  <c r="AG280" i="2"/>
  <c r="AE280" i="2"/>
  <c r="AD280" i="2"/>
  <c r="AH280" i="2"/>
  <c r="AC280" i="2"/>
  <c r="AI279" i="2"/>
  <c r="AG279" i="2"/>
  <c r="AE279" i="2"/>
  <c r="AD279" i="2"/>
  <c r="AC279" i="2"/>
  <c r="AI278" i="2"/>
  <c r="AH278" i="2"/>
  <c r="AG278" i="2"/>
  <c r="AE278" i="2"/>
  <c r="AD278" i="2"/>
  <c r="AI277" i="2"/>
  <c r="AH277" i="2"/>
  <c r="AG277" i="2"/>
  <c r="AE277" i="2"/>
  <c r="AD277" i="2"/>
  <c r="AI276" i="2"/>
  <c r="AG276" i="2"/>
  <c r="AH276" i="2"/>
  <c r="AE276" i="2"/>
  <c r="AD276" i="2"/>
  <c r="AC276" i="2"/>
  <c r="AI275" i="2"/>
  <c r="AG275" i="2"/>
  <c r="AE275" i="2"/>
  <c r="AD275" i="2"/>
  <c r="AI274" i="2"/>
  <c r="AG274" i="2"/>
  <c r="AE274" i="2"/>
  <c r="AD274" i="2"/>
  <c r="AC274" i="2"/>
  <c r="AB274" i="2"/>
  <c r="AI273" i="2"/>
  <c r="AG273" i="2"/>
  <c r="AE273" i="2"/>
  <c r="AD273" i="2"/>
  <c r="AC273" i="2"/>
  <c r="AH273" i="2"/>
  <c r="AB273" i="2"/>
  <c r="AI272" i="2"/>
  <c r="AH272" i="2"/>
  <c r="AG272" i="2"/>
  <c r="AE272" i="2"/>
  <c r="AD272" i="2"/>
  <c r="AB272" i="2"/>
  <c r="AI271" i="2"/>
  <c r="AH271" i="2"/>
  <c r="AG271" i="2"/>
  <c r="AE271" i="2"/>
  <c r="AD271" i="2"/>
  <c r="AC271" i="2"/>
  <c r="AI270" i="2"/>
  <c r="AH270" i="2"/>
  <c r="AG270" i="2"/>
  <c r="AE270" i="2"/>
  <c r="AD270" i="2"/>
  <c r="AC270" i="2"/>
  <c r="AI269" i="2"/>
  <c r="AG269" i="2"/>
  <c r="AD269" i="2"/>
  <c r="AB269" i="2"/>
  <c r="AI268" i="2"/>
  <c r="AG268" i="2"/>
  <c r="AE268" i="2"/>
  <c r="AD268" i="2"/>
  <c r="AB268" i="2"/>
  <c r="AI267" i="2"/>
  <c r="AH267" i="2"/>
  <c r="AG267" i="2"/>
  <c r="AE267" i="2"/>
  <c r="AD267" i="2"/>
  <c r="AB267" i="2"/>
  <c r="AI266" i="2"/>
  <c r="AG266" i="2"/>
  <c r="AE266" i="2"/>
  <c r="AD266" i="2"/>
  <c r="AH266" i="2"/>
  <c r="AC266" i="2"/>
  <c r="AF266" i="2"/>
  <c r="AB266" i="2"/>
  <c r="AI265" i="2"/>
  <c r="AG265" i="2"/>
  <c r="AE265" i="2"/>
  <c r="AH265" i="2"/>
  <c r="AB265" i="2"/>
  <c r="AI264" i="2"/>
  <c r="AH264" i="2"/>
  <c r="AG264" i="2"/>
  <c r="AE264" i="2"/>
  <c r="AD264" i="2"/>
  <c r="AC264" i="2"/>
  <c r="AB264" i="2"/>
  <c r="AI263" i="2"/>
  <c r="AH263" i="2"/>
  <c r="AG263" i="2"/>
  <c r="AE263" i="2"/>
  <c r="AD263" i="2"/>
  <c r="AB263" i="2"/>
  <c r="AI262" i="2"/>
  <c r="AH262" i="2"/>
  <c r="AG262" i="2"/>
  <c r="AF262" i="2"/>
  <c r="AE262" i="2"/>
  <c r="AD262" i="2"/>
  <c r="AC262" i="2"/>
  <c r="AB262" i="2"/>
  <c r="AI261" i="2"/>
  <c r="AH261" i="2"/>
  <c r="AG261" i="2"/>
  <c r="AF261" i="2"/>
  <c r="AE261" i="2"/>
  <c r="AD261" i="2"/>
  <c r="AC261" i="2"/>
  <c r="AB261" i="2"/>
  <c r="AI260" i="2"/>
  <c r="AH260" i="2"/>
  <c r="AG260" i="2"/>
  <c r="AF260" i="2"/>
  <c r="AE260" i="2"/>
  <c r="AB260" i="2"/>
  <c r="AI259" i="2"/>
  <c r="AH259" i="2"/>
  <c r="AG259" i="2"/>
  <c r="AE259" i="2"/>
  <c r="AD259" i="2"/>
  <c r="AB259" i="2"/>
  <c r="AI258" i="2"/>
  <c r="AH258" i="2"/>
  <c r="AG258" i="2"/>
  <c r="AF258" i="2"/>
  <c r="AE258" i="2"/>
  <c r="AD258" i="2"/>
  <c r="AB258" i="2"/>
  <c r="AI257" i="2"/>
  <c r="AH257" i="2"/>
  <c r="AG257" i="2"/>
  <c r="AE257" i="2"/>
  <c r="AD257" i="2"/>
  <c r="AC257" i="2"/>
  <c r="AB257" i="2"/>
  <c r="AI256" i="2"/>
  <c r="AH256" i="2"/>
  <c r="AG256" i="2"/>
  <c r="AE256" i="2"/>
  <c r="AD256" i="2"/>
  <c r="AC256" i="2"/>
  <c r="AB256" i="2"/>
  <c r="AI255" i="2"/>
  <c r="AH255" i="2"/>
  <c r="AG255" i="2"/>
  <c r="AE255" i="2"/>
  <c r="AD255" i="2"/>
  <c r="AC255" i="2"/>
  <c r="AI254" i="2"/>
  <c r="AH254" i="2"/>
  <c r="AG254" i="2"/>
  <c r="AD254" i="2"/>
  <c r="AI253" i="2"/>
  <c r="AH253" i="2"/>
  <c r="AG253" i="2"/>
  <c r="AE253" i="2"/>
  <c r="AD253" i="2"/>
  <c r="AC253" i="2"/>
  <c r="AI252" i="2"/>
  <c r="AH252" i="2"/>
  <c r="AG252" i="2"/>
  <c r="AE252" i="2"/>
  <c r="AD252" i="2"/>
  <c r="AC252" i="2"/>
  <c r="AI251" i="2"/>
  <c r="AG251" i="2"/>
  <c r="AE251" i="2"/>
  <c r="AD251" i="2"/>
  <c r="AC251" i="2"/>
  <c r="AH251" i="2"/>
  <c r="AB251" i="2"/>
  <c r="AI250" i="2"/>
  <c r="AH250" i="2"/>
  <c r="AG250" i="2"/>
  <c r="AE250" i="2"/>
  <c r="AD250" i="2"/>
  <c r="AC250" i="2"/>
  <c r="AB250" i="2"/>
  <c r="AI249" i="2"/>
  <c r="AH249" i="2"/>
  <c r="AG249" i="2"/>
  <c r="AE249" i="2"/>
  <c r="AD249" i="2"/>
  <c r="AC249" i="2"/>
  <c r="AB249" i="2"/>
  <c r="AI248" i="2"/>
  <c r="AH248" i="2"/>
  <c r="AG248" i="2"/>
  <c r="AE248" i="2"/>
  <c r="AD248" i="2"/>
  <c r="AC248" i="2"/>
  <c r="AB248" i="2"/>
  <c r="AI247" i="2"/>
  <c r="AH247" i="2"/>
  <c r="AG247" i="2"/>
  <c r="AF247" i="2"/>
  <c r="AE247" i="2"/>
  <c r="AD247" i="2"/>
  <c r="AC247" i="2"/>
  <c r="AB247" i="2"/>
  <c r="AI246" i="2"/>
  <c r="AH246" i="2"/>
  <c r="AG246" i="2"/>
  <c r="AF246" i="2"/>
  <c r="AE246" i="2"/>
  <c r="AD246" i="2"/>
  <c r="AC246" i="2"/>
  <c r="AB246" i="2"/>
  <c r="AI245" i="2"/>
  <c r="AH245" i="2"/>
  <c r="AG245" i="2"/>
  <c r="AE245" i="2"/>
  <c r="AD245" i="2"/>
  <c r="AI244" i="2"/>
  <c r="AH244" i="2"/>
  <c r="AG244" i="2"/>
  <c r="AE244" i="2"/>
  <c r="AD244" i="2"/>
  <c r="AC244" i="2"/>
  <c r="AB244" i="2"/>
  <c r="AI243" i="2"/>
  <c r="AH243" i="2"/>
  <c r="AG243" i="2"/>
  <c r="AF243" i="2"/>
  <c r="AE243" i="2"/>
  <c r="AD243" i="2"/>
  <c r="AC243" i="2"/>
  <c r="AI242" i="2"/>
  <c r="AH242" i="2"/>
  <c r="AG242" i="2"/>
  <c r="AE242" i="2"/>
  <c r="AD242" i="2"/>
  <c r="AB242" i="2"/>
  <c r="AI241" i="2"/>
  <c r="AH241" i="2"/>
  <c r="AG241" i="2"/>
  <c r="AD241" i="2"/>
  <c r="AI240" i="2"/>
  <c r="AH240" i="2"/>
  <c r="AG240" i="2"/>
  <c r="AE240" i="2"/>
  <c r="AD240" i="2"/>
  <c r="AI239" i="2"/>
  <c r="AH239" i="2"/>
  <c r="AG239" i="2"/>
  <c r="AF239" i="2"/>
  <c r="AE239" i="2"/>
  <c r="AD239" i="2"/>
  <c r="AC239" i="2"/>
  <c r="AB239" i="2"/>
  <c r="AI238" i="2"/>
  <c r="AH238" i="2"/>
  <c r="AG238" i="2"/>
  <c r="AE238" i="2"/>
  <c r="AD238" i="2"/>
  <c r="AC238" i="2"/>
  <c r="AI237" i="2"/>
  <c r="AH237" i="2"/>
  <c r="AG237" i="2"/>
  <c r="AF237" i="2"/>
  <c r="AE237" i="2"/>
  <c r="AD237" i="2"/>
  <c r="AC237" i="2"/>
  <c r="AB237" i="2"/>
  <c r="AI236" i="2"/>
  <c r="AH236" i="2"/>
  <c r="AG236" i="2"/>
  <c r="AE236" i="2"/>
  <c r="AD236" i="2"/>
  <c r="AC236" i="2"/>
  <c r="AB236" i="2"/>
  <c r="AI235" i="2"/>
  <c r="AH235" i="2"/>
  <c r="AG235" i="2"/>
  <c r="AF235" i="2"/>
  <c r="AE235" i="2"/>
  <c r="AD235" i="2"/>
  <c r="AC235" i="2"/>
  <c r="AB235" i="2"/>
  <c r="AI234" i="2"/>
  <c r="AH234" i="2"/>
  <c r="AG234" i="2"/>
  <c r="AF234" i="2"/>
  <c r="AE234" i="2"/>
  <c r="AD234" i="2"/>
  <c r="AC234" i="2"/>
  <c r="AB234" i="2"/>
  <c r="AI233" i="2"/>
  <c r="AH233" i="2"/>
  <c r="AG233" i="2"/>
  <c r="AF233" i="2"/>
  <c r="AE233" i="2"/>
  <c r="AD233" i="2"/>
  <c r="AC233" i="2"/>
  <c r="AB233" i="2"/>
  <c r="AI232" i="2"/>
  <c r="AG232" i="2"/>
  <c r="AE232" i="2"/>
  <c r="AD232" i="2"/>
  <c r="AH232" i="2"/>
  <c r="AC232" i="2"/>
  <c r="AB232" i="2"/>
  <c r="AI231" i="2"/>
  <c r="AH231" i="2"/>
  <c r="AG231" i="2"/>
  <c r="AE231" i="2"/>
  <c r="AD231" i="2"/>
  <c r="AC231" i="2"/>
  <c r="AB231" i="2"/>
  <c r="AI230" i="2"/>
  <c r="AH230" i="2"/>
  <c r="AG230" i="2"/>
  <c r="AE230" i="2"/>
  <c r="AD230" i="2"/>
  <c r="AC230" i="2"/>
  <c r="AB230" i="2"/>
  <c r="AI228" i="2"/>
  <c r="AH228" i="2"/>
  <c r="AG228" i="2"/>
  <c r="AE228" i="2"/>
  <c r="AD228" i="2"/>
  <c r="AC228" i="2"/>
  <c r="AB228" i="2"/>
  <c r="AI227" i="2"/>
  <c r="AG227" i="2"/>
  <c r="AE227" i="2"/>
  <c r="AD227" i="2"/>
  <c r="AC227" i="2"/>
  <c r="AH227" i="2"/>
  <c r="AB227" i="2"/>
  <c r="AI226" i="2"/>
  <c r="AH226" i="2"/>
  <c r="AG226" i="2"/>
  <c r="AE226" i="2"/>
  <c r="AD226" i="2"/>
  <c r="AC226" i="2"/>
  <c r="AB226" i="2"/>
  <c r="AI225" i="2"/>
  <c r="AH225" i="2"/>
  <c r="AG225" i="2"/>
  <c r="AE225" i="2"/>
  <c r="AD225" i="2"/>
  <c r="AB225" i="2"/>
  <c r="AI224" i="2"/>
  <c r="AH224" i="2"/>
  <c r="AG224" i="2"/>
  <c r="AE224" i="2"/>
  <c r="AD224" i="2"/>
  <c r="AB224" i="2"/>
  <c r="AI223" i="2"/>
  <c r="AH223" i="2"/>
  <c r="AG223" i="2"/>
  <c r="AE223" i="2"/>
  <c r="AD223" i="2"/>
  <c r="AC223" i="2"/>
  <c r="AB223" i="2"/>
  <c r="AI222" i="2"/>
  <c r="AH222" i="2"/>
  <c r="AG222" i="2"/>
  <c r="AE222" i="2"/>
  <c r="AD222" i="2"/>
  <c r="AC222" i="2"/>
  <c r="AI221" i="2"/>
  <c r="AH221" i="2"/>
  <c r="AG221" i="2"/>
  <c r="AE221" i="2"/>
  <c r="AD221" i="2"/>
  <c r="AC221" i="2"/>
  <c r="AB221" i="2"/>
  <c r="AI220" i="2"/>
  <c r="AH220" i="2"/>
  <c r="AG220" i="2"/>
  <c r="AE220" i="2"/>
  <c r="AD220" i="2"/>
  <c r="AC220" i="2"/>
  <c r="AB220" i="2"/>
  <c r="AI219" i="2"/>
  <c r="AG219" i="2"/>
  <c r="AE219" i="2"/>
  <c r="AD219" i="2"/>
  <c r="AC219" i="2"/>
  <c r="AI218" i="2"/>
  <c r="AH218" i="2"/>
  <c r="AG218" i="2"/>
  <c r="AD218" i="2"/>
  <c r="AB218" i="2"/>
  <c r="AI217" i="2"/>
  <c r="AH217" i="2"/>
  <c r="AG217" i="2"/>
  <c r="AE217" i="2"/>
  <c r="AD217" i="2"/>
  <c r="AC217" i="2"/>
  <c r="AB217" i="2"/>
  <c r="AI216" i="2"/>
  <c r="AH216" i="2"/>
  <c r="AG216" i="2"/>
  <c r="AE216" i="2"/>
  <c r="AD216" i="2"/>
  <c r="AC216" i="2"/>
  <c r="AB216" i="2"/>
  <c r="AI215" i="2"/>
  <c r="AG215" i="2"/>
  <c r="AE215" i="2"/>
  <c r="AD215" i="2"/>
  <c r="AB215" i="2"/>
  <c r="AI214" i="2"/>
  <c r="AH214" i="2"/>
  <c r="AG214" i="2"/>
  <c r="AE214" i="2"/>
  <c r="AD214" i="2"/>
  <c r="AC214" i="2"/>
  <c r="AB214" i="2"/>
  <c r="AI213" i="2"/>
  <c r="AG213" i="2"/>
  <c r="AF213" i="2"/>
  <c r="AE213" i="2"/>
  <c r="AD213" i="2"/>
  <c r="AC213" i="2"/>
  <c r="AI212" i="2"/>
  <c r="AG212" i="2"/>
  <c r="AE212" i="2"/>
  <c r="AD212" i="2"/>
  <c r="AC212" i="2"/>
  <c r="AI211" i="2"/>
  <c r="AH211" i="2"/>
  <c r="AG211" i="2"/>
  <c r="AE211" i="2"/>
  <c r="AD211" i="2"/>
  <c r="AC211" i="2"/>
  <c r="AB211" i="2"/>
  <c r="AI210" i="2"/>
  <c r="AH210" i="2"/>
  <c r="AG210" i="2"/>
  <c r="AE210" i="2"/>
  <c r="AD210" i="2"/>
  <c r="AI209" i="2"/>
  <c r="AH209" i="2"/>
  <c r="AG209" i="2"/>
  <c r="AF209" i="2"/>
  <c r="AE209" i="2"/>
  <c r="AD209" i="2"/>
  <c r="AC209" i="2"/>
  <c r="AI208" i="2"/>
  <c r="AG208" i="2"/>
  <c r="AE208" i="2"/>
  <c r="AD208" i="2"/>
  <c r="AC208" i="2"/>
  <c r="AI207" i="2"/>
  <c r="AH207" i="2"/>
  <c r="AG207" i="2"/>
  <c r="AF207" i="2"/>
  <c r="AE207" i="2"/>
  <c r="AD207" i="2"/>
  <c r="AC207" i="2"/>
  <c r="AB207" i="2"/>
  <c r="AI206" i="2"/>
  <c r="AH206" i="2"/>
  <c r="AG206" i="2"/>
  <c r="AF206" i="2"/>
  <c r="AE206" i="2"/>
  <c r="AD206" i="2"/>
  <c r="AC206" i="2"/>
  <c r="AB206" i="2"/>
  <c r="AI205" i="2"/>
  <c r="AH205" i="2"/>
  <c r="AG205" i="2"/>
  <c r="AF205" i="2"/>
  <c r="AE205" i="2"/>
  <c r="AD205" i="2"/>
  <c r="AC205" i="2"/>
  <c r="AB205" i="2"/>
  <c r="AI204" i="2"/>
  <c r="AH204" i="2"/>
  <c r="AG204" i="2"/>
  <c r="AE204" i="2"/>
  <c r="AD204" i="2"/>
  <c r="AB204" i="2"/>
  <c r="AI203" i="2"/>
  <c r="AH203" i="2"/>
  <c r="AG203" i="2"/>
  <c r="AD203" i="2"/>
  <c r="AE203" i="2"/>
  <c r="AB203" i="2"/>
  <c r="AI202" i="2"/>
  <c r="AH202" i="2"/>
  <c r="AG202" i="2"/>
  <c r="AF202" i="2"/>
  <c r="AE202" i="2"/>
  <c r="AD202" i="2"/>
  <c r="AC202" i="2"/>
  <c r="AB202" i="2"/>
  <c r="AI201" i="2"/>
  <c r="AG201" i="2"/>
  <c r="AE201" i="2"/>
  <c r="AD201" i="2"/>
  <c r="AH201" i="2"/>
  <c r="AC201" i="2"/>
  <c r="AB201" i="2"/>
  <c r="AI200" i="2"/>
  <c r="AH200" i="2"/>
  <c r="AG200" i="2"/>
  <c r="AE200" i="2"/>
  <c r="AD200" i="2"/>
  <c r="AB200" i="2"/>
  <c r="AI199" i="2"/>
  <c r="AH199" i="2"/>
  <c r="AG199" i="2"/>
  <c r="AF199" i="2"/>
  <c r="AE199" i="2"/>
  <c r="AD199" i="2"/>
  <c r="AB199" i="2"/>
  <c r="AI198" i="2"/>
  <c r="AH198" i="2"/>
  <c r="AG198" i="2"/>
  <c r="AE198" i="2"/>
  <c r="AD198" i="2"/>
  <c r="AB198" i="2"/>
  <c r="AI197" i="2"/>
  <c r="AH197" i="2"/>
  <c r="AG197" i="2"/>
  <c r="AE197" i="2"/>
  <c r="AD197" i="2"/>
  <c r="AC197" i="2"/>
  <c r="AI196" i="2"/>
  <c r="AG196" i="2"/>
  <c r="AH196" i="2"/>
  <c r="AE196" i="2"/>
  <c r="AD196" i="2"/>
  <c r="AC196" i="2"/>
  <c r="AI195" i="2"/>
  <c r="AG195" i="2"/>
  <c r="AE195" i="2"/>
  <c r="AD195" i="2"/>
  <c r="AI194" i="2"/>
  <c r="AH194" i="2"/>
  <c r="AG194" i="2"/>
  <c r="AD194" i="2"/>
  <c r="AE194" i="2"/>
  <c r="AC194" i="2"/>
  <c r="AB194" i="2"/>
  <c r="AI193" i="2"/>
  <c r="AH193" i="2"/>
  <c r="AG193" i="2"/>
  <c r="AE193" i="2"/>
  <c r="AD193" i="2"/>
  <c r="AC193" i="2"/>
  <c r="AB193" i="2"/>
  <c r="AI192" i="2"/>
  <c r="AG192" i="2"/>
  <c r="AE192" i="2"/>
  <c r="AD192" i="2"/>
  <c r="AC192" i="2"/>
  <c r="AB192" i="2"/>
  <c r="AI191" i="2"/>
  <c r="AH191" i="2"/>
  <c r="AG191" i="2"/>
  <c r="AE191" i="2"/>
  <c r="AD191" i="2"/>
  <c r="AC191" i="2"/>
  <c r="AI190" i="2"/>
  <c r="AG190" i="2"/>
  <c r="AF190" i="2"/>
  <c r="AE190" i="2"/>
  <c r="AD190" i="2"/>
  <c r="AB190" i="2"/>
  <c r="AI189" i="2"/>
  <c r="AH189" i="2"/>
  <c r="AG189" i="2"/>
  <c r="AF189" i="2"/>
  <c r="AE189" i="2"/>
  <c r="AD189" i="2"/>
  <c r="AC189" i="2"/>
  <c r="AB189" i="2"/>
  <c r="AI188" i="2"/>
  <c r="AG188" i="2"/>
  <c r="AE188" i="2"/>
  <c r="AD188" i="2"/>
  <c r="AB188" i="2"/>
  <c r="AI187" i="2"/>
  <c r="AG187" i="2"/>
  <c r="AE187" i="2"/>
  <c r="AD187" i="2"/>
  <c r="AC187" i="2"/>
  <c r="AB187" i="2"/>
  <c r="AI186" i="2"/>
  <c r="AH186" i="2"/>
  <c r="AG186" i="2"/>
  <c r="AE186" i="2"/>
  <c r="AD186" i="2"/>
  <c r="AC186" i="2"/>
  <c r="AB186" i="2"/>
  <c r="AI185" i="2"/>
  <c r="AG185" i="2"/>
  <c r="AE185" i="2"/>
  <c r="AC185" i="2"/>
  <c r="AD185" i="2"/>
  <c r="AB185" i="2"/>
  <c r="AI184" i="2"/>
  <c r="AH184" i="2"/>
  <c r="AG184" i="2"/>
  <c r="AE184" i="2"/>
  <c r="AD184" i="2"/>
  <c r="AC184" i="2"/>
  <c r="AB184" i="2"/>
  <c r="AI183" i="2"/>
  <c r="AH183" i="2"/>
  <c r="AG183" i="2"/>
  <c r="AE183" i="2"/>
  <c r="AD183" i="2"/>
  <c r="AC183" i="2"/>
  <c r="AB183" i="2"/>
  <c r="AI182" i="2"/>
  <c r="AH182" i="2"/>
  <c r="AG182" i="2"/>
  <c r="AE182" i="2"/>
  <c r="AD182" i="2"/>
  <c r="AC182" i="2"/>
  <c r="AI180" i="2"/>
  <c r="AH180" i="2"/>
  <c r="AG180" i="2"/>
  <c r="AF180" i="2"/>
  <c r="AE180" i="2"/>
  <c r="AD180" i="2"/>
  <c r="AC180" i="2"/>
  <c r="AB180" i="2"/>
  <c r="AI179" i="2"/>
  <c r="AH179" i="2"/>
  <c r="AG179" i="2"/>
  <c r="AD179" i="2"/>
  <c r="AI178" i="2"/>
  <c r="AH178" i="2"/>
  <c r="AG178" i="2"/>
  <c r="AF178" i="2"/>
  <c r="AE178" i="2"/>
  <c r="AD178" i="2"/>
  <c r="AC178" i="2"/>
  <c r="AB178" i="2"/>
  <c r="AI177" i="2"/>
  <c r="AG177" i="2"/>
  <c r="AE177" i="2"/>
  <c r="AD177" i="2"/>
  <c r="AI176" i="2"/>
  <c r="AH176" i="2"/>
  <c r="AG176" i="2"/>
  <c r="AE176" i="2"/>
  <c r="AD176" i="2"/>
  <c r="AC176" i="2"/>
  <c r="AI175" i="2"/>
  <c r="AH175" i="2"/>
  <c r="AG175" i="2"/>
  <c r="AE175" i="2"/>
  <c r="AD175" i="2"/>
  <c r="AC175" i="2"/>
  <c r="AF175" i="2"/>
  <c r="AB175" i="2"/>
  <c r="AI174" i="2"/>
  <c r="AH174" i="2"/>
  <c r="AG174" i="2"/>
  <c r="AE174" i="2"/>
  <c r="AD174" i="2"/>
  <c r="AC174" i="2"/>
  <c r="AI173" i="2"/>
  <c r="AH173" i="2"/>
  <c r="AG173" i="2"/>
  <c r="AD173" i="2"/>
  <c r="AE173" i="2"/>
  <c r="AC173" i="2"/>
  <c r="AB173" i="2"/>
  <c r="AI172" i="2"/>
  <c r="AH172" i="2"/>
  <c r="AG172" i="2"/>
  <c r="AE172" i="2"/>
  <c r="AD172" i="2"/>
  <c r="AC172" i="2"/>
  <c r="AI171" i="2"/>
  <c r="AG171" i="2"/>
  <c r="AF171" i="2"/>
  <c r="AE171" i="2"/>
  <c r="AD171" i="2"/>
  <c r="AC171" i="2"/>
  <c r="AI170" i="2"/>
  <c r="AG170" i="2"/>
  <c r="AE170" i="2"/>
  <c r="AD170" i="2"/>
  <c r="AI169" i="2"/>
  <c r="AH169" i="2"/>
  <c r="AG169" i="2"/>
  <c r="AF169" i="2"/>
  <c r="AE169" i="2"/>
  <c r="AD169" i="2"/>
  <c r="AC169" i="2"/>
  <c r="AB169" i="2"/>
  <c r="AI168" i="2"/>
  <c r="AH168" i="2"/>
  <c r="AG168" i="2"/>
  <c r="AE168" i="2"/>
  <c r="AD168" i="2"/>
  <c r="AC168" i="2"/>
  <c r="AB168" i="2"/>
  <c r="AI167" i="2"/>
  <c r="AH167" i="2"/>
  <c r="AG167" i="2"/>
  <c r="AE167" i="2"/>
  <c r="AD167" i="2"/>
  <c r="AC167" i="2"/>
  <c r="AB167" i="2"/>
  <c r="AI166" i="2"/>
  <c r="AH166" i="2"/>
  <c r="AG166" i="2"/>
  <c r="AE166" i="2"/>
  <c r="AD166" i="2"/>
  <c r="AC166" i="2"/>
  <c r="AB166" i="2"/>
  <c r="AI165" i="2" l="1"/>
  <c r="AH165" i="2"/>
  <c r="AG165" i="2"/>
  <c r="AE165" i="2"/>
  <c r="AD165" i="2"/>
  <c r="AB165" i="2"/>
  <c r="AI164" i="2"/>
  <c r="AH164" i="2"/>
  <c r="AG164" i="2"/>
  <c r="AF164" i="2"/>
  <c r="AE164" i="2"/>
  <c r="AD164" i="2"/>
  <c r="AC164" i="2"/>
  <c r="AB164" i="2"/>
  <c r="AI163" i="2"/>
  <c r="AH163" i="2"/>
  <c r="AG163" i="2"/>
  <c r="AE163" i="2"/>
  <c r="AD163" i="2"/>
  <c r="AI162" i="2"/>
  <c r="AH162" i="2"/>
  <c r="AG162" i="2"/>
  <c r="AF162" i="2"/>
  <c r="AE162" i="2"/>
  <c r="AD162" i="2"/>
  <c r="AC162" i="2"/>
  <c r="AB162" i="2"/>
  <c r="AI161" i="2"/>
  <c r="AG161" i="2"/>
  <c r="AH161" i="2"/>
  <c r="AE161" i="2"/>
  <c r="AD161" i="2"/>
  <c r="AK160" i="2"/>
  <c r="AJ160" i="2"/>
  <c r="AI160" i="2"/>
  <c r="AH160" i="2"/>
  <c r="AG160" i="2"/>
  <c r="AE160" i="2"/>
  <c r="AD160" i="2"/>
  <c r="AC160" i="2"/>
  <c r="AB160" i="2"/>
  <c r="AI159" i="2"/>
  <c r="AG159" i="2"/>
  <c r="AE159" i="2"/>
  <c r="AD159" i="2"/>
  <c r="AC159" i="2"/>
  <c r="AI158" i="2"/>
  <c r="AH158" i="2"/>
  <c r="AG158" i="2"/>
  <c r="AE158" i="2"/>
  <c r="AD158" i="2"/>
  <c r="AI157" i="2"/>
  <c r="AG157" i="2"/>
  <c r="AE157" i="2"/>
  <c r="AD157" i="2"/>
  <c r="AC157" i="2"/>
  <c r="AB157" i="2"/>
  <c r="AI156" i="2"/>
  <c r="AH156" i="2"/>
  <c r="AG156" i="2"/>
  <c r="AE156" i="2"/>
  <c r="AD156" i="2"/>
  <c r="AI155" i="2"/>
  <c r="AH155" i="2"/>
  <c r="AG155" i="2"/>
  <c r="AE155" i="2"/>
  <c r="AD155" i="2"/>
  <c r="AC155" i="2"/>
  <c r="AI154" i="2"/>
  <c r="AG154" i="2"/>
  <c r="AE154" i="2"/>
  <c r="AD154" i="2"/>
  <c r="AC154" i="2"/>
  <c r="AH154" i="2"/>
  <c r="AB154" i="2"/>
  <c r="AK153" i="2"/>
  <c r="AJ153" i="2"/>
  <c r="AI153" i="2"/>
  <c r="AH153" i="2"/>
  <c r="AG153" i="2"/>
  <c r="AF153" i="2"/>
  <c r="AE153" i="2"/>
  <c r="AD153" i="2"/>
  <c r="AC153" i="2"/>
  <c r="AB153" i="2"/>
  <c r="AI152" i="2"/>
  <c r="AH152" i="2"/>
  <c r="AG152" i="2"/>
  <c r="AE152" i="2"/>
  <c r="AD152" i="2"/>
  <c r="AC152" i="2"/>
  <c r="AB152" i="2"/>
  <c r="AI151" i="2"/>
  <c r="AH151" i="2"/>
  <c r="AG151" i="2"/>
  <c r="AE151" i="2"/>
  <c r="AD151" i="2"/>
  <c r="AB151" i="2"/>
  <c r="AI150" i="2"/>
  <c r="AH150" i="2"/>
  <c r="AG150" i="2"/>
  <c r="AE150" i="2"/>
  <c r="AD150" i="2"/>
  <c r="AC150" i="2"/>
  <c r="AB150" i="2"/>
  <c r="AI149" i="2"/>
  <c r="AG149" i="2"/>
  <c r="AE149" i="2"/>
  <c r="AD149" i="2"/>
  <c r="AB149" i="2"/>
  <c r="AI148" i="2"/>
  <c r="AH148" i="2"/>
  <c r="AG148" i="2"/>
  <c r="AD148" i="2"/>
  <c r="AI147" i="2"/>
  <c r="AG147" i="2"/>
  <c r="AE147" i="2"/>
  <c r="AD147" i="2"/>
  <c r="AC147" i="2"/>
  <c r="AB147" i="2"/>
  <c r="AI146" i="2"/>
  <c r="AG146" i="2"/>
  <c r="AE146" i="2"/>
  <c r="AD146" i="2"/>
  <c r="AB146" i="2"/>
  <c r="AA160" i="2"/>
  <c r="Z160" i="2"/>
  <c r="AA153" i="2"/>
  <c r="Z153" i="2"/>
  <c r="AI145" i="2"/>
  <c r="AH145" i="2"/>
  <c r="AG145" i="2"/>
  <c r="AE145" i="2"/>
  <c r="AD145" i="2"/>
  <c r="AC145" i="2"/>
  <c r="AB145" i="2"/>
  <c r="AI144" i="2"/>
  <c r="AH144" i="2"/>
  <c r="AG144" i="2"/>
  <c r="AE144" i="2"/>
  <c r="AD144" i="2"/>
  <c r="AC144" i="2"/>
  <c r="AB144" i="2"/>
  <c r="AI143" i="2"/>
  <c r="AH143" i="2"/>
  <c r="AG143" i="2"/>
  <c r="AE143" i="2"/>
  <c r="AD143" i="2"/>
  <c r="AC143" i="2"/>
  <c r="AB143" i="2"/>
  <c r="AI142" i="2"/>
  <c r="AH142" i="2"/>
  <c r="AG142" i="2"/>
  <c r="AE142" i="2"/>
  <c r="AD142" i="2"/>
  <c r="AC142" i="2"/>
  <c r="AI141" i="2"/>
  <c r="AH141" i="2"/>
  <c r="AG141" i="2"/>
  <c r="AE141" i="2"/>
  <c r="AD141" i="2"/>
  <c r="AC141" i="2"/>
  <c r="AB141" i="2"/>
  <c r="AI140" i="2"/>
  <c r="AG140" i="2"/>
  <c r="AD140" i="2"/>
  <c r="AH140" i="2"/>
  <c r="AE140" i="2"/>
  <c r="AC140" i="2"/>
  <c r="AI139" i="2"/>
  <c r="AH139" i="2"/>
  <c r="AG139" i="2"/>
  <c r="AF139" i="2"/>
  <c r="AE139" i="2"/>
  <c r="AD139" i="2"/>
  <c r="AC139" i="2"/>
  <c r="AB139" i="2"/>
  <c r="AI138" i="2"/>
  <c r="AH138" i="2"/>
  <c r="AG138" i="2"/>
  <c r="AF138" i="2"/>
  <c r="AE138" i="2"/>
  <c r="AD138" i="2"/>
  <c r="AC138" i="2"/>
  <c r="AB138" i="2"/>
  <c r="AI137" i="2"/>
  <c r="AH137" i="2"/>
  <c r="AG137" i="2"/>
  <c r="AE137" i="2"/>
  <c r="AD137" i="2"/>
  <c r="AC137" i="2"/>
  <c r="AB137" i="2"/>
  <c r="AI136" i="2"/>
  <c r="AH136" i="2"/>
  <c r="AG136" i="2"/>
  <c r="AE136" i="2"/>
  <c r="AD136" i="2"/>
  <c r="AC136" i="2"/>
  <c r="AB136" i="2"/>
  <c r="AI135" i="2"/>
  <c r="AH135" i="2"/>
  <c r="AG135" i="2"/>
  <c r="AE135" i="2"/>
  <c r="AD135" i="2"/>
  <c r="AI134" i="2"/>
  <c r="AH134" i="2"/>
  <c r="AG134" i="2"/>
  <c r="AE134" i="2"/>
  <c r="AD134" i="2"/>
  <c r="AB134" i="2"/>
  <c r="AI133" i="2"/>
  <c r="AH133" i="2"/>
  <c r="AG133" i="2"/>
  <c r="AE133" i="2"/>
  <c r="AD133" i="2"/>
  <c r="AC133" i="2"/>
  <c r="AB133" i="2"/>
  <c r="AI132" i="2"/>
  <c r="AH132" i="2"/>
  <c r="AG132" i="2"/>
  <c r="AE132" i="2"/>
  <c r="AD132" i="2"/>
  <c r="AC132" i="2"/>
  <c r="AI131" i="2"/>
  <c r="AH131" i="2"/>
  <c r="AG131" i="2"/>
  <c r="AE131" i="2"/>
  <c r="AD131" i="2"/>
  <c r="AB131" i="2"/>
  <c r="AI130" i="2"/>
  <c r="AH130" i="2"/>
  <c r="AG130" i="2"/>
  <c r="AE130" i="2"/>
  <c r="AD130" i="2"/>
  <c r="AC130" i="2"/>
  <c r="AB130" i="2"/>
  <c r="AI128" i="2"/>
  <c r="AH128" i="2"/>
  <c r="AG128" i="2"/>
  <c r="AE128" i="2"/>
  <c r="AD128" i="2"/>
  <c r="AC128" i="2"/>
  <c r="AF128" i="2"/>
  <c r="AB128" i="2"/>
  <c r="AI127" i="2"/>
  <c r="AH127" i="2"/>
  <c r="AG127" i="2"/>
  <c r="AE127" i="2"/>
  <c r="AD127" i="2"/>
  <c r="AC127" i="2"/>
  <c r="AB127" i="2"/>
  <c r="AI126" i="2"/>
  <c r="AH126" i="2"/>
  <c r="AG126" i="2"/>
  <c r="AF126" i="2"/>
  <c r="AE126" i="2"/>
  <c r="AD126" i="2"/>
  <c r="AC126" i="2"/>
  <c r="AB126" i="2"/>
  <c r="AI125" i="2"/>
  <c r="AH125" i="2"/>
  <c r="AG125" i="2"/>
  <c r="AF125" i="2"/>
  <c r="AE125" i="2"/>
  <c r="AD125" i="2"/>
  <c r="AC125" i="2"/>
  <c r="AB125" i="2"/>
  <c r="AI124" i="2"/>
  <c r="AH124" i="2"/>
  <c r="AG124" i="2"/>
  <c r="AF124" i="2"/>
  <c r="AE124" i="2"/>
  <c r="AD124" i="2"/>
  <c r="AC124" i="2"/>
  <c r="AB124" i="2"/>
  <c r="AI123" i="2"/>
  <c r="AH123" i="2"/>
  <c r="AG123" i="2"/>
  <c r="AF123" i="2"/>
  <c r="AE123" i="2"/>
  <c r="AD123" i="2"/>
  <c r="AC123" i="2"/>
  <c r="AB123" i="2"/>
  <c r="AI122" i="2"/>
  <c r="AH122" i="2"/>
  <c r="AG122" i="2"/>
  <c r="AF122" i="2"/>
  <c r="AE122" i="2"/>
  <c r="AD122" i="2"/>
  <c r="AC122" i="2"/>
  <c r="AB122" i="2"/>
  <c r="AI121" i="2"/>
  <c r="AH121" i="2"/>
  <c r="AG121" i="2"/>
  <c r="AE121" i="2"/>
  <c r="AD121" i="2"/>
  <c r="AB121" i="2"/>
  <c r="AI120" i="2"/>
  <c r="AH120" i="2"/>
  <c r="AG120" i="2"/>
  <c r="AF120" i="2"/>
  <c r="AE120" i="2"/>
  <c r="AD120" i="2"/>
  <c r="AC120" i="2"/>
  <c r="AB120" i="2"/>
  <c r="AI119" i="2"/>
  <c r="AH119" i="2"/>
  <c r="AG119" i="2"/>
  <c r="AF119" i="2"/>
  <c r="AE119" i="2"/>
  <c r="AD119" i="2"/>
  <c r="AC119" i="2"/>
  <c r="AB119" i="2"/>
  <c r="AI118" i="2"/>
  <c r="AH118" i="2"/>
  <c r="AG118" i="2"/>
  <c r="AF118" i="2"/>
  <c r="AE118" i="2"/>
  <c r="AD118" i="2"/>
  <c r="AC118" i="2"/>
  <c r="AB118" i="2"/>
  <c r="AI117" i="2"/>
  <c r="AH117" i="2"/>
  <c r="AG117" i="2"/>
  <c r="AF117" i="2"/>
  <c r="AE117" i="2"/>
  <c r="AD117" i="2"/>
  <c r="AC117" i="2"/>
  <c r="AB117" i="2"/>
  <c r="AI116" i="2"/>
  <c r="AH116" i="2"/>
  <c r="AG116" i="2"/>
  <c r="AF116" i="2"/>
  <c r="AE116" i="2"/>
  <c r="AD116" i="2"/>
  <c r="AC116" i="2"/>
  <c r="AB116" i="2"/>
  <c r="AI115" i="2"/>
  <c r="AH115" i="2"/>
  <c r="AG115" i="2"/>
  <c r="AE115" i="2"/>
  <c r="AD115" i="2"/>
  <c r="AC115" i="2"/>
  <c r="AI114" i="2"/>
  <c r="AH114" i="2"/>
  <c r="AG114" i="2"/>
  <c r="AE114" i="2"/>
  <c r="AD114" i="2"/>
  <c r="AI113" i="2"/>
  <c r="AG113" i="2"/>
  <c r="AE113" i="2"/>
  <c r="AD113" i="2"/>
  <c r="AB113" i="2"/>
  <c r="AI112" i="2"/>
  <c r="AH112" i="2"/>
  <c r="AG112" i="2"/>
  <c r="AE112" i="2"/>
  <c r="AD112" i="2"/>
  <c r="AC112" i="2"/>
  <c r="AI111" i="2"/>
  <c r="AG111" i="2"/>
  <c r="AE111" i="2"/>
  <c r="AD111" i="2"/>
  <c r="AI110" i="2"/>
  <c r="AH110" i="2"/>
  <c r="AG110" i="2"/>
  <c r="AE110" i="2"/>
  <c r="AD110" i="2"/>
  <c r="AC110" i="2"/>
  <c r="AB110" i="2"/>
  <c r="AI109" i="2"/>
  <c r="AH109" i="2"/>
  <c r="AG109" i="2"/>
  <c r="AF109" i="2"/>
  <c r="AE109" i="2"/>
  <c r="AD109" i="2"/>
  <c r="AC109" i="2"/>
  <c r="AB109" i="2"/>
  <c r="AI108" i="2"/>
  <c r="AH108" i="2"/>
  <c r="AG108" i="2"/>
  <c r="AE108" i="2"/>
  <c r="AD108" i="2"/>
  <c r="AC108" i="2"/>
  <c r="AB108" i="2"/>
  <c r="AI107" i="2"/>
  <c r="AH107" i="2"/>
  <c r="AG107" i="2"/>
  <c r="AE107" i="2"/>
  <c r="AD107" i="2"/>
  <c r="AC107" i="2"/>
  <c r="AI106" i="2"/>
  <c r="AH106" i="2"/>
  <c r="AG106" i="2"/>
  <c r="AE106" i="2"/>
  <c r="AD106" i="2"/>
  <c r="AI105" i="2"/>
  <c r="AH105" i="2"/>
  <c r="AG105" i="2"/>
  <c r="AE105" i="2"/>
  <c r="AD105" i="2"/>
  <c r="AC105" i="2"/>
  <c r="AB105" i="2"/>
  <c r="AI104" i="2"/>
  <c r="AG104" i="2"/>
  <c r="AD104" i="2"/>
  <c r="AH104" i="2"/>
  <c r="AC104" i="2"/>
  <c r="AF104" i="2"/>
  <c r="AB104" i="2"/>
  <c r="AI103" i="2"/>
  <c r="AH103" i="2"/>
  <c r="AG103" i="2"/>
  <c r="AE103" i="2"/>
  <c r="AD103" i="2"/>
  <c r="AC103" i="2"/>
  <c r="AB103" i="2"/>
  <c r="AI102" i="2"/>
  <c r="AH102" i="2"/>
  <c r="AG102" i="2"/>
  <c r="AE102" i="2"/>
  <c r="AB102" i="2"/>
  <c r="AI101" i="2"/>
  <c r="AH101" i="2"/>
  <c r="AG101" i="2"/>
  <c r="AE101" i="2"/>
  <c r="AD101" i="2"/>
  <c r="AC101" i="2"/>
  <c r="AB101" i="2"/>
  <c r="AI100" i="2"/>
  <c r="AH100" i="2"/>
  <c r="AG100" i="2"/>
  <c r="AE100" i="2"/>
  <c r="AD100" i="2"/>
  <c r="AC100" i="2"/>
  <c r="AB100" i="2"/>
  <c r="AI99" i="2"/>
  <c r="AH99" i="2"/>
  <c r="AG99" i="2"/>
  <c r="AF99" i="2"/>
  <c r="AE99" i="2"/>
  <c r="AD99" i="2"/>
  <c r="AB99" i="2"/>
  <c r="AI98" i="2"/>
  <c r="AH98" i="2"/>
  <c r="AG98" i="2"/>
  <c r="AE98" i="2"/>
  <c r="AD98" i="2"/>
  <c r="AC98" i="2"/>
  <c r="AI97" i="2"/>
  <c r="AH97" i="2"/>
  <c r="AG97" i="2"/>
  <c r="AE97" i="2"/>
  <c r="AD97" i="2"/>
  <c r="AC97" i="2"/>
  <c r="AI96" i="2"/>
  <c r="AG96" i="2"/>
  <c r="AE96" i="2"/>
  <c r="AD96" i="2"/>
  <c r="AI95" i="2"/>
  <c r="AH95" i="2"/>
  <c r="AG95" i="2"/>
  <c r="AD95" i="2"/>
  <c r="AI94" i="2"/>
  <c r="AH94" i="2"/>
  <c r="AG94" i="2"/>
  <c r="AD94" i="2"/>
  <c r="AI93" i="2"/>
  <c r="AH93" i="2"/>
  <c r="AG93" i="2"/>
  <c r="AF93" i="2"/>
  <c r="AE93" i="2"/>
  <c r="AD93" i="2"/>
  <c r="AC93" i="2"/>
  <c r="AI90" i="2"/>
  <c r="AH90" i="2"/>
  <c r="AG90" i="2"/>
  <c r="AE90" i="2"/>
  <c r="AD90" i="2"/>
  <c r="AC90" i="2"/>
  <c r="AB90" i="2"/>
  <c r="AI89" i="2"/>
  <c r="AH89" i="2"/>
  <c r="AG89" i="2"/>
  <c r="AF89" i="2"/>
  <c r="AE89" i="2"/>
  <c r="AD89" i="2"/>
  <c r="AC89" i="2"/>
  <c r="AB89" i="2"/>
  <c r="AI88" i="2"/>
  <c r="AH88" i="2"/>
  <c r="AG88" i="2"/>
  <c r="AE88" i="2"/>
  <c r="AD88" i="2"/>
  <c r="AI87" i="2"/>
  <c r="AH87" i="2"/>
  <c r="AG87" i="2"/>
  <c r="AE87" i="2"/>
  <c r="AD87" i="2"/>
  <c r="AC87" i="2"/>
  <c r="AB87" i="2"/>
  <c r="AI86" i="2"/>
  <c r="AG86" i="2"/>
  <c r="AH86" i="2"/>
  <c r="AF86" i="2"/>
  <c r="AE86" i="2"/>
  <c r="AD86" i="2"/>
  <c r="AC86" i="2"/>
  <c r="AB86" i="2"/>
  <c r="AI85" i="2"/>
  <c r="AH85" i="2"/>
  <c r="AG85" i="2"/>
  <c r="AE85" i="2"/>
  <c r="AD85" i="2"/>
  <c r="AC85" i="2"/>
  <c r="AI84" i="2"/>
  <c r="AH84" i="2"/>
  <c r="AG84" i="2"/>
  <c r="AF84" i="2"/>
  <c r="AE84" i="2"/>
  <c r="AD84" i="2"/>
  <c r="AC84" i="2"/>
  <c r="AB84" i="2"/>
  <c r="AI83" i="2"/>
  <c r="AH83" i="2"/>
  <c r="AG83" i="2"/>
  <c r="AF83" i="2"/>
  <c r="AE83" i="2"/>
  <c r="AD83" i="2"/>
  <c r="AC83" i="2"/>
  <c r="AB83" i="2"/>
  <c r="AI82" i="2"/>
  <c r="AH82" i="2"/>
  <c r="AG82" i="2"/>
  <c r="AF82" i="2"/>
  <c r="AE82" i="2"/>
  <c r="AD82" i="2"/>
  <c r="AC82" i="2"/>
  <c r="AB82" i="2"/>
  <c r="AI81" i="2"/>
  <c r="AH81" i="2"/>
  <c r="AG81" i="2"/>
  <c r="AE81" i="2"/>
  <c r="AD81" i="2"/>
  <c r="AC81" i="2"/>
  <c r="AB81" i="2"/>
  <c r="AI80" i="2"/>
  <c r="AH80" i="2"/>
  <c r="AG80" i="2"/>
  <c r="AF80" i="2"/>
  <c r="AE80" i="2"/>
  <c r="AD80" i="2"/>
  <c r="AB80" i="2"/>
  <c r="AI79" i="2"/>
  <c r="AH79" i="2"/>
  <c r="AG79" i="2"/>
  <c r="AE79" i="2"/>
  <c r="AD79" i="2"/>
  <c r="AC79" i="2"/>
  <c r="AB79" i="2"/>
  <c r="AI78" i="2"/>
  <c r="AH78" i="2"/>
  <c r="AG78" i="2"/>
  <c r="AF78" i="2"/>
  <c r="AE78" i="2"/>
  <c r="AD78" i="2"/>
  <c r="AB78" i="2"/>
  <c r="AI76" i="2"/>
  <c r="AH76" i="2"/>
  <c r="AG76" i="2"/>
  <c r="AE76" i="2"/>
  <c r="AD76" i="2"/>
  <c r="AC76" i="2"/>
  <c r="AB76" i="2"/>
  <c r="AI75" i="2"/>
  <c r="AH75" i="2"/>
  <c r="AG75" i="2"/>
  <c r="AE75" i="2"/>
  <c r="AD75" i="2"/>
  <c r="AB75" i="2"/>
  <c r="AI74" i="2"/>
  <c r="AG74" i="2"/>
  <c r="AE74" i="2"/>
  <c r="AD74" i="2"/>
  <c r="AI73" i="2"/>
  <c r="AH73" i="2"/>
  <c r="AG73" i="2"/>
  <c r="AE73" i="2"/>
  <c r="AD73" i="2"/>
  <c r="AB73" i="2"/>
  <c r="AI72" i="2"/>
  <c r="AG72" i="2"/>
  <c r="AE72" i="2"/>
  <c r="AD72" i="2"/>
  <c r="AI71" i="2"/>
  <c r="AH71" i="2"/>
  <c r="AG71" i="2"/>
  <c r="AE71" i="2"/>
  <c r="AD71" i="2"/>
  <c r="AI70" i="2"/>
  <c r="AH70" i="2"/>
  <c r="AG70" i="2"/>
  <c r="AE70" i="2"/>
  <c r="AD70" i="2"/>
  <c r="AB70" i="2"/>
  <c r="AI69" i="2"/>
  <c r="AH69" i="2"/>
  <c r="AG69" i="2"/>
  <c r="AE69" i="2"/>
  <c r="AD69" i="2"/>
  <c r="AC69" i="2"/>
  <c r="AB69" i="2"/>
  <c r="AI68" i="2"/>
  <c r="AH68" i="2"/>
  <c r="AG68" i="2"/>
  <c r="AD68" i="2"/>
  <c r="AI67" i="2"/>
  <c r="AH67" i="2"/>
  <c r="AG67" i="2"/>
  <c r="AE67" i="2"/>
  <c r="AD67" i="2"/>
  <c r="AC67" i="2"/>
  <c r="AI66" i="2"/>
  <c r="AH66" i="2"/>
  <c r="AG66" i="2"/>
  <c r="AE66" i="2"/>
  <c r="AD66" i="2"/>
  <c r="AI65" i="2"/>
  <c r="AH65" i="2"/>
  <c r="AG65" i="2"/>
  <c r="AE65" i="2"/>
  <c r="AD65" i="2"/>
  <c r="AG64" i="2"/>
  <c r="AI64" i="2"/>
  <c r="AB64" i="2"/>
  <c r="AI63" i="2"/>
  <c r="AH63" i="2"/>
  <c r="AG63" i="2"/>
  <c r="AE63" i="2"/>
  <c r="AD63" i="2"/>
  <c r="AC63" i="2"/>
  <c r="AB63" i="2"/>
  <c r="AI62" i="2"/>
  <c r="AH62" i="2"/>
  <c r="AG62" i="2"/>
  <c r="AF62" i="2"/>
  <c r="AE62" i="2"/>
  <c r="AD62" i="2"/>
  <c r="AC62" i="2"/>
  <c r="AI61" i="2"/>
  <c r="AH61" i="2"/>
  <c r="AG61" i="2"/>
  <c r="AE61" i="2"/>
  <c r="AD61" i="2"/>
  <c r="AC61" i="2"/>
  <c r="AB61" i="2"/>
  <c r="AI60" i="2"/>
  <c r="AH60" i="2"/>
  <c r="AG60" i="2"/>
  <c r="AE60" i="2"/>
  <c r="AD60" i="2"/>
  <c r="AI59" i="2"/>
  <c r="AH59" i="2"/>
  <c r="AG59" i="2"/>
  <c r="AE59" i="2"/>
  <c r="AD59" i="2"/>
  <c r="AC59" i="2"/>
  <c r="AB59" i="2"/>
  <c r="AI58" i="2"/>
  <c r="AH58" i="2"/>
  <c r="AG58" i="2"/>
  <c r="AE58" i="2"/>
  <c r="AD58" i="2"/>
  <c r="AC58" i="2"/>
  <c r="AB58" i="2"/>
  <c r="AI57" i="2"/>
  <c r="AH57" i="2"/>
  <c r="AG57" i="2"/>
  <c r="AE57" i="2"/>
  <c r="AD57" i="2"/>
  <c r="AB57" i="2"/>
  <c r="AI56" i="2"/>
  <c r="AH56" i="2"/>
  <c r="AG56" i="2"/>
  <c r="AF56" i="2"/>
  <c r="AE56" i="2"/>
  <c r="AD56" i="2"/>
  <c r="AC56" i="2"/>
  <c r="AB56" i="2"/>
  <c r="AI55" i="2"/>
  <c r="AH55" i="2"/>
  <c r="AG55" i="2"/>
  <c r="AE55" i="2"/>
  <c r="AD55" i="2"/>
  <c r="AC55" i="2"/>
  <c r="AB55" i="2"/>
  <c r="AI54" i="2"/>
  <c r="AH54" i="2"/>
  <c r="AG54" i="2"/>
  <c r="AF54" i="2"/>
  <c r="AE54" i="2"/>
  <c r="AD54" i="2"/>
  <c r="AC54" i="2"/>
  <c r="AB54" i="2"/>
  <c r="AI53" i="2"/>
  <c r="AG53" i="2"/>
  <c r="AE53" i="2"/>
  <c r="AD53" i="2"/>
  <c r="AC53" i="2"/>
  <c r="AI52" i="2"/>
  <c r="AH52" i="2"/>
  <c r="AG52" i="2"/>
  <c r="AE52" i="2"/>
  <c r="AD52" i="2"/>
  <c r="AB52" i="2"/>
  <c r="AI51" i="2"/>
  <c r="AH51" i="2"/>
  <c r="AG51" i="2"/>
  <c r="AE51" i="2"/>
  <c r="AD51" i="2"/>
  <c r="AC51" i="2"/>
  <c r="AB51" i="2"/>
  <c r="AI50" i="2"/>
  <c r="AH50" i="2"/>
  <c r="AG50" i="2"/>
  <c r="AE50" i="2"/>
  <c r="AD50" i="2"/>
  <c r="AI49" i="2"/>
  <c r="AH49" i="2"/>
  <c r="AG49" i="2"/>
  <c r="AD49" i="2"/>
  <c r="AI48" i="2"/>
  <c r="AH48" i="2"/>
  <c r="AG48" i="2"/>
  <c r="AE48" i="2"/>
  <c r="AD48" i="2"/>
  <c r="AC48" i="2"/>
  <c r="AB48" i="2"/>
  <c r="AI47" i="2"/>
  <c r="AH47" i="2"/>
  <c r="AG47" i="2"/>
  <c r="AE47" i="2"/>
  <c r="AD47" i="2"/>
  <c r="AB47" i="2"/>
  <c r="AI46" i="2"/>
  <c r="AH46" i="2"/>
  <c r="AG46" i="2"/>
  <c r="AE46" i="2"/>
  <c r="AD46" i="2"/>
  <c r="AC46" i="2"/>
  <c r="AB46" i="2"/>
  <c r="AI45" i="2"/>
  <c r="AH45" i="2"/>
  <c r="AG45" i="2"/>
  <c r="AE45" i="2"/>
  <c r="AD45" i="2"/>
  <c r="AC45" i="2"/>
  <c r="AB45" i="2"/>
  <c r="AI44" i="2"/>
  <c r="AH44" i="2"/>
  <c r="AG44" i="2"/>
  <c r="AE44" i="2"/>
  <c r="AD44" i="2"/>
  <c r="AI43" i="2"/>
  <c r="AH43" i="2"/>
  <c r="AG43" i="2"/>
  <c r="AE43" i="2"/>
  <c r="AD43" i="2"/>
  <c r="AC43" i="2"/>
  <c r="AI42" i="2"/>
  <c r="AH42" i="2"/>
  <c r="AG42" i="2"/>
  <c r="AF42" i="2"/>
  <c r="AE42" i="2"/>
  <c r="AD42" i="2"/>
  <c r="AC42" i="2"/>
  <c r="AB42" i="2"/>
  <c r="AI41" i="2"/>
  <c r="AH41" i="2"/>
  <c r="AG41" i="2"/>
  <c r="AF41" i="2"/>
  <c r="AE41" i="2"/>
  <c r="AD41" i="2"/>
  <c r="AC41" i="2"/>
  <c r="AB41" i="2"/>
  <c r="AI40" i="2"/>
  <c r="AH40" i="2"/>
  <c r="AG40" i="2"/>
  <c r="AF40" i="2"/>
  <c r="AE40" i="2"/>
  <c r="AD40" i="2"/>
  <c r="AC40" i="2"/>
  <c r="AB40" i="2"/>
  <c r="AI38" i="2"/>
  <c r="AG38" i="2"/>
  <c r="AF38" i="2"/>
  <c r="AD38" i="2"/>
  <c r="AC38" i="2"/>
  <c r="AI37" i="2"/>
  <c r="AG37" i="2"/>
  <c r="AF37" i="2"/>
  <c r="AE37" i="2"/>
  <c r="AD37" i="2"/>
  <c r="AC37" i="2"/>
  <c r="AB37" i="2"/>
  <c r="AI36" i="2"/>
  <c r="AG36" i="2"/>
  <c r="AF36" i="2"/>
  <c r="AE36" i="2"/>
  <c r="AD36" i="2"/>
  <c r="AC36" i="2"/>
  <c r="AB36" i="2"/>
  <c r="AI35" i="2"/>
  <c r="AG35" i="2"/>
  <c r="AF35" i="2"/>
  <c r="AE35" i="2"/>
  <c r="AD35" i="2"/>
  <c r="AC35" i="2"/>
  <c r="AB35" i="2"/>
  <c r="AI34" i="2"/>
  <c r="AG34" i="2"/>
  <c r="AE34" i="2"/>
  <c r="AD34" i="2"/>
  <c r="AC34" i="2"/>
  <c r="AB34" i="2"/>
  <c r="AI33" i="2"/>
  <c r="AG33" i="2"/>
  <c r="AF33" i="2"/>
  <c r="AE33" i="2"/>
  <c r="AD33" i="2"/>
  <c r="AC33" i="2"/>
  <c r="AB33" i="2"/>
  <c r="AI32" i="2"/>
  <c r="AH32" i="2"/>
  <c r="AG32" i="2"/>
  <c r="AE32" i="2"/>
  <c r="AD32" i="2"/>
  <c r="AI31" i="2"/>
  <c r="AH31" i="2"/>
  <c r="AG31" i="2"/>
  <c r="AD31" i="2"/>
  <c r="AB31" i="2"/>
  <c r="AI30" i="2"/>
  <c r="AH30" i="2"/>
  <c r="AG30" i="2"/>
  <c r="AE30" i="2"/>
  <c r="AD30" i="2"/>
  <c r="AI29" i="2"/>
  <c r="AH29" i="2"/>
  <c r="AG29" i="2"/>
  <c r="AE29" i="2"/>
  <c r="AD29" i="2"/>
  <c r="AC29" i="2"/>
  <c r="AB29" i="2"/>
  <c r="AI28" i="2"/>
  <c r="AH28" i="2"/>
  <c r="AG28" i="2"/>
  <c r="AD28" i="2"/>
  <c r="AI27" i="2"/>
  <c r="AG27" i="2"/>
  <c r="AE27" i="2"/>
  <c r="AD27" i="2"/>
  <c r="AI26" i="2"/>
  <c r="AH26" i="2"/>
  <c r="AG26" i="2"/>
  <c r="AE26" i="2"/>
  <c r="AD26" i="2"/>
  <c r="AC26" i="2"/>
  <c r="AB26" i="2"/>
  <c r="AI25" i="2"/>
  <c r="AH25" i="2"/>
  <c r="AG25" i="2"/>
  <c r="AE25" i="2"/>
  <c r="AD25" i="2"/>
  <c r="AB25" i="2"/>
  <c r="AI24" i="2"/>
  <c r="AH24" i="2"/>
  <c r="AG24" i="2"/>
  <c r="AE24" i="2"/>
  <c r="AD24" i="2"/>
  <c r="AC24" i="2"/>
  <c r="AB24" i="2"/>
  <c r="AI23" i="2"/>
  <c r="AH23" i="2"/>
  <c r="AG23" i="2"/>
  <c r="AE23" i="2"/>
  <c r="AD23" i="2"/>
  <c r="AC23" i="2"/>
  <c r="AB23" i="2"/>
  <c r="AI22" i="2"/>
  <c r="AH22" i="2"/>
  <c r="AG22" i="2"/>
  <c r="AF22" i="2"/>
  <c r="AE22" i="2"/>
  <c r="AD22" i="2"/>
  <c r="AC22" i="2"/>
  <c r="AB22" i="2"/>
  <c r="AI21" i="2"/>
  <c r="AH21" i="2"/>
  <c r="AG21" i="2"/>
  <c r="AE21" i="2"/>
  <c r="AD21" i="2"/>
  <c r="AB21" i="2"/>
  <c r="AI20" i="2"/>
  <c r="AH20" i="2"/>
  <c r="AG20" i="2"/>
  <c r="AE20" i="2"/>
  <c r="AD20" i="2"/>
  <c r="AC20" i="2"/>
  <c r="AB20" i="2"/>
  <c r="AI19" i="2"/>
  <c r="AH19" i="2"/>
  <c r="AG19" i="2"/>
  <c r="AE19" i="2"/>
  <c r="AD19" i="2"/>
  <c r="AC19" i="2"/>
  <c r="AB19" i="2"/>
  <c r="AI18" i="2"/>
  <c r="AH18" i="2"/>
  <c r="AG18" i="2"/>
  <c r="AF18" i="2"/>
  <c r="AE18" i="2"/>
  <c r="AD18" i="2"/>
  <c r="AC18" i="2"/>
  <c r="AB18" i="2"/>
  <c r="AI17" i="2"/>
  <c r="AH17" i="2"/>
  <c r="AG17" i="2"/>
  <c r="AE17" i="2"/>
  <c r="AD17" i="2"/>
  <c r="AC17" i="2"/>
  <c r="AB17" i="2"/>
  <c r="AI16" i="2"/>
  <c r="AH16" i="2"/>
  <c r="AG16" i="2"/>
  <c r="AF16" i="2"/>
  <c r="AE16" i="2"/>
  <c r="AD16" i="2"/>
  <c r="AC16" i="2"/>
  <c r="AB16" i="2"/>
  <c r="AI15" i="2"/>
  <c r="AH15" i="2"/>
  <c r="AG15" i="2"/>
  <c r="AF15" i="2"/>
  <c r="AE15" i="2"/>
  <c r="AD15" i="2"/>
  <c r="AC15" i="2"/>
  <c r="AB15" i="2"/>
  <c r="AI14" i="2"/>
  <c r="AH14" i="2"/>
  <c r="AG14" i="2"/>
  <c r="AF14" i="2"/>
  <c r="AE14" i="2"/>
  <c r="AD14" i="2"/>
  <c r="AC14" i="2"/>
  <c r="AB14" i="2"/>
  <c r="AI13" i="2"/>
  <c r="AH13" i="2"/>
  <c r="AG13" i="2"/>
  <c r="AE13" i="2"/>
  <c r="AD13" i="2"/>
  <c r="AB13" i="2"/>
  <c r="AI12" i="2"/>
  <c r="AH12" i="2"/>
  <c r="AG12" i="2"/>
  <c r="AE12" i="2"/>
  <c r="AD12" i="2"/>
  <c r="AB12" i="2"/>
  <c r="AI11" i="2"/>
  <c r="AH11" i="2"/>
  <c r="AG11" i="2"/>
  <c r="AE11" i="2"/>
  <c r="AD11" i="2"/>
  <c r="AC11" i="2"/>
  <c r="AB11" i="2"/>
  <c r="AI10" i="2"/>
  <c r="AH10" i="2"/>
  <c r="AG10" i="2"/>
  <c r="AE10" i="2"/>
  <c r="AD10" i="2"/>
  <c r="AC10" i="2"/>
  <c r="AI9" i="2"/>
  <c r="AH9" i="2"/>
  <c r="AG9" i="2"/>
  <c r="AF9" i="2"/>
  <c r="AE9" i="2"/>
  <c r="AD9" i="2"/>
  <c r="AC9" i="2"/>
  <c r="AB9" i="2"/>
  <c r="AI8" i="2"/>
  <c r="AH8" i="2"/>
  <c r="AG8" i="2"/>
  <c r="AE8" i="2"/>
  <c r="AC8" i="2"/>
  <c r="AB8" i="2"/>
  <c r="AI7" i="2"/>
  <c r="AH7" i="2"/>
  <c r="AG7" i="2"/>
  <c r="AE7" i="2"/>
  <c r="AD7" i="2"/>
  <c r="AC7" i="2"/>
  <c r="AB7" i="2"/>
  <c r="AI6" i="2"/>
  <c r="AH6" i="2"/>
  <c r="AG6" i="2"/>
  <c r="AE6" i="2"/>
  <c r="AD6" i="2"/>
  <c r="AC6" i="2"/>
  <c r="AB6" i="2"/>
  <c r="AI5" i="2"/>
  <c r="AH5" i="2"/>
  <c r="AG5" i="2"/>
  <c r="AE5" i="2"/>
  <c r="AD5" i="2"/>
  <c r="AB5" i="2"/>
  <c r="AI4" i="2"/>
  <c r="AH4" i="2"/>
  <c r="AG4" i="2"/>
  <c r="AE4" i="2"/>
  <c r="AD4" i="2"/>
  <c r="AI3" i="2"/>
  <c r="AH3" i="2"/>
  <c r="AG3" i="2"/>
  <c r="AE3" i="2"/>
  <c r="AD3" i="2"/>
  <c r="AC3" i="2"/>
  <c r="AB3" i="2"/>
  <c r="AI2" i="2"/>
  <c r="AH2" i="2"/>
  <c r="AG2" i="2"/>
  <c r="AE2" i="2"/>
  <c r="AD2" i="2"/>
</calcChain>
</file>

<file path=xl/sharedStrings.xml><?xml version="1.0" encoding="utf-8"?>
<sst xmlns="http://schemas.openxmlformats.org/spreadsheetml/2006/main" count="17071" uniqueCount="572">
  <si>
    <t>YEAR</t>
  </si>
  <si>
    <t>SCHOOL DISTRICT</t>
  </si>
  <si>
    <t>SCHOOL</t>
  </si>
  <si>
    <t>Total_Dropouts</t>
  </si>
  <si>
    <t>Dropouts_7_8</t>
  </si>
  <si>
    <t>Dropouts_9_12</t>
  </si>
  <si>
    <t>DRate_7_12</t>
  </si>
  <si>
    <t>DRate_9_12</t>
  </si>
  <si>
    <t>DRate_7</t>
  </si>
  <si>
    <t>DRate_8</t>
  </si>
  <si>
    <t>DRate_T9</t>
  </si>
  <si>
    <t>DRate_9</t>
  </si>
  <si>
    <t>DRate_10</t>
  </si>
  <si>
    <t>DRate_11</t>
  </si>
  <si>
    <t>DRate_12</t>
  </si>
  <si>
    <t>Enrollment</t>
  </si>
  <si>
    <t>Enrollment 9_12</t>
  </si>
  <si>
    <t>Enrollment 7_12</t>
  </si>
  <si>
    <t>%Female</t>
  </si>
  <si>
    <t>%Male</t>
  </si>
  <si>
    <t>%AmInd</t>
  </si>
  <si>
    <t>%Asian</t>
  </si>
  <si>
    <t>%Black</t>
  </si>
  <si>
    <t>%Hispanic</t>
  </si>
  <si>
    <t>%HawPI</t>
  </si>
  <si>
    <t>%White</t>
  </si>
  <si>
    <t>%Multiple</t>
  </si>
  <si>
    <t>%Minority</t>
  </si>
  <si>
    <t>%At Risk</t>
  </si>
  <si>
    <t>%LEP</t>
  </si>
  <si>
    <t>Grade7</t>
  </si>
  <si>
    <t>Grade8</t>
  </si>
  <si>
    <t>GradeT9</t>
  </si>
  <si>
    <t>Grade9</t>
  </si>
  <si>
    <t>Grade10</t>
  </si>
  <si>
    <t>Grade11</t>
  </si>
  <si>
    <t>Grade12</t>
  </si>
  <si>
    <t>%T9</t>
  </si>
  <si>
    <t>Start_Grade</t>
  </si>
  <si>
    <t>School_Type</t>
  </si>
  <si>
    <t>%CS 1_20</t>
  </si>
  <si>
    <t>%CS 21_26</t>
  </si>
  <si>
    <t>%CS 27_33</t>
  </si>
  <si>
    <t>%CS 34</t>
  </si>
  <si>
    <t>%IS_Susp</t>
  </si>
  <si>
    <t>%OS_Susp</t>
  </si>
  <si>
    <t>Att_Rate</t>
  </si>
  <si>
    <t>Tru_Rate</t>
  </si>
  <si>
    <t>Ret_Rate_7</t>
  </si>
  <si>
    <t>Ret_Rate_8</t>
  </si>
  <si>
    <t>Ret_Rate_9</t>
  </si>
  <si>
    <t>Ret_Rate_10</t>
  </si>
  <si>
    <t>Ret_Rate_11</t>
  </si>
  <si>
    <t>Ret_Rate_12</t>
  </si>
  <si>
    <t>Avg_ACT</t>
  </si>
  <si>
    <t>Exp_Stdnt</t>
  </si>
  <si>
    <t>Tch_Salary</t>
  </si>
  <si>
    <t>Adm_Salary</t>
  </si>
  <si>
    <t>Stf_Salary</t>
  </si>
  <si>
    <t>Tchr_LessBchlr</t>
  </si>
  <si>
    <t>Tchr_Bchlr</t>
  </si>
  <si>
    <t>Tchr_Mstr_Deg</t>
  </si>
  <si>
    <t>Tchr_EdSpec</t>
  </si>
  <si>
    <t>Tchr_Doct</t>
  </si>
  <si>
    <t>Tchr_Avg_Expr</t>
  </si>
  <si>
    <t>%Tchr</t>
  </si>
  <si>
    <t>Admn_LessBchlr</t>
  </si>
  <si>
    <t>Admn_Bchlr</t>
  </si>
  <si>
    <t>Admn_Mstr</t>
  </si>
  <si>
    <t>Admn_EdSpec</t>
  </si>
  <si>
    <t>Admn_Doct</t>
  </si>
  <si>
    <t>Admn_Avg_Expr</t>
  </si>
  <si>
    <t>%Admn</t>
  </si>
  <si>
    <t>Staff_LessBchlr</t>
  </si>
  <si>
    <t>Staff_Bchlr</t>
  </si>
  <si>
    <t>Staff_Mstr</t>
  </si>
  <si>
    <t>Staff_EdSpec</t>
  </si>
  <si>
    <t>Staff_Doct</t>
  </si>
  <si>
    <t>Staff_Avg_Expr</t>
  </si>
  <si>
    <t>Nonprofit Organization</t>
  </si>
  <si>
    <t>2014-15</t>
  </si>
  <si>
    <t>Acadia Parish</t>
  </si>
  <si>
    <t>Church Point High School</t>
  </si>
  <si>
    <t>N/A</t>
  </si>
  <si>
    <t>Crowley High School</t>
  </si>
  <si>
    <t>Midland High School</t>
  </si>
  <si>
    <t>Rayne High School</t>
  </si>
  <si>
    <t>Iota High School</t>
  </si>
  <si>
    <t>Allen Parish</t>
  </si>
  <si>
    <t>Elizabeth High School</t>
  </si>
  <si>
    <t>Fairview High School</t>
  </si>
  <si>
    <t>Kinder High School</t>
  </si>
  <si>
    <t>Oakdale High School</t>
  </si>
  <si>
    <t>Oberlin High School</t>
  </si>
  <si>
    <t>Reeves High School</t>
  </si>
  <si>
    <t>Ascension Parish</t>
  </si>
  <si>
    <t>Donaldsonville High School</t>
  </si>
  <si>
    <t>East Ascension High School</t>
  </si>
  <si>
    <t>St. Amant High School</t>
  </si>
  <si>
    <t>Dutchtown High School</t>
  </si>
  <si>
    <t>Assumption Parish</t>
  </si>
  <si>
    <t>Assumption High School</t>
  </si>
  <si>
    <t>Avoyelles Parish</t>
  </si>
  <si>
    <t>Bunkie New Tech High School</t>
  </si>
  <si>
    <t>Marksville High School</t>
  </si>
  <si>
    <t>Avoyelles High School</t>
  </si>
  <si>
    <t>LA School for Ag Science</t>
  </si>
  <si>
    <t>Beauregard Parish</t>
  </si>
  <si>
    <t>DeRidder High School</t>
  </si>
  <si>
    <t>East Beauregard High School</t>
  </si>
  <si>
    <t>Merryville High School</t>
  </si>
  <si>
    <t>Singer High School</t>
  </si>
  <si>
    <t>South Beauregard High School</t>
  </si>
  <si>
    <t>Bienville Parish</t>
  </si>
  <si>
    <t>Arcadia High School</t>
  </si>
  <si>
    <t>Bienville High School</t>
  </si>
  <si>
    <t>Castor High School</t>
  </si>
  <si>
    <t>Gibsland-Coleman High School</t>
  </si>
  <si>
    <t>Ringgold High School</t>
  </si>
  <si>
    <t>Saline High School</t>
  </si>
  <si>
    <t>Bossier Parish</t>
  </si>
  <si>
    <t>Airline High School</t>
  </si>
  <si>
    <t>Benton High School</t>
  </si>
  <si>
    <t>Bossier High School</t>
  </si>
  <si>
    <t>Haughton High School</t>
  </si>
  <si>
    <t>Parkway High School</t>
  </si>
  <si>
    <t>Plain Dealing High School</t>
  </si>
  <si>
    <t>Caddo Parish</t>
  </si>
  <si>
    <t>C.E. Byrd High School</t>
  </si>
  <si>
    <t>Caddo Parish Magnet High School</t>
  </si>
  <si>
    <t>Captain Shreve High School</t>
  </si>
  <si>
    <t>Fair Park College Preparatory Academy</t>
  </si>
  <si>
    <t>Green Oaks Performing Arts Academy</t>
  </si>
  <si>
    <t>Huntington High School</t>
  </si>
  <si>
    <t>North Caddo High School</t>
  </si>
  <si>
    <t>Northwood High School</t>
  </si>
  <si>
    <t>Southwood High School</t>
  </si>
  <si>
    <t>Booker T. Washington New Technology High School</t>
  </si>
  <si>
    <t>Woodlawn Leadership Academy</t>
  </si>
  <si>
    <t>Calcasieu Parish</t>
  </si>
  <si>
    <t>Alfred M. Barbe High School</t>
  </si>
  <si>
    <t>Bell City High School</t>
  </si>
  <si>
    <t>DeQuincy High School</t>
  </si>
  <si>
    <t>Sam Houston High School</t>
  </si>
  <si>
    <t>Iowa High School</t>
  </si>
  <si>
    <t>LaGrange High School</t>
  </si>
  <si>
    <t>Starks High School</t>
  </si>
  <si>
    <t>Sulphur High School</t>
  </si>
  <si>
    <t>Vinton High School</t>
  </si>
  <si>
    <t>Washington/Marion Magnet High School</t>
  </si>
  <si>
    <t>Westlake High School</t>
  </si>
  <si>
    <t>Caldwell Parish</t>
  </si>
  <si>
    <t>Caldwell Parish High School</t>
  </si>
  <si>
    <t>Cameron Parish</t>
  </si>
  <si>
    <t>Grand Lake High School</t>
  </si>
  <si>
    <t>Hackberry High School</t>
  </si>
  <si>
    <t>Johnson Bayou High School</t>
  </si>
  <si>
    <t>South Cameron High School</t>
  </si>
  <si>
    <t>Catahoula Parish</t>
  </si>
  <si>
    <t>Block High School</t>
  </si>
  <si>
    <t>Central High School</t>
  </si>
  <si>
    <t>Harrisonburg High School</t>
  </si>
  <si>
    <t>Sicily Island High School</t>
  </si>
  <si>
    <t>Claiborne Parish</t>
  </si>
  <si>
    <t>Haynesville Jr./Sr. High School</t>
  </si>
  <si>
    <t>Homer High School</t>
  </si>
  <si>
    <t>Summerfield High School</t>
  </si>
  <si>
    <t>Concordia Parish</t>
  </si>
  <si>
    <t>Ferriday High School</t>
  </si>
  <si>
    <t>Monterey High School</t>
  </si>
  <si>
    <t>Vidalia High School</t>
  </si>
  <si>
    <t>DeSoto Parish</t>
  </si>
  <si>
    <t>Logansport High School</t>
  </si>
  <si>
    <t>Mansfield High School</t>
  </si>
  <si>
    <t>Stanley High School</t>
  </si>
  <si>
    <t>North DeSoto High School</t>
  </si>
  <si>
    <t>East Baton Rouge Parish</t>
  </si>
  <si>
    <t>Baton Rouge Magnet High School</t>
  </si>
  <si>
    <t>Belaire High School</t>
  </si>
  <si>
    <t>Broadmoor Senior High School</t>
  </si>
  <si>
    <t>Glen Oaks Senior High School</t>
  </si>
  <si>
    <t>McKinley Senior High School</t>
  </si>
  <si>
    <t>Northeast High School</t>
  </si>
  <si>
    <t>Scotlandville Magnet High School</t>
  </si>
  <si>
    <t>Tara High School</t>
  </si>
  <si>
    <t>Woodlawn High School</t>
  </si>
  <si>
    <t>Mentorship Academy of Digital Arts</t>
  </si>
  <si>
    <t>Mentorship Academy of Science &amp; Technology</t>
  </si>
  <si>
    <t>Robert E. Lee High School</t>
  </si>
  <si>
    <t>East Carroll Parish</t>
  </si>
  <si>
    <t>General Trass High School</t>
  </si>
  <si>
    <t>East Feliciana Parish</t>
  </si>
  <si>
    <t>East Feliciana High School</t>
  </si>
  <si>
    <t>Slaughter Community Charter School</t>
  </si>
  <si>
    <t>Evangeline Parish</t>
  </si>
  <si>
    <t>Basile High School</t>
  </si>
  <si>
    <t>Mamou High School</t>
  </si>
  <si>
    <t>Pine Prairie High School</t>
  </si>
  <si>
    <t>Ville Platte High School</t>
  </si>
  <si>
    <t>Franklin Parish</t>
  </si>
  <si>
    <t>Franklin Parish High School</t>
  </si>
  <si>
    <t>Grant Parish</t>
  </si>
  <si>
    <t>Georgetown High School</t>
  </si>
  <si>
    <t>Grant High School</t>
  </si>
  <si>
    <t>Montgomery High School</t>
  </si>
  <si>
    <t>Iberia Parish</t>
  </si>
  <si>
    <t>Delcambre High School</t>
  </si>
  <si>
    <t>Jeanerette Senior High School</t>
  </si>
  <si>
    <t>Loreauville High School</t>
  </si>
  <si>
    <t>Westgate High School</t>
  </si>
  <si>
    <t>New Iberia Senior High School</t>
  </si>
  <si>
    <t>Iberville Parish</t>
  </si>
  <si>
    <t>Plaquemine Senior High School</t>
  </si>
  <si>
    <t>White Castle High School</t>
  </si>
  <si>
    <t>East Iberville Elementary/High School</t>
  </si>
  <si>
    <t>Jackson Parish</t>
  </si>
  <si>
    <t>Jonesboro-Hodge High School</t>
  </si>
  <si>
    <t>Quitman High School</t>
  </si>
  <si>
    <t>Weston High School</t>
  </si>
  <si>
    <t>Jefferson Parish</t>
  </si>
  <si>
    <t>Bonnabel Magnet Academy High School</t>
  </si>
  <si>
    <t>Helen Cox High School</t>
  </si>
  <si>
    <t>East Jefferson High School</t>
  </si>
  <si>
    <t>John Ehret High School</t>
  </si>
  <si>
    <t>Fisher Middle/High School</t>
  </si>
  <si>
    <t>Grand Isle High School</t>
  </si>
  <si>
    <t>Haynes Academy School for Advanced Studies</t>
  </si>
  <si>
    <t>L.W. Higgins High School</t>
  </si>
  <si>
    <t>Grace King High School</t>
  </si>
  <si>
    <t>Riverdale High School</t>
  </si>
  <si>
    <t>West Jefferson High School</t>
  </si>
  <si>
    <t>Patrick F. Taylor Science &amp; Technology Academy</t>
  </si>
  <si>
    <t>Thomas Jefferson High School for Advanced Studies</t>
  </si>
  <si>
    <t>Jefferson Davis Parish</t>
  </si>
  <si>
    <t>Elton High School</t>
  </si>
  <si>
    <t>Hathaway High School</t>
  </si>
  <si>
    <t>Jennings High School</t>
  </si>
  <si>
    <t>Lacassine High School</t>
  </si>
  <si>
    <t>Lake Arthur High School</t>
  </si>
  <si>
    <t>Welsh High School</t>
  </si>
  <si>
    <t>Lafayette Parish</t>
  </si>
  <si>
    <t>Acadiana High School</t>
  </si>
  <si>
    <t>Carencro High School</t>
  </si>
  <si>
    <t>O. Comeaux High School</t>
  </si>
  <si>
    <t>Lafayette High School</t>
  </si>
  <si>
    <t>Northside High School</t>
  </si>
  <si>
    <t>Early College Academy</t>
  </si>
  <si>
    <t>David Thibodaux STEM Magnet Academy</t>
  </si>
  <si>
    <t>Lafourche Parish</t>
  </si>
  <si>
    <t>Central Lafourche High School</t>
  </si>
  <si>
    <t>South Lafourche High School</t>
  </si>
  <si>
    <t>Thibodaux High School</t>
  </si>
  <si>
    <t>LaSalle Parish</t>
  </si>
  <si>
    <t>Jena High School</t>
  </si>
  <si>
    <t>LaSalle High School</t>
  </si>
  <si>
    <t>Lincoln Parish</t>
  </si>
  <si>
    <t>Grambling State Univ. Laboratory High School</t>
  </si>
  <si>
    <t>Choudrant High School</t>
  </si>
  <si>
    <t>Ruston High School</t>
  </si>
  <si>
    <t>Simsboro High School</t>
  </si>
  <si>
    <t>Livingston Parish</t>
  </si>
  <si>
    <t>Albany High School</t>
  </si>
  <si>
    <t>Denham Springs High School</t>
  </si>
  <si>
    <t>Doyle High School</t>
  </si>
  <si>
    <t>French Settlement High School</t>
  </si>
  <si>
    <t>Holden High School</t>
  </si>
  <si>
    <t>Live Oak High School</t>
  </si>
  <si>
    <t>Maurepas School</t>
  </si>
  <si>
    <t>Springfield High School</t>
  </si>
  <si>
    <t>Walker High School</t>
  </si>
  <si>
    <t>Madison Parish</t>
  </si>
  <si>
    <t>Madison High School</t>
  </si>
  <si>
    <t>Morehouse Parish</t>
  </si>
  <si>
    <t>Bastrop High School</t>
  </si>
  <si>
    <t>Beekman Charter School</t>
  </si>
  <si>
    <t>Natchitoches Parish</t>
  </si>
  <si>
    <t>Natchitoches Central High School</t>
  </si>
  <si>
    <t>Lakeview Junior &amp; Senior High School</t>
  </si>
  <si>
    <t>Orleans Parish</t>
  </si>
  <si>
    <t>Warren Easton Senior High School</t>
  </si>
  <si>
    <t>Benjamin Franklin High School</t>
  </si>
  <si>
    <t>Edna Karr High School</t>
  </si>
  <si>
    <t>Lusher Charter School</t>
  </si>
  <si>
    <t>McDonogh #35 College Preparatory School</t>
  </si>
  <si>
    <t>Eleanor McMain Secondary School</t>
  </si>
  <si>
    <t>New Orleans Charter Science and Mathematics HS</t>
  </si>
  <si>
    <t>Ouachita Parish</t>
  </si>
  <si>
    <t>Ouachita Parish High School</t>
  </si>
  <si>
    <t>Sterlington High School</t>
  </si>
  <si>
    <t>West Monroe High School</t>
  </si>
  <si>
    <t>West Ouachita High School</t>
  </si>
  <si>
    <t>Richwood High School</t>
  </si>
  <si>
    <t>Plaquemines Parish</t>
  </si>
  <si>
    <t>Belle Chasse High School</t>
  </si>
  <si>
    <t>Phoenix High School</t>
  </si>
  <si>
    <t>South Plaquemines High School</t>
  </si>
  <si>
    <t>Pointe Coupee Parish</t>
  </si>
  <si>
    <t>Livonia High School</t>
  </si>
  <si>
    <t>Rapides Parish</t>
  </si>
  <si>
    <t>Alexandria Senior High School</t>
  </si>
  <si>
    <t>Bolton High School</t>
  </si>
  <si>
    <t>Buckeye High School</t>
  </si>
  <si>
    <t>Glenmora High School</t>
  </si>
  <si>
    <t>Oak Hill High School</t>
  </si>
  <si>
    <t>Peabody Magnet High School</t>
  </si>
  <si>
    <t>Pineville High School</t>
  </si>
  <si>
    <t>Plainview High School</t>
  </si>
  <si>
    <t>Rapides High School</t>
  </si>
  <si>
    <t>Tioga High School</t>
  </si>
  <si>
    <t>Red River Parish</t>
  </si>
  <si>
    <t>Red River High School</t>
  </si>
  <si>
    <t>Richland Parish</t>
  </si>
  <si>
    <t>Delhi High School</t>
  </si>
  <si>
    <t>Mangham High School</t>
  </si>
  <si>
    <t>Rayville High School</t>
  </si>
  <si>
    <t>Sabine Parish</t>
  </si>
  <si>
    <t>Converse High School</t>
  </si>
  <si>
    <t>Ebarb School</t>
  </si>
  <si>
    <t>Florien High School</t>
  </si>
  <si>
    <t>Many High School</t>
  </si>
  <si>
    <t>Negreet High School</t>
  </si>
  <si>
    <t>Pleasant Hill High School</t>
  </si>
  <si>
    <t>Zwolle High School</t>
  </si>
  <si>
    <t>St. Bernard Parish</t>
  </si>
  <si>
    <t>Chalmette High School</t>
  </si>
  <si>
    <t>St. Charles Parish</t>
  </si>
  <si>
    <t>Destrehan High School</t>
  </si>
  <si>
    <t>Hahnville High School</t>
  </si>
  <si>
    <t>St. Helena Parish</t>
  </si>
  <si>
    <t>St. Helena College and Career Academy</t>
  </si>
  <si>
    <t>St. James Parish</t>
  </si>
  <si>
    <t>Lutcher High School</t>
  </si>
  <si>
    <t>St. James High School</t>
  </si>
  <si>
    <t>St. John the Baptist Parish</t>
  </si>
  <si>
    <t>East St. John High School</t>
  </si>
  <si>
    <t>West St. John High School</t>
  </si>
  <si>
    <t>St. Landry Parish</t>
  </si>
  <si>
    <t>Eunice High School</t>
  </si>
  <si>
    <t>Opelousas Senior High School</t>
  </si>
  <si>
    <t>North Central High School</t>
  </si>
  <si>
    <t>Beau Chene High School</t>
  </si>
  <si>
    <t>Northwest High School</t>
  </si>
  <si>
    <t>Port Barre High School</t>
  </si>
  <si>
    <t>Magnet Academy for Cultural Arts</t>
  </si>
  <si>
    <t>St. Martin Parish</t>
  </si>
  <si>
    <t>Breaux Bridge High School</t>
  </si>
  <si>
    <t>Cecilia High School</t>
  </si>
  <si>
    <t>St. Martinville Senior High School</t>
  </si>
  <si>
    <t>St. Mary Parish</t>
  </si>
  <si>
    <t>Berwick High School</t>
  </si>
  <si>
    <t>Centerville High School</t>
  </si>
  <si>
    <t>Franklin Senior High School</t>
  </si>
  <si>
    <t>Morgan City High School</t>
  </si>
  <si>
    <t>Patterson High School</t>
  </si>
  <si>
    <t>West St. Mary High School</t>
  </si>
  <si>
    <t>St. Tammany Parish</t>
  </si>
  <si>
    <t>Covington High School</t>
  </si>
  <si>
    <t>Mandeville High School</t>
  </si>
  <si>
    <t>Pearl River High School</t>
  </si>
  <si>
    <t>Salmen High School</t>
  </si>
  <si>
    <t>Slidell High School</t>
  </si>
  <si>
    <t>Northshore High School</t>
  </si>
  <si>
    <t>Fontainebleau High School</t>
  </si>
  <si>
    <t>Lakeshore High School</t>
  </si>
  <si>
    <t>Tangipahoa Parish</t>
  </si>
  <si>
    <t>Amite High School</t>
  </si>
  <si>
    <t>Hammond High Magnet School</t>
  </si>
  <si>
    <t>Independence High School</t>
  </si>
  <si>
    <t>Kentwood High Magnet School</t>
  </si>
  <si>
    <t>Loranger High School</t>
  </si>
  <si>
    <t>Ponchatoula High School</t>
  </si>
  <si>
    <t>Jewel M. Sumner High School</t>
  </si>
  <si>
    <t>Tensas Parish</t>
  </si>
  <si>
    <t>Tensas High School</t>
  </si>
  <si>
    <t>Terrebonne Parish</t>
  </si>
  <si>
    <t>H. L. Bourgeois High School</t>
  </si>
  <si>
    <t>Ellender Memorial High School</t>
  </si>
  <si>
    <t>South Terrebonne High School</t>
  </si>
  <si>
    <t>Terrebonne High School</t>
  </si>
  <si>
    <t>Union Parish</t>
  </si>
  <si>
    <t>Downsville Charter School</t>
  </si>
  <si>
    <t>Union Parish High School</t>
  </si>
  <si>
    <t>Vermillion Parish</t>
  </si>
  <si>
    <t>Abbeville High School</t>
  </si>
  <si>
    <t>Erath High School</t>
  </si>
  <si>
    <t>Gueydan High School</t>
  </si>
  <si>
    <t>Kaplan High School</t>
  </si>
  <si>
    <t>North Vermilion High School</t>
  </si>
  <si>
    <t>Vernon Parish</t>
  </si>
  <si>
    <t>Anacoco High School</t>
  </si>
  <si>
    <t>Evans High School</t>
  </si>
  <si>
    <t>Hicks High School</t>
  </si>
  <si>
    <t>Hornbeck High School</t>
  </si>
  <si>
    <t>Leesville High School</t>
  </si>
  <si>
    <t>Pickering High School</t>
  </si>
  <si>
    <t>Pitkin High School</t>
  </si>
  <si>
    <t>Rosepine High School</t>
  </si>
  <si>
    <t>Simpson High School</t>
  </si>
  <si>
    <t>Washington Parish</t>
  </si>
  <si>
    <t>Franklinton High School</t>
  </si>
  <si>
    <t>Mt. Hermon School</t>
  </si>
  <si>
    <t>Pine School</t>
  </si>
  <si>
    <t>Varnado High School</t>
  </si>
  <si>
    <t>Webster Parish</t>
  </si>
  <si>
    <t>Doyline High School</t>
  </si>
  <si>
    <t>Minden High School</t>
  </si>
  <si>
    <t>Lakeside Junior-Senior High School</t>
  </si>
  <si>
    <t>North Webster High School</t>
  </si>
  <si>
    <t>West Baton Rouge Parish</t>
  </si>
  <si>
    <t>Brusly High School</t>
  </si>
  <si>
    <t>Port Allen High School</t>
  </si>
  <si>
    <t>West Carroll Parish</t>
  </si>
  <si>
    <t>Epps High School</t>
  </si>
  <si>
    <t>Forest School</t>
  </si>
  <si>
    <t>Kilbourne High School</t>
  </si>
  <si>
    <t>Oak Grove High School</t>
  </si>
  <si>
    <t>West Feliciana Parish</t>
  </si>
  <si>
    <t>West Feliciana High School</t>
  </si>
  <si>
    <t>Winn Parish</t>
  </si>
  <si>
    <t>Atlanta High School</t>
  </si>
  <si>
    <t>Calvin High School</t>
  </si>
  <si>
    <t>Dodson High School</t>
  </si>
  <si>
    <t>Winnfield High School</t>
  </si>
  <si>
    <t>City of Monroe</t>
  </si>
  <si>
    <t>Carroll High School</t>
  </si>
  <si>
    <t>Neville High School</t>
  </si>
  <si>
    <t>Wossman High School</t>
  </si>
  <si>
    <t>City of Bogalusa</t>
  </si>
  <si>
    <t>Bogalusa High School</t>
  </si>
  <si>
    <t>City of Zachary</t>
  </si>
  <si>
    <t>Zachary High School</t>
  </si>
  <si>
    <t>City of Baker</t>
  </si>
  <si>
    <t>Baker High School</t>
  </si>
  <si>
    <t>City of Central</t>
  </si>
  <si>
    <t>Recovery School District</t>
  </si>
  <si>
    <t>Lake Area New Tech Early College High School</t>
  </si>
  <si>
    <t>Louisiana School for Math Science &amp; the Arts</t>
  </si>
  <si>
    <t>LSU Laboratory School</t>
  </si>
  <si>
    <t>Southern University Lab School</t>
  </si>
  <si>
    <t>SW Louisiana Charter Academy Foundation</t>
  </si>
  <si>
    <t>Lake Charles College Prep</t>
  </si>
  <si>
    <t>Avoyelles Public Charter School</t>
  </si>
  <si>
    <t>New Orleans Center for Creative Arts</t>
  </si>
  <si>
    <t>Delhi Charter School</t>
  </si>
  <si>
    <t>D'Arbonne Woods Charter School</t>
  </si>
  <si>
    <t>Community School for Apprenticeship Learning</t>
  </si>
  <si>
    <t>Madison Preparatory Academy</t>
  </si>
  <si>
    <t>Voices for International Business &amp; Education</t>
  </si>
  <si>
    <t>International High School of New Orleans</t>
  </si>
  <si>
    <t>New Orleans Military/Maritime Academy</t>
  </si>
  <si>
    <t>Outreach Community Development Corporation</t>
  </si>
  <si>
    <t>JS Clark Leadership Academy</t>
  </si>
  <si>
    <t>RSD-Collegiate Academies</t>
  </si>
  <si>
    <t>Sci Academy</t>
  </si>
  <si>
    <t>G. W. Carver Collegiate Academy</t>
  </si>
  <si>
    <t>G. W. Carver Preparatory Academy</t>
  </si>
  <si>
    <t>RSD-Miller-McCoy Academy for Math and Business</t>
  </si>
  <si>
    <t>Miller-McCoy Academy for Mathematics and Business</t>
  </si>
  <si>
    <t>RSD-New Orleans College Preparatory Academies</t>
  </si>
  <si>
    <t>Cohen College Prep</t>
  </si>
  <si>
    <t>RSD-Friends of King</t>
  </si>
  <si>
    <t>Dr. Martin Luther King Charter School for Sci/Tech</t>
  </si>
  <si>
    <t>RSD-Algiers Charter Schools Association</t>
  </si>
  <si>
    <t>Lord Beaconsfield Landry-Oliver Perry Walker High</t>
  </si>
  <si>
    <t>Algiers Technology Academy</t>
  </si>
  <si>
    <t>RSD-Institute for Academic Excellence</t>
  </si>
  <si>
    <t>Sophie B. Wright Institute of Academic Excellence</t>
  </si>
  <si>
    <t>RSD-Knowledge is Power Program (KIPP) N.O.</t>
  </si>
  <si>
    <t>KIPP Renaissance High School</t>
  </si>
  <si>
    <t>RSD-FirstLine Schools, Inc.</t>
  </si>
  <si>
    <t>Joseph S. Clark Preparatory High School</t>
  </si>
  <si>
    <t>Delta Charter Group</t>
  </si>
  <si>
    <t>Delta Charter School, MST</t>
  </si>
  <si>
    <t>Northshore Charter School, Inc.</t>
  </si>
  <si>
    <t>Northshore Charter School</t>
  </si>
  <si>
    <t>Cajun Butterflies, Inc.</t>
  </si>
  <si>
    <t>Northeast Claiborne Charter</t>
  </si>
  <si>
    <t>Friendship Louisiana, Inc.</t>
  </si>
  <si>
    <t>Capitol High School</t>
  </si>
  <si>
    <t>2015-16</t>
  </si>
  <si>
    <t>Fair Park High School</t>
  </si>
  <si>
    <t>Mentorship STEAM Academy</t>
  </si>
  <si>
    <t>Vermilion Parish</t>
  </si>
  <si>
    <t>City of Monroe School District</t>
  </si>
  <si>
    <t>City of Bogalusa School District</t>
  </si>
  <si>
    <t>Zachary Community School District</t>
  </si>
  <si>
    <t>City of Baker School District</t>
  </si>
  <si>
    <t>Central Community School District</t>
  </si>
  <si>
    <t>Community School for Apprenticeship Learning, Inc.</t>
  </si>
  <si>
    <t>2016-17</t>
  </si>
  <si>
    <t>Bunkie Magnet High School</t>
  </si>
  <si>
    <t>Magnolia School of Excellence</t>
  </si>
  <si>
    <t>Lee High School</t>
  </si>
  <si>
    <t>Kenner Discovery Health Sciences Academy</t>
  </si>
  <si>
    <t>Lakeview Jr./Sr. High School</t>
  </si>
  <si>
    <t>Einstein Charter High School at Sarah Towles Reed</t>
  </si>
  <si>
    <t>Amite High Magnet</t>
  </si>
  <si>
    <t>Independence High Magnet</t>
  </si>
  <si>
    <t>Downsville Community Charter School</t>
  </si>
  <si>
    <t>New Orleans Military &amp; Maritime Academy</t>
  </si>
  <si>
    <t>Lincoln Preparatory School</t>
  </si>
  <si>
    <t>Delta Charter School MST</t>
  </si>
  <si>
    <t>KIPP Booker T. Washington High School</t>
  </si>
  <si>
    <t>Walter L. Cohen College Prep</t>
  </si>
  <si>
    <t>Livingston Collegiate Academy</t>
  </si>
  <si>
    <t>2017-18</t>
  </si>
  <si>
    <t>Shreveport Charter Foundation</t>
  </si>
  <si>
    <t>Istrouma High School</t>
  </si>
  <si>
    <t>Helix Network of Educational Choices</t>
  </si>
  <si>
    <t>Discovery Health Science Foundation</t>
  </si>
  <si>
    <t>Southside High School</t>
  </si>
  <si>
    <t>Beekman Alumni and Friends</t>
  </si>
  <si>
    <t>All Orleans (Orleans Parish + RSD-NO Schools)</t>
  </si>
  <si>
    <t>Warren Easton Senior High School Foundation, Inc.</t>
  </si>
  <si>
    <t>Rooted School</t>
  </si>
  <si>
    <t>0</t>
  </si>
  <si>
    <t>Downsville Community Charter</t>
  </si>
  <si>
    <t>Northshore Charter Schools, Inc.</t>
  </si>
  <si>
    <t>New Beginnings Schools Foundation</t>
  </si>
  <si>
    <t>Avoyelles Public Charter School, Inc.</t>
  </si>
  <si>
    <t>D'Arbonne Woods Charter School, Inc.</t>
  </si>
  <si>
    <t>Voices for International Business and Education</t>
  </si>
  <si>
    <t>New Orleans Military and Maritime Academy, Inc.</t>
  </si>
  <si>
    <t>Morris Jeff Community School</t>
  </si>
  <si>
    <t>Abramson Sci Academy</t>
  </si>
  <si>
    <t>Collegiate Academies</t>
  </si>
  <si>
    <t>G W Carver High School</t>
  </si>
  <si>
    <t>New Orleans College Preparatory Academies</t>
  </si>
  <si>
    <t>Algiers Charter School Association, Inc.</t>
  </si>
  <si>
    <t>Institute for Academic Excellence</t>
  </si>
  <si>
    <t>KIPP Renaissance</t>
  </si>
  <si>
    <t>KIPP New Orleans, Inc.</t>
  </si>
  <si>
    <t>KIPP Booker T. Washington</t>
  </si>
  <si>
    <t>FirstLine Schools, Inc.</t>
  </si>
  <si>
    <t>Recovery School District - Baton Rouge</t>
  </si>
  <si>
    <t>Friendship Louisiana Inc.</t>
  </si>
  <si>
    <t>Tallulah Charter School</t>
  </si>
  <si>
    <t>Madison-Tallulah Education Center</t>
  </si>
  <si>
    <t>Friends of King</t>
  </si>
  <si>
    <t>Grambling High Foundation, Inc.</t>
  </si>
  <si>
    <t>Delta Charter School, Inc.</t>
  </si>
  <si>
    <t>Southwest Louisiana Charter Academy Foundation, Inc.</t>
  </si>
  <si>
    <t xml:space="preserve">Advocates for Academic Excellence in Education, Inc. </t>
  </si>
  <si>
    <t>InspireNOLA Charter Schools</t>
  </si>
  <si>
    <t>Advocates for Arts-Based Education Corporation</t>
  </si>
  <si>
    <t>Advocates for Science and Mathematics Education, Inc.</t>
  </si>
  <si>
    <t>The Einstein Group, Inc.</t>
  </si>
  <si>
    <t>Collegiate Baton Rouge</t>
  </si>
  <si>
    <t>2018-19</t>
  </si>
  <si>
    <t>Avoyelles Parish School Board</t>
  </si>
  <si>
    <t>9</t>
  </si>
  <si>
    <t>7</t>
  </si>
  <si>
    <t>1</t>
  </si>
  <si>
    <t>6</t>
  </si>
  <si>
    <t>8</t>
  </si>
  <si>
    <t>5</t>
  </si>
  <si>
    <t>Jefferson RISE Charter School</t>
  </si>
  <si>
    <t>All Orleans</t>
  </si>
  <si>
    <t>John F. Kennedy High School</t>
  </si>
  <si>
    <t>Type 2 Charters</t>
  </si>
  <si>
    <t>KIPP Booker T Washington</t>
  </si>
  <si>
    <t>RSD-Baton Rouge</t>
  </si>
  <si>
    <t>Advocates for Academic Excellence in Education, Inc.</t>
  </si>
  <si>
    <t>New Harmony High Institute</t>
  </si>
  <si>
    <t>Rosenwald Collegiate Academy</t>
  </si>
  <si>
    <t>Dropouts_7</t>
  </si>
  <si>
    <t>Dropouts_8</t>
  </si>
  <si>
    <t>Dropouts_T9</t>
  </si>
  <si>
    <t>Dropouts_9</t>
  </si>
  <si>
    <t>Dropouts_10</t>
  </si>
  <si>
    <t>Dropouts_11</t>
  </si>
  <si>
    <t>Dropouts_12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</si>
</sst>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.0%"/>
    <numFmt numFmtId="166" formatCode="&quot;$&quot;#,##0"/>
    <numFmt numFmtId="167" formatCode="#,##0.0_);[Red]\(#,##0.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</font>
    <font>
      <sz val="10"/>
      <color indexed="8"/>
      <name val="Arial"/>
      <family val="2"/>
    </font>
    <font>
      <sz val="11"/>
      <color theme="1"/>
      <name val="Arial Narrow"/>
      <family val="2"/>
    </font>
    <font>
      <sz val="10"/>
      <name val="Arial"/>
      <family val="2"/>
    </font>
    <font>
      <sz val="10"/>
      <name val="Arial"/>
    </font>
    <font>
      <sz val="10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theme="1"/>
      <name val="Calibri"/>
    </font>
    <font>
      <sz val="10"/>
      <color indexed="8"/>
      <name val="Arial"/>
    </font>
    <font>
      <sz val="11"/>
      <color indexed="8"/>
      <name val="Calibri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B7DEE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theme="8" tint="0.79998168889431442"/>
      </patternFill>
    </fill>
    <fill>
      <patternFill patternType="solid">
        <fgColor rgb="FFFF339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</borders>
  <cellStyleXfs count="2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4" fillId="0" borderId="0"/>
    <xf numFmtId="0" fontId="1" fillId="0" borderId="0"/>
    <xf numFmtId="0" fontId="6" fillId="0" borderId="0"/>
    <xf numFmtId="9" fontId="5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0" fontId="12" fillId="0" borderId="0"/>
    <xf numFmtId="0" fontId="15" fillId="0" borderId="0"/>
    <xf numFmtId="0" fontId="4" fillId="0" borderId="0"/>
    <xf numFmtId="43" fontId="2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 vertical="center"/>
    </xf>
    <xf numFmtId="0" fontId="8" fillId="0" borderId="0" xfId="0" applyFont="1"/>
    <xf numFmtId="0" fontId="0" fillId="0" borderId="1" xfId="0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9" fillId="0" borderId="1" xfId="7" applyNumberFormat="1" applyFont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9" fillId="0" borderId="1" xfId="7" applyFont="1" applyBorder="1" applyAlignment="1">
      <alignment horizontal="center" vertical="center" wrapText="1"/>
    </xf>
    <xf numFmtId="0" fontId="10" fillId="0" borderId="1" xfId="14" applyFont="1" applyBorder="1" applyAlignment="1">
      <alignment horizontal="center" vertical="center"/>
    </xf>
    <xf numFmtId="0" fontId="10" fillId="0" borderId="1" xfId="11" applyFont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2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left" vertical="center"/>
    </xf>
    <xf numFmtId="0" fontId="0" fillId="0" borderId="5" xfId="0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left" vertical="center"/>
    </xf>
    <xf numFmtId="0" fontId="0" fillId="5" borderId="5" xfId="0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0" fillId="4" borderId="6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10" fontId="0" fillId="0" borderId="6" xfId="0" applyNumberFormat="1" applyBorder="1" applyAlignment="1">
      <alignment horizontal="left" vertical="center"/>
    </xf>
    <xf numFmtId="49" fontId="0" fillId="0" borderId="1" xfId="0" applyNumberFormat="1" applyBorder="1"/>
    <xf numFmtId="49" fontId="0" fillId="0" borderId="6" xfId="0" applyNumberFormat="1" applyBorder="1" applyAlignment="1">
      <alignment horizontal="left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vertical="center"/>
    </xf>
    <xf numFmtId="0" fontId="0" fillId="6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3" fontId="11" fillId="6" borderId="2" xfId="0" applyNumberFormat="1" applyFont="1" applyFill="1" applyBorder="1" applyAlignment="1">
      <alignment horizontal="center" vertical="center"/>
    </xf>
    <xf numFmtId="3" fontId="11" fillId="2" borderId="2" xfId="0" applyNumberFormat="1" applyFont="1" applyFill="1" applyBorder="1" applyAlignment="1">
      <alignment horizontal="center" vertical="center"/>
    </xf>
    <xf numFmtId="0" fontId="10" fillId="0" borderId="1" xfId="14" applyFont="1" applyBorder="1"/>
    <xf numFmtId="1" fontId="10" fillId="0" borderId="1" xfId="14" applyNumberFormat="1" applyFont="1" applyBorder="1" applyAlignment="1">
      <alignment horizontal="center" vertical="center"/>
    </xf>
    <xf numFmtId="3" fontId="11" fillId="6" borderId="1" xfId="0" applyNumberFormat="1" applyFont="1" applyFill="1" applyBorder="1" applyAlignment="1">
      <alignment horizontal="center" vertical="center"/>
    </xf>
    <xf numFmtId="3" fontId="11" fillId="2" borderId="1" xfId="0" applyNumberFormat="1" applyFont="1" applyFill="1" applyBorder="1" applyAlignment="1">
      <alignment horizontal="center" vertical="center"/>
    </xf>
    <xf numFmtId="0" fontId="10" fillId="0" borderId="1" xfId="11" applyFont="1" applyBorder="1"/>
    <xf numFmtId="1" fontId="10" fillId="0" borderId="1" xfId="11" applyNumberFormat="1" applyFont="1" applyBorder="1" applyAlignment="1">
      <alignment horizontal="center" vertical="center"/>
    </xf>
    <xf numFmtId="1" fontId="10" fillId="0" borderId="1" xfId="14" applyNumberFormat="1" applyFont="1" applyBorder="1" applyAlignment="1">
      <alignment horizontal="center"/>
    </xf>
    <xf numFmtId="3" fontId="11" fillId="6" borderId="8" xfId="0" applyNumberFormat="1" applyFont="1" applyFill="1" applyBorder="1" applyAlignment="1">
      <alignment horizontal="center" vertical="center"/>
    </xf>
    <xf numFmtId="3" fontId="11" fillId="2" borderId="8" xfId="0" applyNumberFormat="1" applyFont="1" applyFill="1" applyBorder="1" applyAlignment="1">
      <alignment horizontal="center" vertical="center"/>
    </xf>
    <xf numFmtId="0" fontId="9" fillId="0" borderId="1" xfId="7" applyFont="1" applyBorder="1" applyAlignment="1">
      <alignment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164" fontId="0" fillId="0" borderId="1" xfId="1" applyNumberFormat="1" applyFont="1" applyFill="1" applyBorder="1" applyAlignment="1">
      <alignment horizontal="center" vertical="center"/>
    </xf>
    <xf numFmtId="164" fontId="9" fillId="0" borderId="1" xfId="20" applyNumberFormat="1" applyFont="1" applyBorder="1" applyAlignment="1">
      <alignment horizontal="center" vertical="center"/>
    </xf>
    <xf numFmtId="164" fontId="9" fillId="8" borderId="1" xfId="20" applyNumberFormat="1" applyFont="1" applyFill="1" applyBorder="1" applyAlignment="1">
      <alignment horizontal="center" vertical="center"/>
    </xf>
    <xf numFmtId="164" fontId="0" fillId="8" borderId="1" xfId="1" applyNumberFormat="1" applyFon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8" borderId="1" xfId="1" applyNumberFormat="1" applyFont="1" applyFill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/>
    </xf>
    <xf numFmtId="165" fontId="2" fillId="0" borderId="1" xfId="2" applyNumberFormat="1" applyBorder="1" applyAlignment="1">
      <alignment horizontal="center" vertical="center"/>
    </xf>
    <xf numFmtId="165" fontId="0" fillId="8" borderId="1" xfId="0" applyNumberFormat="1" applyFill="1" applyBorder="1" applyAlignment="1">
      <alignment horizontal="center" vertical="center"/>
    </xf>
    <xf numFmtId="165" fontId="0" fillId="0" borderId="1" xfId="1" applyNumberFormat="1" applyFont="1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9" fillId="0" borderId="12" xfId="20" applyNumberFormat="1" applyFont="1" applyBorder="1" applyAlignment="1">
      <alignment horizontal="center" vertical="center"/>
    </xf>
    <xf numFmtId="164" fontId="9" fillId="8" borderId="12" xfId="20" applyNumberFormat="1" applyFont="1" applyFill="1" applyBorder="1" applyAlignment="1">
      <alignment horizontal="center" vertical="center"/>
    </xf>
    <xf numFmtId="164" fontId="0" fillId="0" borderId="12" xfId="1" applyNumberFormat="1" applyFont="1" applyFill="1" applyBorder="1" applyAlignment="1">
      <alignment horizontal="center" vertical="center"/>
    </xf>
    <xf numFmtId="164" fontId="0" fillId="0" borderId="12" xfId="1" applyNumberFormat="1" applyFont="1" applyBorder="1" applyAlignment="1">
      <alignment horizontal="center" vertical="center"/>
    </xf>
    <xf numFmtId="164" fontId="0" fillId="8" borderId="12" xfId="1" applyNumberFormat="1" applyFont="1" applyFill="1" applyBorder="1" applyAlignment="1">
      <alignment horizontal="center" vertical="center"/>
    </xf>
    <xf numFmtId="164" fontId="0" fillId="8" borderId="12" xfId="0" applyNumberFormat="1" applyFill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64" fontId="14" fillId="11" borderId="1" xfId="0" applyNumberFormat="1" applyFont="1" applyFill="1" applyBorder="1" applyAlignment="1">
      <alignment horizontal="center" vertical="center"/>
    </xf>
    <xf numFmtId="164" fontId="14" fillId="8" borderId="1" xfId="0" applyNumberFormat="1" applyFont="1" applyFill="1" applyBorder="1" applyAlignment="1">
      <alignment horizontal="center" vertical="center"/>
    </xf>
    <xf numFmtId="164" fontId="14" fillId="12" borderId="1" xfId="0" applyNumberFormat="1" applyFont="1" applyFill="1" applyBorder="1" applyAlignment="1">
      <alignment horizontal="center" vertical="center"/>
    </xf>
    <xf numFmtId="0" fontId="16" fillId="12" borderId="1" xfId="22" applyFont="1" applyFill="1" applyBorder="1" applyAlignment="1">
      <alignment horizontal="center" vertical="center"/>
    </xf>
    <xf numFmtId="0" fontId="16" fillId="8" borderId="1" xfId="22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8" fillId="0" borderId="1" xfId="12" applyNumberFormat="1" applyFont="1" applyBorder="1" applyAlignment="1">
      <alignment horizontal="center" vertical="center"/>
    </xf>
    <xf numFmtId="164" fontId="13" fillId="0" borderId="1" xfId="23" applyNumberFormat="1" applyFont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164" fontId="2" fillId="0" borderId="1" xfId="2" applyNumberFormat="1" applyBorder="1" applyAlignment="1">
      <alignment horizontal="center" vertical="center"/>
    </xf>
    <xf numFmtId="0" fontId="2" fillId="0" borderId="1" xfId="2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/>
    </xf>
    <xf numFmtId="164" fontId="10" fillId="0" borderId="1" xfId="14" applyNumberFormat="1" applyFont="1" applyBorder="1" applyAlignment="1">
      <alignment horizontal="center" vertical="center"/>
    </xf>
    <xf numFmtId="164" fontId="10" fillId="0" borderId="1" xfId="3" applyNumberFormat="1" applyFont="1" applyBorder="1" applyAlignment="1">
      <alignment horizontal="center" vertical="center"/>
    </xf>
    <xf numFmtId="164" fontId="17" fillId="14" borderId="1" xfId="0" applyNumberFormat="1" applyFont="1" applyFill="1" applyBorder="1" applyAlignment="1">
      <alignment horizontal="center" vertical="center"/>
    </xf>
    <xf numFmtId="164" fontId="10" fillId="0" borderId="1" xfId="2" applyNumberFormat="1" applyFont="1" applyBorder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65" fontId="11" fillId="6" borderId="1" xfId="0" applyNumberFormat="1" applyFont="1" applyFill="1" applyBorder="1" applyAlignment="1">
      <alignment horizontal="center" vertical="center"/>
    </xf>
    <xf numFmtId="165" fontId="11" fillId="6" borderId="8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  <xf numFmtId="165" fontId="8" fillId="0" borderId="1" xfId="0" applyNumberFormat="1" applyFont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0" fontId="0" fillId="0" borderId="0" xfId="0" applyNumberFormat="1"/>
    <xf numFmtId="165" fontId="11" fillId="6" borderId="2" xfId="1" applyNumberFormat="1" applyFont="1" applyFill="1" applyBorder="1" applyAlignment="1" applyProtection="1">
      <alignment horizontal="center" vertical="center"/>
    </xf>
    <xf numFmtId="165" fontId="10" fillId="0" borderId="1" xfId="16" applyNumberFormat="1" applyFont="1" applyBorder="1" applyAlignment="1">
      <alignment horizontal="center" vertical="center"/>
    </xf>
    <xf numFmtId="165" fontId="10" fillId="0" borderId="1" xfId="1" applyNumberFormat="1" applyFont="1" applyBorder="1" applyAlignment="1">
      <alignment horizontal="center" vertical="center"/>
    </xf>
    <xf numFmtId="165" fontId="11" fillId="6" borderId="1" xfId="1" applyNumberFormat="1" applyFont="1" applyFill="1" applyBorder="1" applyAlignment="1" applyProtection="1">
      <alignment horizontal="center" vertical="center"/>
    </xf>
    <xf numFmtId="165" fontId="10" fillId="0" borderId="1" xfId="19" applyNumberFormat="1" applyFont="1" applyBorder="1" applyAlignment="1">
      <alignment horizontal="center" vertical="center"/>
    </xf>
    <xf numFmtId="165" fontId="0" fillId="0" borderId="1" xfId="16" applyNumberFormat="1" applyFont="1" applyBorder="1" applyAlignment="1">
      <alignment horizontal="center" vertical="center"/>
    </xf>
    <xf numFmtId="165" fontId="0" fillId="0" borderId="1" xfId="19" applyNumberFormat="1" applyFont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 vertical="center" wrapText="1"/>
    </xf>
    <xf numFmtId="165" fontId="9" fillId="0" borderId="1" xfId="7" applyNumberFormat="1" applyFont="1" applyBorder="1" applyAlignment="1">
      <alignment horizontal="center" vertical="center" wrapText="1"/>
    </xf>
    <xf numFmtId="165" fontId="11" fillId="6" borderId="8" xfId="1" applyNumberFormat="1" applyFont="1" applyFill="1" applyBorder="1" applyAlignment="1" applyProtection="1">
      <alignment horizontal="center" vertical="center"/>
    </xf>
    <xf numFmtId="10" fontId="0" fillId="3" borderId="2" xfId="0" applyNumberFormat="1" applyFill="1" applyBorder="1" applyAlignment="1">
      <alignment horizontal="center" vertical="center"/>
    </xf>
    <xf numFmtId="10" fontId="10" fillId="0" borderId="1" xfId="2" applyNumberFormat="1" applyFont="1" applyBorder="1" applyAlignment="1">
      <alignment horizontal="center" vertical="center"/>
    </xf>
    <xf numFmtId="10" fontId="10" fillId="0" borderId="1" xfId="14" applyNumberFormat="1" applyFont="1" applyBorder="1" applyAlignment="1">
      <alignment horizontal="center" vertical="center"/>
    </xf>
    <xf numFmtId="10" fontId="10" fillId="0" borderId="1" xfId="2" applyNumberFormat="1" applyFont="1" applyBorder="1" applyAlignment="1">
      <alignment horizontal="center"/>
    </xf>
    <xf numFmtId="10" fontId="10" fillId="0" borderId="1" xfId="3" applyNumberFormat="1" applyFont="1" applyBorder="1" applyAlignment="1">
      <alignment horizontal="center"/>
    </xf>
    <xf numFmtId="10" fontId="10" fillId="0" borderId="1" xfId="3" applyNumberFormat="1" applyFont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10" fontId="10" fillId="0" borderId="1" xfId="14" applyNumberFormat="1" applyFont="1" applyBorder="1" applyAlignment="1">
      <alignment horizontal="center"/>
    </xf>
    <xf numFmtId="10" fontId="0" fillId="3" borderId="8" xfId="0" applyNumberFormat="1" applyFill="1" applyBorder="1" applyAlignment="1">
      <alignment horizontal="center" vertical="center"/>
    </xf>
    <xf numFmtId="0" fontId="17" fillId="15" borderId="13" xfId="0" applyFont="1" applyFill="1" applyBorder="1" applyAlignment="1">
      <alignment horizontal="center" vertical="center"/>
    </xf>
    <xf numFmtId="165" fontId="13" fillId="0" borderId="1" xfId="1" applyNumberFormat="1" applyFont="1" applyBorder="1" applyAlignment="1">
      <alignment horizontal="center" vertical="center"/>
    </xf>
    <xf numFmtId="165" fontId="13" fillId="0" borderId="1" xfId="23" applyNumberFormat="1" applyFont="1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/>
    </xf>
    <xf numFmtId="166" fontId="13" fillId="0" borderId="1" xfId="25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5" fontId="8" fillId="0" borderId="1" xfId="12" applyNumberFormat="1" applyFont="1" applyBorder="1" applyAlignment="1">
      <alignment horizontal="center" vertical="center"/>
    </xf>
    <xf numFmtId="0" fontId="17" fillId="16" borderId="13" xfId="0" applyFont="1" applyFill="1" applyBorder="1" applyAlignment="1">
      <alignment horizontal="center" vertical="center"/>
    </xf>
    <xf numFmtId="0" fontId="17" fillId="10" borderId="13" xfId="0" applyFont="1" applyFill="1" applyBorder="1" applyAlignment="1">
      <alignment horizontal="center" vertical="center"/>
    </xf>
    <xf numFmtId="6" fontId="0" fillId="0" borderId="12" xfId="0" applyNumberFormat="1" applyBorder="1" applyAlignment="1">
      <alignment horizontal="center" vertical="center"/>
    </xf>
    <xf numFmtId="0" fontId="17" fillId="15" borderId="12" xfId="0" applyFont="1" applyFill="1" applyBorder="1" applyAlignment="1">
      <alignment horizontal="center" vertical="center"/>
    </xf>
    <xf numFmtId="0" fontId="17" fillId="16" borderId="1" xfId="0" applyFont="1" applyFill="1" applyBorder="1" applyAlignment="1">
      <alignment horizontal="center" vertical="center"/>
    </xf>
    <xf numFmtId="0" fontId="17" fillId="10" borderId="1" xfId="0" applyFont="1" applyFill="1" applyBorder="1" applyAlignment="1">
      <alignment horizontal="center" vertical="center"/>
    </xf>
    <xf numFmtId="6" fontId="2" fillId="0" borderId="1" xfId="2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6" fontId="13" fillId="0" borderId="1" xfId="23" applyNumberFormat="1" applyFont="1" applyBorder="1" applyAlignment="1">
      <alignment horizontal="center" vertical="center"/>
    </xf>
    <xf numFmtId="165" fontId="0" fillId="6" borderId="2" xfId="0" applyNumberForma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17" fillId="14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0" fontId="17" fillId="10" borderId="2" xfId="0" applyFont="1" applyFill="1" applyBorder="1" applyAlignment="1">
      <alignment horizontal="center" vertical="center"/>
    </xf>
    <xf numFmtId="0" fontId="2" fillId="0" borderId="0" xfId="2" applyAlignment="1">
      <alignment horizontal="center" vertical="center"/>
    </xf>
    <xf numFmtId="165" fontId="0" fillId="6" borderId="8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17" fillId="14" borderId="8" xfId="0" applyFont="1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17" fillId="15" borderId="16" xfId="0" applyFont="1" applyFill="1" applyBorder="1" applyAlignment="1">
      <alignment horizontal="center" vertical="center"/>
    </xf>
    <xf numFmtId="0" fontId="17" fillId="16" borderId="16" xfId="0" applyFont="1" applyFill="1" applyBorder="1" applyAlignment="1">
      <alignment horizontal="center" vertical="center"/>
    </xf>
    <xf numFmtId="0" fontId="17" fillId="10" borderId="16" xfId="0" applyFont="1" applyFill="1" applyBorder="1" applyAlignment="1">
      <alignment horizontal="center" vertical="center"/>
    </xf>
    <xf numFmtId="0" fontId="0" fillId="3" borderId="2" xfId="0" applyNumberFormat="1" applyFill="1" applyBorder="1" applyAlignment="1">
      <alignment horizontal="center" vertical="center"/>
    </xf>
    <xf numFmtId="0" fontId="10" fillId="0" borderId="1" xfId="14" applyNumberFormat="1" applyFont="1" applyBorder="1" applyAlignment="1">
      <alignment horizontal="center" vertical="center"/>
    </xf>
    <xf numFmtId="0" fontId="10" fillId="0" borderId="1" xfId="2" applyNumberFormat="1" applyFont="1" applyBorder="1" applyAlignment="1">
      <alignment horizontal="center" vertical="center"/>
    </xf>
    <xf numFmtId="0" fontId="10" fillId="0" borderId="1" xfId="2" applyNumberFormat="1" applyFont="1" applyBorder="1" applyAlignment="1">
      <alignment horizontal="center"/>
    </xf>
    <xf numFmtId="0" fontId="10" fillId="0" borderId="1" xfId="3" applyNumberFormat="1" applyFont="1" applyBorder="1" applyAlignment="1">
      <alignment horizontal="center"/>
    </xf>
    <xf numFmtId="0" fontId="10" fillId="0" borderId="1" xfId="3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/>
    <xf numFmtId="0" fontId="10" fillId="0" borderId="1" xfId="14" applyNumberFormat="1" applyFont="1" applyBorder="1" applyAlignment="1">
      <alignment horizontal="center"/>
    </xf>
    <xf numFmtId="0" fontId="3" fillId="0" borderId="1" xfId="3" applyNumberFormat="1" applyBorder="1" applyAlignment="1">
      <alignment horizontal="center"/>
    </xf>
  </cellXfs>
  <cellStyles count="26">
    <cellStyle name="Comma 2" xfId="24" xr:uid="{8F82E65C-FADB-42C0-8597-4C17CEC51296}"/>
    <cellStyle name="Currency" xfId="25" builtinId="4"/>
    <cellStyle name="Normal" xfId="0" builtinId="0"/>
    <cellStyle name="Normal 2" xfId="2" xr:uid="{5D3595FF-FA92-4A19-8314-64C10862815E}"/>
    <cellStyle name="Normal 2 2" xfId="11" xr:uid="{75C98094-F8D2-46E9-B178-D1B05139E2A1}"/>
    <cellStyle name="Normal 2 3" xfId="15" xr:uid="{1700D808-3421-4CD4-B44D-A8479B7AA8B2}"/>
    <cellStyle name="Normal 3" xfId="3" xr:uid="{876A2D1D-A619-4666-AC42-064B12EDB644}"/>
    <cellStyle name="Normal 3 2" xfId="12" xr:uid="{2D696B3B-F987-4A8E-96F2-9B9704D63743}"/>
    <cellStyle name="Normal 3 3" xfId="21" xr:uid="{CAB41A4A-CEBA-4D68-9FF5-305FC7E1446C}"/>
    <cellStyle name="Normal 4" xfId="9" xr:uid="{D97CA0EF-0D8F-489A-9C75-BC8423C05555}"/>
    <cellStyle name="Normal 5" xfId="8" xr:uid="{6DC4452F-2128-4C2F-82D7-B9F32ED2D374}"/>
    <cellStyle name="Normal 6" xfId="5" xr:uid="{EA9AD46C-10B2-4D81-AAC8-92FC6B7A550A}"/>
    <cellStyle name="Normal 7" xfId="4" xr:uid="{D72A8587-3D4B-4367-B2C3-FAB2464AE692}"/>
    <cellStyle name="Normal 8" xfId="13" xr:uid="{69197486-4FCD-4FE7-9D4D-6371626011F6}"/>
    <cellStyle name="Normal 9" xfId="14" xr:uid="{CCCC6D01-5EB7-46B4-BF4F-BCFF81DC3808}"/>
    <cellStyle name="Normal_Attendance" xfId="22" xr:uid="{BAFDD6B6-1A21-410E-9241-79DF45879CC8}"/>
    <cellStyle name="Normal_Sheet1" xfId="7" xr:uid="{76BCFFE8-C883-4A49-9493-BC2D544BE290}"/>
    <cellStyle name="Normal_Sheet2" xfId="20" xr:uid="{00579D84-88D6-4112-8427-0772D91C9B2C}"/>
    <cellStyle name="Normal_Site" xfId="23" xr:uid="{6F047D49-16F7-44A8-A3DB-6EE5EAB0FD4C}"/>
    <cellStyle name="Percent" xfId="1" builtinId="5"/>
    <cellStyle name="Percent 2" xfId="10" xr:uid="{A8AEA8CE-E0B2-48BC-95CE-E6BFC6826163}"/>
    <cellStyle name="Percent 2 2" xfId="17" xr:uid="{4ACEA43B-D7FD-4684-8C0E-97D873D9ECD1}"/>
    <cellStyle name="Percent 3" xfId="6" xr:uid="{27D820A8-044E-4749-98D3-12D339C357C2}"/>
    <cellStyle name="Percent 4" xfId="16" xr:uid="{591111DD-A9D4-4D95-99FE-6DA828C305C3}"/>
    <cellStyle name="Percent 5" xfId="18" xr:uid="{115F7C1C-B40D-495B-BF59-BFE48E87D14C}"/>
    <cellStyle name="Percent 6" xfId="19" xr:uid="{3AE2600B-68AC-4C4A-A7EB-C718045FBA61}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5FD7-7FF2-4698-A6EB-88C3495303EE}">
  <dimension ref="A1:CU1639"/>
  <sheetViews>
    <sheetView tabSelected="1" zoomScale="80" zoomScaleNormal="80" workbookViewId="0">
      <pane ySplit="1" topLeftCell="A2" activePane="bottomLeft" state="frozen"/>
      <selection pane="bottomLeft" activeCell="CR11" sqref="CR11"/>
    </sheetView>
  </sheetViews>
  <sheetFormatPr defaultRowHeight="15" x14ac:dyDescent="0.25"/>
  <cols>
    <col min="1" max="1" width="8.7109375" style="35"/>
    <col min="2" max="2" width="45.140625" customWidth="1"/>
    <col min="3" max="3" width="49.28515625" customWidth="1"/>
    <col min="4" max="4" width="15.5703125" customWidth="1"/>
    <col min="5" max="5" width="14.140625" customWidth="1"/>
    <col min="6" max="6" width="15.140625" customWidth="1"/>
    <col min="7" max="7" width="12.42578125" style="168" bestFit="1" customWidth="1"/>
    <col min="8" max="8" width="12.5703125" style="168" customWidth="1"/>
    <col min="9" max="9" width="13.5703125" style="168" bestFit="1" customWidth="1"/>
    <col min="10" max="10" width="12.42578125" style="168" bestFit="1" customWidth="1"/>
    <col min="11" max="11" width="13.140625" style="168" bestFit="1" customWidth="1"/>
    <col min="12" max="12" width="12.85546875" style="168" bestFit="1" customWidth="1"/>
    <col min="13" max="13" width="13.140625" style="168" bestFit="1" customWidth="1"/>
    <col min="14" max="22" width="12.5703125" style="103" customWidth="1"/>
    <col min="23" max="23" width="11.5703125" style="1" customWidth="1"/>
    <col min="24" max="25" width="15.85546875" style="1" customWidth="1"/>
    <col min="26" max="37" width="12.5703125" style="97" customWidth="1"/>
    <col min="38" max="43" width="8.7109375" style="1"/>
    <col min="44" max="44" width="11.42578125" style="1" bestFit="1" customWidth="1"/>
    <col min="45" max="45" width="12.5703125" style="97" customWidth="1"/>
    <col min="46" max="46" width="11.5703125" style="1" customWidth="1"/>
    <col min="47" max="47" width="12.5703125" style="1" customWidth="1"/>
    <col min="48" max="51" width="12.5703125" customWidth="1"/>
    <col min="52" max="66" width="12.5703125" style="1" customWidth="1"/>
    <col min="67" max="86" width="15.5703125" style="1" customWidth="1"/>
    <col min="87" max="87" width="52.5703125" customWidth="1"/>
    <col min="88" max="88" width="8.7109375" style="35"/>
    <col min="89" max="89" width="57.42578125" style="36" customWidth="1"/>
    <col min="90" max="90" width="13.5703125" bestFit="1" customWidth="1"/>
    <col min="91" max="91" width="12.42578125" bestFit="1" customWidth="1"/>
    <col min="92" max="92" width="13.140625" bestFit="1" customWidth="1"/>
    <col min="93" max="93" width="12.85546875" bestFit="1" customWidth="1"/>
    <col min="94" max="94" width="13.140625" bestFit="1" customWidth="1"/>
    <col min="96" max="96" width="13.140625" bestFit="1" customWidth="1"/>
    <col min="100" max="100" width="13.140625" bestFit="1" customWidth="1"/>
  </cols>
  <sheetData>
    <row r="1" spans="1:99" s="1" customFormat="1" ht="21" customHeight="1" x14ac:dyDescent="0.25">
      <c r="A1" s="14" t="s">
        <v>0</v>
      </c>
      <c r="B1" s="15" t="s">
        <v>1</v>
      </c>
      <c r="C1" s="15" t="s">
        <v>2</v>
      </c>
      <c r="D1" s="8" t="s">
        <v>3</v>
      </c>
      <c r="E1" s="8" t="s">
        <v>4</v>
      </c>
      <c r="F1" s="8" t="s">
        <v>5</v>
      </c>
      <c r="G1" s="161" t="s">
        <v>565</v>
      </c>
      <c r="H1" s="161" t="s">
        <v>566</v>
      </c>
      <c r="I1" s="161" t="s">
        <v>567</v>
      </c>
      <c r="J1" s="161" t="s">
        <v>568</v>
      </c>
      <c r="K1" s="161" t="s">
        <v>569</v>
      </c>
      <c r="L1" s="161" t="s">
        <v>570</v>
      </c>
      <c r="M1" s="161" t="s">
        <v>571</v>
      </c>
      <c r="N1" s="114" t="s">
        <v>6</v>
      </c>
      <c r="O1" s="114" t="s">
        <v>7</v>
      </c>
      <c r="P1" s="114" t="s">
        <v>8</v>
      </c>
      <c r="Q1" s="114" t="s">
        <v>9</v>
      </c>
      <c r="R1" s="114" t="s">
        <v>10</v>
      </c>
      <c r="S1" s="114" t="s">
        <v>11</v>
      </c>
      <c r="T1" s="114" t="s">
        <v>12</v>
      </c>
      <c r="U1" s="114" t="s">
        <v>13</v>
      </c>
      <c r="V1" s="114" t="s">
        <v>14</v>
      </c>
      <c r="W1" s="37" t="s">
        <v>15</v>
      </c>
      <c r="X1" s="37" t="s">
        <v>16</v>
      </c>
      <c r="Y1" s="37" t="s">
        <v>17</v>
      </c>
      <c r="Z1" s="104" t="s">
        <v>18</v>
      </c>
      <c r="AA1" s="104" t="s">
        <v>19</v>
      </c>
      <c r="AB1" s="94" t="s">
        <v>20</v>
      </c>
      <c r="AC1" s="94" t="s">
        <v>21</v>
      </c>
      <c r="AD1" s="94" t="s">
        <v>22</v>
      </c>
      <c r="AE1" s="94" t="s">
        <v>23</v>
      </c>
      <c r="AF1" s="94" t="s">
        <v>24</v>
      </c>
      <c r="AG1" s="94" t="s">
        <v>25</v>
      </c>
      <c r="AH1" s="94" t="s">
        <v>26</v>
      </c>
      <c r="AI1" s="94" t="s">
        <v>27</v>
      </c>
      <c r="AJ1" s="94" t="s">
        <v>28</v>
      </c>
      <c r="AK1" s="104" t="s">
        <v>29</v>
      </c>
      <c r="AL1" s="38" t="s">
        <v>30</v>
      </c>
      <c r="AM1" s="38" t="s">
        <v>31</v>
      </c>
      <c r="AN1" s="38" t="s">
        <v>32</v>
      </c>
      <c r="AO1" s="38" t="s">
        <v>33</v>
      </c>
      <c r="AP1" s="38" t="s">
        <v>34</v>
      </c>
      <c r="AQ1" s="38" t="s">
        <v>35</v>
      </c>
      <c r="AR1" s="38" t="s">
        <v>36</v>
      </c>
      <c r="AS1" s="140" t="s">
        <v>37</v>
      </c>
      <c r="AT1" s="37" t="s">
        <v>38</v>
      </c>
      <c r="AU1" s="16" t="s">
        <v>39</v>
      </c>
      <c r="AV1" s="141" t="s">
        <v>40</v>
      </c>
      <c r="AW1" s="141" t="s">
        <v>41</v>
      </c>
      <c r="AX1" s="141" t="s">
        <v>42</v>
      </c>
      <c r="AY1" s="142" t="s">
        <v>43</v>
      </c>
      <c r="AZ1" s="143" t="s">
        <v>44</v>
      </c>
      <c r="BA1" s="143" t="s">
        <v>45</v>
      </c>
      <c r="BB1" s="144" t="s">
        <v>46</v>
      </c>
      <c r="BC1" s="144" t="s">
        <v>47</v>
      </c>
      <c r="BD1" s="145" t="s">
        <v>48</v>
      </c>
      <c r="BE1" s="145" t="s">
        <v>49</v>
      </c>
      <c r="BF1" s="145" t="s">
        <v>50</v>
      </c>
      <c r="BG1" s="145" t="s">
        <v>51</v>
      </c>
      <c r="BH1" s="145" t="s">
        <v>52</v>
      </c>
      <c r="BI1" s="145" t="s">
        <v>53</v>
      </c>
      <c r="BJ1" s="146" t="s">
        <v>54</v>
      </c>
      <c r="BK1" s="147" t="s">
        <v>55</v>
      </c>
      <c r="BL1" s="147" t="s">
        <v>56</v>
      </c>
      <c r="BM1" s="147" t="s">
        <v>57</v>
      </c>
      <c r="BN1" s="147" t="s">
        <v>58</v>
      </c>
      <c r="BO1" s="148" t="s">
        <v>59</v>
      </c>
      <c r="BP1" s="148" t="s">
        <v>60</v>
      </c>
      <c r="BQ1" s="148" t="s">
        <v>61</v>
      </c>
      <c r="BR1" s="148" t="s">
        <v>62</v>
      </c>
      <c r="BS1" s="148" t="s">
        <v>63</v>
      </c>
      <c r="BT1" s="148" t="s">
        <v>64</v>
      </c>
      <c r="BU1" s="148" t="s">
        <v>65</v>
      </c>
      <c r="BV1" s="149" t="s">
        <v>66</v>
      </c>
      <c r="BW1" s="149" t="s">
        <v>67</v>
      </c>
      <c r="BX1" s="149" t="s">
        <v>68</v>
      </c>
      <c r="BY1" s="149" t="s">
        <v>69</v>
      </c>
      <c r="BZ1" s="149" t="s">
        <v>70</v>
      </c>
      <c r="CA1" s="149" t="s">
        <v>71</v>
      </c>
      <c r="CB1" s="149" t="s">
        <v>72</v>
      </c>
      <c r="CC1" s="147" t="s">
        <v>73</v>
      </c>
      <c r="CD1" s="147" t="s">
        <v>74</v>
      </c>
      <c r="CE1" s="147" t="s">
        <v>75</v>
      </c>
      <c r="CF1" s="147" t="s">
        <v>76</v>
      </c>
      <c r="CG1" s="147" t="s">
        <v>77</v>
      </c>
      <c r="CH1" s="147" t="s">
        <v>78</v>
      </c>
      <c r="CI1" s="15" t="s">
        <v>2</v>
      </c>
      <c r="CJ1" s="14" t="s">
        <v>0</v>
      </c>
      <c r="CK1" s="17" t="s">
        <v>79</v>
      </c>
      <c r="CL1"/>
      <c r="CM1"/>
      <c r="CN1"/>
      <c r="CO1"/>
      <c r="CP1"/>
      <c r="CQ1"/>
      <c r="CR1"/>
      <c r="CS1"/>
      <c r="CT1"/>
      <c r="CU1"/>
    </row>
    <row r="2" spans="1:99" x14ac:dyDescent="0.25">
      <c r="A2" s="18" t="s">
        <v>80</v>
      </c>
      <c r="B2" s="19" t="s">
        <v>81</v>
      </c>
      <c r="C2" s="39" t="s">
        <v>82</v>
      </c>
      <c r="D2" s="40">
        <v>6</v>
      </c>
      <c r="E2" s="40">
        <v>0</v>
      </c>
      <c r="F2" s="40">
        <v>6</v>
      </c>
      <c r="G2" s="162" t="s">
        <v>83</v>
      </c>
      <c r="H2" s="163">
        <v>0</v>
      </c>
      <c r="I2" s="163">
        <v>0</v>
      </c>
      <c r="J2" s="163">
        <v>1</v>
      </c>
      <c r="K2" s="163">
        <v>1</v>
      </c>
      <c r="L2" s="163">
        <v>0</v>
      </c>
      <c r="M2" s="163">
        <v>4</v>
      </c>
      <c r="N2" s="115">
        <v>1.13207547169811E-2</v>
      </c>
      <c r="O2" s="115">
        <v>1.13851992409867E-2</v>
      </c>
      <c r="P2" s="116" t="s">
        <v>83</v>
      </c>
      <c r="Q2" s="115">
        <v>0</v>
      </c>
      <c r="R2" s="115">
        <v>0</v>
      </c>
      <c r="S2" s="115">
        <v>6.3694267515923596E-3</v>
      </c>
      <c r="T2" s="115">
        <v>7.5757575757575803E-3</v>
      </c>
      <c r="U2" s="115">
        <v>0</v>
      </c>
      <c r="V2" s="115">
        <v>3.4782608695652202E-2</v>
      </c>
      <c r="W2" s="40">
        <v>500</v>
      </c>
      <c r="X2" s="40">
        <f>SUM(AN2:AR2)</f>
        <v>497</v>
      </c>
      <c r="Y2" s="40">
        <f>SUM(AL2:AR2)</f>
        <v>500</v>
      </c>
      <c r="Z2" s="105">
        <v>0.49399999999999999</v>
      </c>
      <c r="AA2" s="105">
        <v>0.50600000000000001</v>
      </c>
      <c r="AB2" s="106">
        <v>0</v>
      </c>
      <c r="AC2" s="106">
        <v>0</v>
      </c>
      <c r="AD2" s="106">
        <f>141/500</f>
        <v>0.28199999999999997</v>
      </c>
      <c r="AE2" s="106">
        <f>12/500</f>
        <v>2.4E-2</v>
      </c>
      <c r="AF2" s="106">
        <v>0</v>
      </c>
      <c r="AG2" s="106">
        <f>342/500</f>
        <v>0.68400000000000005</v>
      </c>
      <c r="AH2" s="106">
        <f>5/500</f>
        <v>0.01</v>
      </c>
      <c r="AI2" s="106">
        <f>158/500</f>
        <v>0.316</v>
      </c>
      <c r="AJ2" s="105">
        <v>0.59799999999999998</v>
      </c>
      <c r="AK2" s="105">
        <v>2E-3</v>
      </c>
      <c r="AL2" s="12">
        <v>0</v>
      </c>
      <c r="AM2" s="12">
        <v>3</v>
      </c>
      <c r="AN2" s="12">
        <v>10</v>
      </c>
      <c r="AO2" s="12">
        <v>143</v>
      </c>
      <c r="AP2" s="12">
        <v>126</v>
      </c>
      <c r="AQ2" s="12">
        <v>108</v>
      </c>
      <c r="AR2" s="12">
        <v>110</v>
      </c>
      <c r="AS2" s="59">
        <v>6.535947712418301E-2</v>
      </c>
      <c r="AT2" s="12">
        <v>8</v>
      </c>
      <c r="AU2" s="3">
        <v>6</v>
      </c>
      <c r="AV2" s="54">
        <v>70.33898305084746</v>
      </c>
      <c r="AW2" s="54">
        <v>26.694915254237291</v>
      </c>
      <c r="AX2" s="54">
        <v>2.9661016949152543</v>
      </c>
      <c r="AY2" s="67">
        <v>0</v>
      </c>
      <c r="AZ2" s="59">
        <v>6.8571428571428575E-2</v>
      </c>
      <c r="BA2" s="59">
        <v>0.37523809523809526</v>
      </c>
      <c r="BB2" s="76">
        <v>89.885925704620902</v>
      </c>
      <c r="BC2" s="49">
        <v>51.224105461393599</v>
      </c>
      <c r="BD2" s="90" t="s">
        <v>83</v>
      </c>
      <c r="BE2" s="90" t="s">
        <v>83</v>
      </c>
      <c r="BF2" s="49">
        <v>14.2</v>
      </c>
      <c r="BG2" s="49">
        <v>4.4000000000000004</v>
      </c>
      <c r="BH2" s="49">
        <v>1</v>
      </c>
      <c r="BI2" s="49">
        <v>1</v>
      </c>
      <c r="BJ2" s="85">
        <v>17.100000000000001</v>
      </c>
      <c r="BK2" s="126">
        <v>9744</v>
      </c>
      <c r="BL2" s="126">
        <v>46490</v>
      </c>
      <c r="BM2" s="126">
        <v>44513</v>
      </c>
      <c r="BN2" s="126">
        <v>41128</v>
      </c>
      <c r="BO2" s="59">
        <v>0</v>
      </c>
      <c r="BP2" s="59">
        <v>0.55559999999999998</v>
      </c>
      <c r="BQ2" s="59">
        <v>7.6300000000000007E-2</v>
      </c>
      <c r="BR2" s="59">
        <v>0</v>
      </c>
      <c r="BS2" s="59">
        <v>1.9099999999999999E-2</v>
      </c>
      <c r="BT2" s="138">
        <v>12.5</v>
      </c>
      <c r="BU2" s="59">
        <f>SUM(BO2:BS2)</f>
        <v>0.65100000000000002</v>
      </c>
      <c r="BV2" s="59">
        <v>5.7200000000000001E-2</v>
      </c>
      <c r="BW2" s="59">
        <v>0</v>
      </c>
      <c r="BX2" s="59">
        <v>3.8100000000000002E-2</v>
      </c>
      <c r="BY2" s="59">
        <v>1.9099999999999999E-2</v>
      </c>
      <c r="BZ2" s="59">
        <v>0</v>
      </c>
      <c r="CA2" s="138">
        <v>21.2</v>
      </c>
      <c r="CB2" s="59">
        <f>SUM(BV2:BZ2)</f>
        <v>0.1144</v>
      </c>
      <c r="CC2" s="59">
        <v>0.22839999999999999</v>
      </c>
      <c r="CD2" s="125">
        <v>0.5746</v>
      </c>
      <c r="CE2" s="125">
        <v>0.13980000000000001</v>
      </c>
      <c r="CF2" s="125">
        <v>1.9099999999999999E-2</v>
      </c>
      <c r="CG2" s="124">
        <v>3.8100000000000002E-2</v>
      </c>
      <c r="CH2" s="85">
        <v>12.9</v>
      </c>
      <c r="CI2" s="39" t="s">
        <v>82</v>
      </c>
      <c r="CJ2" s="18" t="s">
        <v>80</v>
      </c>
      <c r="CK2" s="20"/>
    </row>
    <row r="3" spans="1:99" x14ac:dyDescent="0.25">
      <c r="A3" s="18" t="s">
        <v>80</v>
      </c>
      <c r="B3" s="19" t="s">
        <v>81</v>
      </c>
      <c r="C3" s="39" t="s">
        <v>84</v>
      </c>
      <c r="D3" s="40">
        <v>12</v>
      </c>
      <c r="E3" s="40">
        <v>0</v>
      </c>
      <c r="F3" s="40">
        <v>12</v>
      </c>
      <c r="G3" s="162" t="s">
        <v>83</v>
      </c>
      <c r="H3" s="163">
        <v>0</v>
      </c>
      <c r="I3" s="163">
        <v>1</v>
      </c>
      <c r="J3" s="163">
        <v>4</v>
      </c>
      <c r="K3" s="163">
        <v>3</v>
      </c>
      <c r="L3" s="163">
        <v>2</v>
      </c>
      <c r="M3" s="163">
        <v>2</v>
      </c>
      <c r="N3" s="115">
        <v>1.6304347826087001E-2</v>
      </c>
      <c r="O3" s="115">
        <v>1.6901408450704199E-2</v>
      </c>
      <c r="P3" s="116" t="s">
        <v>83</v>
      </c>
      <c r="Q3" s="115">
        <v>0</v>
      </c>
      <c r="R3" s="115">
        <v>8.3333333333333301E-2</v>
      </c>
      <c r="S3" s="115">
        <v>1.72413793103448E-2</v>
      </c>
      <c r="T3" s="115">
        <v>1.8181818181818198E-2</v>
      </c>
      <c r="U3" s="115">
        <v>1.2422360248447201E-2</v>
      </c>
      <c r="V3" s="115">
        <v>1.4285714285714299E-2</v>
      </c>
      <c r="W3" s="40">
        <v>671</v>
      </c>
      <c r="X3" s="40">
        <f t="shared" ref="X3:X38" si="0">SUM(AN3:AR3)</f>
        <v>649</v>
      </c>
      <c r="Y3" s="40">
        <f t="shared" ref="Y3:Y38" si="1">SUM(AL3:AR3)</f>
        <v>671</v>
      </c>
      <c r="Z3" s="105">
        <v>0.48699999999999999</v>
      </c>
      <c r="AA3" s="105">
        <v>0.51300000000000001</v>
      </c>
      <c r="AB3" s="106">
        <f>1/671</f>
        <v>1.4903129657228018E-3</v>
      </c>
      <c r="AC3" s="106">
        <f>2/671</f>
        <v>2.9806259314456036E-3</v>
      </c>
      <c r="AD3" s="106">
        <f>274/671</f>
        <v>0.40834575260804767</v>
      </c>
      <c r="AE3" s="106">
        <f>11/671</f>
        <v>1.6393442622950821E-2</v>
      </c>
      <c r="AF3" s="106">
        <v>0</v>
      </c>
      <c r="AG3" s="106">
        <f>369/671</f>
        <v>0.54992548435171384</v>
      </c>
      <c r="AH3" s="106">
        <f>14/671</f>
        <v>2.0864381520119227E-2</v>
      </c>
      <c r="AI3" s="106">
        <f>302/671</f>
        <v>0.45007451564828616</v>
      </c>
      <c r="AJ3" s="105">
        <v>0.72280178837555886</v>
      </c>
      <c r="AK3" s="105">
        <v>8.9999999999999993E-3</v>
      </c>
      <c r="AL3" s="12">
        <v>0</v>
      </c>
      <c r="AM3" s="12">
        <v>22</v>
      </c>
      <c r="AN3" s="12">
        <v>12</v>
      </c>
      <c r="AO3" s="12">
        <v>209</v>
      </c>
      <c r="AP3" s="12">
        <v>146</v>
      </c>
      <c r="AQ3" s="12">
        <v>147</v>
      </c>
      <c r="AR3" s="12">
        <v>135</v>
      </c>
      <c r="AS3" s="59">
        <v>5.4298642533936653E-2</v>
      </c>
      <c r="AT3" s="12">
        <v>8</v>
      </c>
      <c r="AU3" s="3">
        <v>6</v>
      </c>
      <c r="AV3" s="54">
        <v>62.460567823343851</v>
      </c>
      <c r="AW3" s="54">
        <v>19.558359621451103</v>
      </c>
      <c r="AX3" s="54">
        <v>15.141955835962145</v>
      </c>
      <c r="AY3" s="68">
        <v>2.8391167192429023</v>
      </c>
      <c r="AZ3" s="59">
        <v>0.30559345156889495</v>
      </c>
      <c r="BA3" s="59">
        <v>0.31241473396998637</v>
      </c>
      <c r="BB3" s="77">
        <v>88.265456196992304</v>
      </c>
      <c r="BC3" s="49">
        <v>53.206002728512999</v>
      </c>
      <c r="BD3" s="90" t="s">
        <v>83</v>
      </c>
      <c r="BE3" s="90" t="s">
        <v>83</v>
      </c>
      <c r="BF3" s="49">
        <v>8.1</v>
      </c>
      <c r="BG3" s="49">
        <v>3.8</v>
      </c>
      <c r="BH3" s="49">
        <v>2.1</v>
      </c>
      <c r="BI3" s="49">
        <v>5.6</v>
      </c>
      <c r="BJ3" s="85">
        <v>17.899999999999999</v>
      </c>
      <c r="BK3" s="126">
        <v>10312</v>
      </c>
      <c r="BL3" s="126">
        <v>46318</v>
      </c>
      <c r="BM3" s="126">
        <v>40856</v>
      </c>
      <c r="BN3" s="126">
        <v>37670</v>
      </c>
      <c r="BO3" s="59">
        <v>0</v>
      </c>
      <c r="BP3" s="59">
        <v>0.36630000000000001</v>
      </c>
      <c r="BQ3" s="59">
        <v>0.1797</v>
      </c>
      <c r="BR3" s="59">
        <v>0</v>
      </c>
      <c r="BS3" s="59">
        <v>1.2E-2</v>
      </c>
      <c r="BT3" s="138">
        <v>13.2</v>
      </c>
      <c r="BU3" s="59">
        <f t="shared" ref="BU3:BU66" si="2">SUM(BO3:BS3)</f>
        <v>0.55800000000000005</v>
      </c>
      <c r="BV3" s="59">
        <v>3.5799999999999998E-2</v>
      </c>
      <c r="BW3" s="59">
        <v>1.2E-2</v>
      </c>
      <c r="BX3" s="59">
        <v>3.5900000000000001E-2</v>
      </c>
      <c r="BY3" s="59">
        <v>0</v>
      </c>
      <c r="BZ3" s="59">
        <v>0</v>
      </c>
      <c r="CA3" s="138">
        <v>16.399999999999999</v>
      </c>
      <c r="CB3" s="59">
        <f t="shared" ref="CB3:CB66" si="3">SUM(BV3:BZ3)</f>
        <v>8.3699999999999997E-2</v>
      </c>
      <c r="CC3" s="59">
        <v>0.2823</v>
      </c>
      <c r="CD3" s="125">
        <v>0.43819999999999998</v>
      </c>
      <c r="CE3" s="125">
        <v>0.26750000000000002</v>
      </c>
      <c r="CF3" s="125">
        <v>0</v>
      </c>
      <c r="CG3" s="125">
        <v>1.2E-2</v>
      </c>
      <c r="CH3" s="85">
        <v>13.6</v>
      </c>
      <c r="CI3" s="39" t="s">
        <v>84</v>
      </c>
      <c r="CJ3" s="18" t="s">
        <v>80</v>
      </c>
      <c r="CK3" s="20"/>
    </row>
    <row r="4" spans="1:99" x14ac:dyDescent="0.25">
      <c r="A4" s="18" t="s">
        <v>80</v>
      </c>
      <c r="B4" s="19" t="s">
        <v>81</v>
      </c>
      <c r="C4" s="39" t="s">
        <v>85</v>
      </c>
      <c r="D4" s="40">
        <v>0</v>
      </c>
      <c r="E4" s="40">
        <v>0</v>
      </c>
      <c r="F4" s="40">
        <v>0</v>
      </c>
      <c r="G4" s="162" t="s">
        <v>83</v>
      </c>
      <c r="H4" s="163">
        <v>0</v>
      </c>
      <c r="I4" s="163">
        <v>0</v>
      </c>
      <c r="J4" s="163">
        <v>0</v>
      </c>
      <c r="K4" s="163">
        <v>0</v>
      </c>
      <c r="L4" s="163">
        <v>0</v>
      </c>
      <c r="M4" s="163">
        <v>0</v>
      </c>
      <c r="N4" s="115">
        <v>0</v>
      </c>
      <c r="O4" s="115">
        <v>0</v>
      </c>
      <c r="P4" s="116" t="s">
        <v>83</v>
      </c>
      <c r="Q4" s="115">
        <v>0</v>
      </c>
      <c r="R4" s="115">
        <v>0</v>
      </c>
      <c r="S4" s="115">
        <v>0</v>
      </c>
      <c r="T4" s="115">
        <v>0</v>
      </c>
      <c r="U4" s="115">
        <v>0</v>
      </c>
      <c r="V4" s="115">
        <v>0</v>
      </c>
      <c r="W4" s="40">
        <v>269</v>
      </c>
      <c r="X4" s="40">
        <f t="shared" si="0"/>
        <v>211</v>
      </c>
      <c r="Y4" s="40">
        <f t="shared" si="1"/>
        <v>269</v>
      </c>
      <c r="Z4" s="105">
        <v>0.50600000000000001</v>
      </c>
      <c r="AA4" s="105">
        <v>0.49399999999999999</v>
      </c>
      <c r="AB4" s="106">
        <v>0</v>
      </c>
      <c r="AC4" s="106">
        <v>0</v>
      </c>
      <c r="AD4" s="106">
        <f>17/269</f>
        <v>6.3197026022304828E-2</v>
      </c>
      <c r="AE4" s="106">
        <f>1/269</f>
        <v>3.7174721189591076E-3</v>
      </c>
      <c r="AF4" s="106">
        <v>0</v>
      </c>
      <c r="AG4" s="106">
        <f>247/269</f>
        <v>0.91821561338289959</v>
      </c>
      <c r="AH4" s="106">
        <f>4/269</f>
        <v>1.4869888475836431E-2</v>
      </c>
      <c r="AI4" s="106">
        <f>22/269</f>
        <v>8.1784386617100371E-2</v>
      </c>
      <c r="AJ4" s="105">
        <v>0.56877323420074355</v>
      </c>
      <c r="AK4" s="105">
        <v>0</v>
      </c>
      <c r="AL4" s="12">
        <v>0</v>
      </c>
      <c r="AM4" s="12">
        <v>58</v>
      </c>
      <c r="AN4" s="12">
        <v>1</v>
      </c>
      <c r="AO4" s="12">
        <v>68</v>
      </c>
      <c r="AP4" s="12">
        <v>49</v>
      </c>
      <c r="AQ4" s="12">
        <v>50</v>
      </c>
      <c r="AR4" s="12">
        <v>43</v>
      </c>
      <c r="AS4" s="59">
        <v>1.4492753623188406E-2</v>
      </c>
      <c r="AT4" s="12">
        <v>8</v>
      </c>
      <c r="AU4" s="3">
        <v>6</v>
      </c>
      <c r="AV4" s="54">
        <v>84.571428571428569</v>
      </c>
      <c r="AW4" s="54">
        <v>13.714285714285715</v>
      </c>
      <c r="AX4" s="54">
        <v>1.7142857142857144</v>
      </c>
      <c r="AY4" s="68">
        <v>0</v>
      </c>
      <c r="AZ4" s="59">
        <v>7.9872204472843501E-4</v>
      </c>
      <c r="BA4" s="59">
        <v>0.10526315789473684</v>
      </c>
      <c r="BB4" s="76">
        <v>94.181904982936402</v>
      </c>
      <c r="BC4" s="49">
        <v>24.0418118466899</v>
      </c>
      <c r="BD4" s="90" t="s">
        <v>83</v>
      </c>
      <c r="BE4" s="49">
        <v>1.7</v>
      </c>
      <c r="BF4" s="49">
        <v>5.9</v>
      </c>
      <c r="BG4" s="49">
        <v>2.1</v>
      </c>
      <c r="BH4" s="49">
        <v>4</v>
      </c>
      <c r="BI4" s="49">
        <v>0</v>
      </c>
      <c r="BJ4" s="85">
        <v>19</v>
      </c>
      <c r="BK4" s="126">
        <v>12944</v>
      </c>
      <c r="BL4" s="126">
        <v>45108</v>
      </c>
      <c r="BM4" s="126">
        <v>44576</v>
      </c>
      <c r="BN4" s="126">
        <v>34773</v>
      </c>
      <c r="BO4" s="102">
        <v>0</v>
      </c>
      <c r="BP4" s="59">
        <v>0.37340000000000001</v>
      </c>
      <c r="BQ4" s="59">
        <v>6.5699999999999995E-2</v>
      </c>
      <c r="BR4" s="59">
        <v>0</v>
      </c>
      <c r="BS4" s="59">
        <v>0</v>
      </c>
      <c r="BT4" s="138">
        <v>10.9</v>
      </c>
      <c r="BU4" s="59">
        <f t="shared" si="2"/>
        <v>0.43909999999999999</v>
      </c>
      <c r="BV4" s="59">
        <v>4.1500000000000002E-2</v>
      </c>
      <c r="BW4" s="59">
        <v>0</v>
      </c>
      <c r="BX4" s="59">
        <v>5.8799999999999998E-2</v>
      </c>
      <c r="BY4" s="59">
        <v>0</v>
      </c>
      <c r="BZ4" s="59">
        <v>0</v>
      </c>
      <c r="CA4" s="138">
        <v>19.399999999999999</v>
      </c>
      <c r="CB4" s="59">
        <f t="shared" si="3"/>
        <v>0.1003</v>
      </c>
      <c r="CC4" s="59">
        <v>0.41489999999999999</v>
      </c>
      <c r="CD4" s="125">
        <v>0.41909999999999997</v>
      </c>
      <c r="CE4" s="125">
        <v>0.1452</v>
      </c>
      <c r="CF4" s="125">
        <v>2.07E-2</v>
      </c>
      <c r="CG4" s="125">
        <v>0</v>
      </c>
      <c r="CH4" s="85">
        <v>13.9</v>
      </c>
      <c r="CI4" s="39" t="s">
        <v>85</v>
      </c>
      <c r="CJ4" s="18" t="s">
        <v>80</v>
      </c>
      <c r="CK4" s="20"/>
    </row>
    <row r="5" spans="1:99" x14ac:dyDescent="0.25">
      <c r="A5" s="18" t="s">
        <v>80</v>
      </c>
      <c r="B5" s="19" t="s">
        <v>81</v>
      </c>
      <c r="C5" s="39" t="s">
        <v>86</v>
      </c>
      <c r="D5" s="40">
        <v>12</v>
      </c>
      <c r="E5" s="40">
        <v>0</v>
      </c>
      <c r="F5" s="40">
        <v>12</v>
      </c>
      <c r="G5" s="162" t="s">
        <v>83</v>
      </c>
      <c r="H5" s="163">
        <v>0</v>
      </c>
      <c r="I5" s="163">
        <v>0</v>
      </c>
      <c r="J5" s="163">
        <v>3</v>
      </c>
      <c r="K5" s="163">
        <v>4</v>
      </c>
      <c r="L5" s="163">
        <v>1</v>
      </c>
      <c r="M5" s="163">
        <v>4</v>
      </c>
      <c r="N5" s="115">
        <v>1.5228426395939101E-2</v>
      </c>
      <c r="O5" s="115">
        <v>1.53061224489796E-2</v>
      </c>
      <c r="P5" s="116" t="s">
        <v>83</v>
      </c>
      <c r="Q5" s="115">
        <v>0</v>
      </c>
      <c r="R5" s="115">
        <v>0</v>
      </c>
      <c r="S5" s="115">
        <v>1.13207547169811E-2</v>
      </c>
      <c r="T5" s="115">
        <v>2.1505376344085999E-2</v>
      </c>
      <c r="U5" s="115">
        <v>6.0606060606060597E-3</v>
      </c>
      <c r="V5" s="115">
        <v>2.5000000000000001E-2</v>
      </c>
      <c r="W5" s="40">
        <v>722</v>
      </c>
      <c r="X5" s="40">
        <f t="shared" si="0"/>
        <v>718</v>
      </c>
      <c r="Y5" s="40">
        <f t="shared" si="1"/>
        <v>722</v>
      </c>
      <c r="Z5" s="105">
        <v>0.51500000000000001</v>
      </c>
      <c r="AA5" s="105">
        <v>0.48499999999999999</v>
      </c>
      <c r="AB5" s="106">
        <f>1/722</f>
        <v>1.3850415512465374E-3</v>
      </c>
      <c r="AC5" s="106">
        <v>0</v>
      </c>
      <c r="AD5" s="106">
        <f>224/722</f>
        <v>0.31024930747922436</v>
      </c>
      <c r="AE5" s="106">
        <f>9/722</f>
        <v>1.2465373961218837E-2</v>
      </c>
      <c r="AF5" s="106">
        <v>0</v>
      </c>
      <c r="AG5" s="106">
        <f>478/722</f>
        <v>0.66204986149584488</v>
      </c>
      <c r="AH5" s="106">
        <f>10/722</f>
        <v>1.3850415512465374E-2</v>
      </c>
      <c r="AI5" s="106">
        <f>244/722</f>
        <v>0.33795013850415512</v>
      </c>
      <c r="AJ5" s="105">
        <v>0.63434903047091418</v>
      </c>
      <c r="AK5" s="105">
        <v>4.0000000000000001E-3</v>
      </c>
      <c r="AL5" s="12">
        <v>0</v>
      </c>
      <c r="AM5" s="12">
        <v>4</v>
      </c>
      <c r="AN5" s="12">
        <v>9</v>
      </c>
      <c r="AO5" s="12">
        <v>235</v>
      </c>
      <c r="AP5" s="12">
        <v>174</v>
      </c>
      <c r="AQ5" s="12">
        <v>148</v>
      </c>
      <c r="AR5" s="12">
        <v>152</v>
      </c>
      <c r="AS5" s="59">
        <v>3.6885245901639344E-2</v>
      </c>
      <c r="AT5" s="12">
        <v>8</v>
      </c>
      <c r="AU5" s="3">
        <v>6</v>
      </c>
      <c r="AV5" s="54">
        <v>71.542553191489361</v>
      </c>
      <c r="AW5" s="54">
        <v>19.680851063829788</v>
      </c>
      <c r="AX5" s="54">
        <v>8.5106382978723403</v>
      </c>
      <c r="AY5" s="68">
        <v>0.26595744680851063</v>
      </c>
      <c r="AZ5" s="59">
        <v>0.53213367609254503</v>
      </c>
      <c r="BA5" s="59">
        <v>0.30077120822622105</v>
      </c>
      <c r="BB5" s="77">
        <v>90.377658525521596</v>
      </c>
      <c r="BC5" s="49">
        <v>46.192893401015198</v>
      </c>
      <c r="BD5" s="90" t="s">
        <v>83</v>
      </c>
      <c r="BE5" s="90" t="s">
        <v>83</v>
      </c>
      <c r="BF5" s="49">
        <v>14.6</v>
      </c>
      <c r="BG5" s="49">
        <v>3.9</v>
      </c>
      <c r="BH5" s="49">
        <v>6.3</v>
      </c>
      <c r="BI5" s="49">
        <v>2.7</v>
      </c>
      <c r="BJ5" s="85">
        <v>16.899999999999999</v>
      </c>
      <c r="BK5" s="126">
        <v>8929</v>
      </c>
      <c r="BL5" s="126">
        <v>44966</v>
      </c>
      <c r="BM5" s="126">
        <v>41918</v>
      </c>
      <c r="BN5" s="126">
        <v>37404</v>
      </c>
      <c r="BO5" s="102">
        <v>0</v>
      </c>
      <c r="BP5" s="59">
        <v>0.4123</v>
      </c>
      <c r="BQ5" s="59">
        <v>0.1888</v>
      </c>
      <c r="BR5" s="59">
        <v>0</v>
      </c>
      <c r="BS5" s="59">
        <v>0</v>
      </c>
      <c r="BT5" s="138">
        <v>10.8</v>
      </c>
      <c r="BU5" s="59">
        <f t="shared" si="2"/>
        <v>0.60109999999999997</v>
      </c>
      <c r="BV5" s="59">
        <v>5.3900000000000003E-2</v>
      </c>
      <c r="BW5" s="59">
        <v>1.35E-2</v>
      </c>
      <c r="BX5" s="59">
        <v>2.7E-2</v>
      </c>
      <c r="BY5" s="59">
        <v>0</v>
      </c>
      <c r="BZ5" s="59">
        <v>0</v>
      </c>
      <c r="CA5" s="138">
        <v>12.7</v>
      </c>
      <c r="CB5" s="59">
        <f t="shared" si="3"/>
        <v>9.4399999999999998E-2</v>
      </c>
      <c r="CC5" s="59">
        <v>0.29670000000000002</v>
      </c>
      <c r="CD5" s="125">
        <v>0.4471</v>
      </c>
      <c r="CE5" s="125">
        <v>0.25619999999999998</v>
      </c>
      <c r="CF5" s="125">
        <v>0</v>
      </c>
      <c r="CG5" s="125">
        <v>0</v>
      </c>
      <c r="CH5" s="85">
        <v>11.2</v>
      </c>
      <c r="CI5" s="39" t="s">
        <v>86</v>
      </c>
      <c r="CJ5" s="18" t="s">
        <v>80</v>
      </c>
      <c r="CK5" s="20"/>
    </row>
    <row r="6" spans="1:99" x14ac:dyDescent="0.25">
      <c r="A6" s="18" t="s">
        <v>80</v>
      </c>
      <c r="B6" s="19" t="s">
        <v>81</v>
      </c>
      <c r="C6" s="39" t="s">
        <v>87</v>
      </c>
      <c r="D6" s="40">
        <v>1</v>
      </c>
      <c r="E6" s="40">
        <v>0</v>
      </c>
      <c r="F6" s="40">
        <v>1</v>
      </c>
      <c r="G6" s="162" t="s">
        <v>83</v>
      </c>
      <c r="H6" s="163">
        <v>0</v>
      </c>
      <c r="I6" s="163">
        <v>0</v>
      </c>
      <c r="J6" s="163">
        <v>0</v>
      </c>
      <c r="K6" s="163">
        <v>0</v>
      </c>
      <c r="L6" s="163">
        <v>1</v>
      </c>
      <c r="M6" s="163">
        <v>0</v>
      </c>
      <c r="N6" s="115">
        <v>1.7452006980802799E-3</v>
      </c>
      <c r="O6" s="115">
        <v>1.7574692442882201E-3</v>
      </c>
      <c r="P6" s="116" t="s">
        <v>83</v>
      </c>
      <c r="Q6" s="115">
        <v>0</v>
      </c>
      <c r="R6" s="115">
        <v>0</v>
      </c>
      <c r="S6" s="115">
        <v>0</v>
      </c>
      <c r="T6" s="115">
        <v>0</v>
      </c>
      <c r="U6" s="115">
        <v>7.5187969924812E-3</v>
      </c>
      <c r="V6" s="115">
        <v>0</v>
      </c>
      <c r="W6" s="40">
        <v>534</v>
      </c>
      <c r="X6" s="40">
        <f t="shared" si="0"/>
        <v>530</v>
      </c>
      <c r="Y6" s="40">
        <f t="shared" si="1"/>
        <v>534</v>
      </c>
      <c r="Z6" s="105">
        <v>0.48299999999999998</v>
      </c>
      <c r="AA6" s="105">
        <v>0.51700000000000002</v>
      </c>
      <c r="AB6" s="106">
        <f>3/534</f>
        <v>5.6179775280898875E-3</v>
      </c>
      <c r="AC6" s="106">
        <f>1/534</f>
        <v>1.8726591760299626E-3</v>
      </c>
      <c r="AD6" s="106">
        <f>19/534</f>
        <v>3.5580524344569285E-2</v>
      </c>
      <c r="AE6" s="106">
        <f>6/534</f>
        <v>1.1235955056179775E-2</v>
      </c>
      <c r="AF6" s="106">
        <v>0</v>
      </c>
      <c r="AG6" s="106">
        <f>497/534</f>
        <v>0.93071161048689144</v>
      </c>
      <c r="AH6" s="106">
        <f>8/534</f>
        <v>1.4981273408239701E-2</v>
      </c>
      <c r="AI6" s="106">
        <f>37/534</f>
        <v>6.9288389513108617E-2</v>
      </c>
      <c r="AJ6" s="105">
        <v>0.43820224719101125</v>
      </c>
      <c r="AK6" s="105">
        <v>4.0000000000000001E-3</v>
      </c>
      <c r="AL6" s="12">
        <v>0</v>
      </c>
      <c r="AM6" s="12">
        <v>4</v>
      </c>
      <c r="AN6" s="12">
        <v>2</v>
      </c>
      <c r="AO6" s="12">
        <v>172</v>
      </c>
      <c r="AP6" s="12">
        <v>125</v>
      </c>
      <c r="AQ6" s="12">
        <v>121</v>
      </c>
      <c r="AR6" s="12">
        <v>110</v>
      </c>
      <c r="AS6" s="59">
        <v>1.1494252873563218E-2</v>
      </c>
      <c r="AT6" s="12">
        <v>8</v>
      </c>
      <c r="AU6" s="3">
        <v>6</v>
      </c>
      <c r="AV6" s="54">
        <v>62.681159420289859</v>
      </c>
      <c r="AW6" s="54">
        <v>17.391304347826086</v>
      </c>
      <c r="AX6" s="54">
        <v>19.565217391304348</v>
      </c>
      <c r="AY6" s="68">
        <v>0.36231884057971014</v>
      </c>
      <c r="AZ6" s="59">
        <v>4.2158516020236085E-4</v>
      </c>
      <c r="BA6" s="59">
        <v>7.6788830715532289E-2</v>
      </c>
      <c r="BB6" s="76">
        <v>91.936049278909707</v>
      </c>
      <c r="BC6" s="49">
        <v>46.7013888888889</v>
      </c>
      <c r="BD6" s="90" t="s">
        <v>83</v>
      </c>
      <c r="BE6" s="90" t="s">
        <v>83</v>
      </c>
      <c r="BF6" s="49">
        <v>5.8</v>
      </c>
      <c r="BG6" s="49">
        <v>4.9000000000000004</v>
      </c>
      <c r="BH6" s="49">
        <v>1.7</v>
      </c>
      <c r="BI6" s="49">
        <v>1.8</v>
      </c>
      <c r="BJ6" s="85">
        <v>19.600000000000001</v>
      </c>
      <c r="BK6" s="126">
        <v>8649</v>
      </c>
      <c r="BL6" s="126">
        <v>46832</v>
      </c>
      <c r="BM6" s="126">
        <v>47061</v>
      </c>
      <c r="BN6" s="126">
        <v>35913</v>
      </c>
      <c r="BO6" s="102">
        <v>0</v>
      </c>
      <c r="BP6" s="59">
        <v>0.40150000000000002</v>
      </c>
      <c r="BQ6" s="59">
        <v>9.69E-2</v>
      </c>
      <c r="BR6" s="59">
        <v>0</v>
      </c>
      <c r="BS6" s="59">
        <v>0</v>
      </c>
      <c r="BT6" s="138">
        <v>14.5</v>
      </c>
      <c r="BU6" s="59">
        <f t="shared" si="2"/>
        <v>0.49840000000000001</v>
      </c>
      <c r="BV6" s="59">
        <v>3.5200000000000002E-2</v>
      </c>
      <c r="BW6" s="59">
        <v>0</v>
      </c>
      <c r="BX6" s="59">
        <v>4.41E-2</v>
      </c>
      <c r="BY6" s="59">
        <v>0</v>
      </c>
      <c r="BZ6" s="59">
        <v>0</v>
      </c>
      <c r="CA6" s="138">
        <v>20.3</v>
      </c>
      <c r="CB6" s="59">
        <f t="shared" si="3"/>
        <v>7.9300000000000009E-2</v>
      </c>
      <c r="CC6" s="59">
        <v>0.37690000000000001</v>
      </c>
      <c r="CD6" s="125">
        <v>0.42499999999999999</v>
      </c>
      <c r="CE6" s="125">
        <v>0.1981</v>
      </c>
      <c r="CF6" s="125">
        <v>0</v>
      </c>
      <c r="CG6" s="125">
        <v>0</v>
      </c>
      <c r="CH6" s="85">
        <v>14</v>
      </c>
      <c r="CI6" s="39" t="s">
        <v>87</v>
      </c>
      <c r="CJ6" s="18" t="s">
        <v>80</v>
      </c>
      <c r="CK6" s="20"/>
    </row>
    <row r="7" spans="1:99" x14ac:dyDescent="0.25">
      <c r="A7" s="18" t="s">
        <v>80</v>
      </c>
      <c r="B7" s="19" t="s">
        <v>88</v>
      </c>
      <c r="C7" s="39" t="s">
        <v>89</v>
      </c>
      <c r="D7" s="40">
        <v>2</v>
      </c>
      <c r="E7" s="40">
        <v>1</v>
      </c>
      <c r="F7" s="40">
        <v>1</v>
      </c>
      <c r="G7" s="163">
        <v>0</v>
      </c>
      <c r="H7" s="164">
        <v>1</v>
      </c>
      <c r="I7" s="163">
        <v>0</v>
      </c>
      <c r="J7" s="164">
        <v>0</v>
      </c>
      <c r="K7" s="164">
        <v>1</v>
      </c>
      <c r="L7" s="164">
        <v>0</v>
      </c>
      <c r="M7" s="164">
        <v>0</v>
      </c>
      <c r="N7" s="117">
        <v>1.22699386503067E-2</v>
      </c>
      <c r="O7" s="117">
        <v>9.4339622641509396E-3</v>
      </c>
      <c r="P7" s="115">
        <v>0</v>
      </c>
      <c r="Q7" s="117">
        <v>3.8461538461538498E-2</v>
      </c>
      <c r="R7" s="115">
        <v>0</v>
      </c>
      <c r="S7" s="117">
        <v>0</v>
      </c>
      <c r="T7" s="117">
        <v>3.3333333333333298E-2</v>
      </c>
      <c r="U7" s="117">
        <v>0</v>
      </c>
      <c r="V7" s="117">
        <v>0</v>
      </c>
      <c r="W7" s="40">
        <v>399</v>
      </c>
      <c r="X7" s="40">
        <f t="shared" si="0"/>
        <v>102</v>
      </c>
      <c r="Y7" s="40">
        <f t="shared" si="1"/>
        <v>157</v>
      </c>
      <c r="Z7" s="105">
        <v>0.47899999999999998</v>
      </c>
      <c r="AA7" s="105">
        <v>0.52100000000000002</v>
      </c>
      <c r="AB7" s="106">
        <f>9/399</f>
        <v>2.2556390977443608E-2</v>
      </c>
      <c r="AC7" s="106">
        <f>2/399</f>
        <v>5.0125313283208017E-3</v>
      </c>
      <c r="AD7" s="106">
        <f>3/399</f>
        <v>7.5187969924812026E-3</v>
      </c>
      <c r="AE7" s="106">
        <f>4/399</f>
        <v>1.0025062656641603E-2</v>
      </c>
      <c r="AF7" s="106">
        <v>0</v>
      </c>
      <c r="AG7" s="106">
        <f>377/399</f>
        <v>0.94486215538847118</v>
      </c>
      <c r="AH7" s="106">
        <f>4/399</f>
        <v>1.0025062656641603E-2</v>
      </c>
      <c r="AI7" s="106">
        <f>22/399</f>
        <v>5.5137844611528819E-2</v>
      </c>
      <c r="AJ7" s="105">
        <v>0.581453634085213</v>
      </c>
      <c r="AK7" s="105">
        <v>0</v>
      </c>
      <c r="AL7" s="12">
        <v>31</v>
      </c>
      <c r="AM7" s="12">
        <v>24</v>
      </c>
      <c r="AN7" s="12">
        <v>3</v>
      </c>
      <c r="AO7" s="12">
        <v>25</v>
      </c>
      <c r="AP7" s="12">
        <v>28</v>
      </c>
      <c r="AQ7" s="12">
        <v>22</v>
      </c>
      <c r="AR7" s="12">
        <v>24</v>
      </c>
      <c r="AS7" s="59">
        <v>0.10714285714285714</v>
      </c>
      <c r="AT7" s="12">
        <v>1</v>
      </c>
      <c r="AU7" s="3">
        <v>6</v>
      </c>
      <c r="AV7" s="54">
        <v>69.655172413793096</v>
      </c>
      <c r="AW7" s="54">
        <v>17.931034482758619</v>
      </c>
      <c r="AX7" s="54">
        <v>8.2758620689655178</v>
      </c>
      <c r="AY7" s="68">
        <v>4.1379310344827589</v>
      </c>
      <c r="AZ7" s="59">
        <v>1.2572744197993653E-2</v>
      </c>
      <c r="BA7" s="59">
        <v>1.6043265898626778E-2</v>
      </c>
      <c r="BB7" s="76">
        <v>93.765929205754603</v>
      </c>
      <c r="BC7" s="49">
        <v>34.704370179948597</v>
      </c>
      <c r="BD7" s="93">
        <v>0</v>
      </c>
      <c r="BE7" s="93">
        <v>0</v>
      </c>
      <c r="BF7" s="49">
        <v>0</v>
      </c>
      <c r="BG7" s="49">
        <v>0</v>
      </c>
      <c r="BH7" s="49">
        <v>0</v>
      </c>
      <c r="BI7" s="49">
        <v>0</v>
      </c>
      <c r="BJ7" s="85">
        <v>21.3</v>
      </c>
      <c r="BK7" s="126">
        <v>9662</v>
      </c>
      <c r="BL7" s="126">
        <v>47614</v>
      </c>
      <c r="BM7" s="126">
        <v>51748</v>
      </c>
      <c r="BN7" s="126">
        <v>39669</v>
      </c>
      <c r="BO7" s="102">
        <v>0</v>
      </c>
      <c r="BP7" s="59">
        <v>0.47870000000000001</v>
      </c>
      <c r="BQ7" s="59">
        <v>8.7400000000000005E-2</v>
      </c>
      <c r="BR7" s="59">
        <v>0</v>
      </c>
      <c r="BS7" s="59">
        <v>0</v>
      </c>
      <c r="BT7" s="138">
        <v>12.2</v>
      </c>
      <c r="BU7" s="59">
        <f t="shared" si="2"/>
        <v>0.56610000000000005</v>
      </c>
      <c r="BV7" s="59">
        <v>2.18E-2</v>
      </c>
      <c r="BW7" s="59">
        <v>0</v>
      </c>
      <c r="BX7" s="59">
        <v>2.18E-2</v>
      </c>
      <c r="BY7" s="59">
        <v>2.18E-2</v>
      </c>
      <c r="BZ7" s="59">
        <v>0</v>
      </c>
      <c r="CA7" s="138">
        <v>16.3</v>
      </c>
      <c r="CB7" s="59">
        <f t="shared" si="3"/>
        <v>6.54E-2</v>
      </c>
      <c r="CC7" s="59">
        <v>0.31690000000000002</v>
      </c>
      <c r="CD7" s="125">
        <v>0.50829999999999997</v>
      </c>
      <c r="CE7" s="125">
        <v>0.15290000000000001</v>
      </c>
      <c r="CF7" s="125">
        <v>2.18E-2</v>
      </c>
      <c r="CG7" s="125">
        <v>0</v>
      </c>
      <c r="CH7" s="85">
        <v>12.4</v>
      </c>
      <c r="CI7" s="39" t="s">
        <v>89</v>
      </c>
      <c r="CJ7" s="18" t="s">
        <v>80</v>
      </c>
      <c r="CK7" s="20"/>
    </row>
    <row r="8" spans="1:99" x14ac:dyDescent="0.25">
      <c r="A8" s="18" t="s">
        <v>80</v>
      </c>
      <c r="B8" s="19" t="s">
        <v>88</v>
      </c>
      <c r="C8" s="39" t="s">
        <v>90</v>
      </c>
      <c r="D8" s="40">
        <v>5</v>
      </c>
      <c r="E8" s="40">
        <v>0</v>
      </c>
      <c r="F8" s="40">
        <v>5</v>
      </c>
      <c r="G8" s="163">
        <v>0</v>
      </c>
      <c r="H8" s="163">
        <v>0</v>
      </c>
      <c r="I8" s="163">
        <v>0</v>
      </c>
      <c r="J8" s="164">
        <v>2</v>
      </c>
      <c r="K8" s="164">
        <v>0</v>
      </c>
      <c r="L8" s="164">
        <v>1</v>
      </c>
      <c r="M8" s="164">
        <v>2</v>
      </c>
      <c r="N8" s="117">
        <v>2.6595744680851099E-2</v>
      </c>
      <c r="O8" s="117">
        <v>3.8759689922480599E-2</v>
      </c>
      <c r="P8" s="115">
        <v>0</v>
      </c>
      <c r="Q8" s="115">
        <v>0</v>
      </c>
      <c r="R8" s="115">
        <v>0</v>
      </c>
      <c r="S8" s="117">
        <v>4.6511627906976702E-2</v>
      </c>
      <c r="T8" s="117">
        <v>0</v>
      </c>
      <c r="U8" s="117">
        <v>0.04</v>
      </c>
      <c r="V8" s="117">
        <v>8.3333333333333301E-2</v>
      </c>
      <c r="W8" s="40">
        <v>444</v>
      </c>
      <c r="X8" s="40">
        <f t="shared" si="0"/>
        <v>124</v>
      </c>
      <c r="Y8" s="40">
        <f t="shared" si="1"/>
        <v>181</v>
      </c>
      <c r="Z8" s="105">
        <v>0.51100000000000001</v>
      </c>
      <c r="AA8" s="105">
        <v>0.48899999999999999</v>
      </c>
      <c r="AB8" s="106">
        <f>2/444</f>
        <v>4.5045045045045045E-3</v>
      </c>
      <c r="AC8" s="106">
        <f>6/444</f>
        <v>1.3513513513513514E-2</v>
      </c>
      <c r="AD8" s="106">
        <v>0</v>
      </c>
      <c r="AE8" s="106">
        <f>3/444</f>
        <v>6.7567567567567571E-3</v>
      </c>
      <c r="AF8" s="106">
        <v>0</v>
      </c>
      <c r="AG8" s="106">
        <f>432/444</f>
        <v>0.97297297297297303</v>
      </c>
      <c r="AH8" s="106">
        <f>1/444</f>
        <v>2.2522522522522522E-3</v>
      </c>
      <c r="AI8" s="106">
        <f>12/444</f>
        <v>2.7027027027027029E-2</v>
      </c>
      <c r="AJ8" s="105">
        <v>0.57432432432432434</v>
      </c>
      <c r="AK8" s="105">
        <v>0</v>
      </c>
      <c r="AL8" s="12">
        <v>27</v>
      </c>
      <c r="AM8" s="12">
        <v>30</v>
      </c>
      <c r="AN8" s="12">
        <v>1</v>
      </c>
      <c r="AO8" s="12">
        <v>39</v>
      </c>
      <c r="AP8" s="12">
        <v>36</v>
      </c>
      <c r="AQ8" s="12">
        <v>25</v>
      </c>
      <c r="AR8" s="12">
        <v>23</v>
      </c>
      <c r="AS8" s="59">
        <v>2.5000000000000001E-2</v>
      </c>
      <c r="AT8" s="12">
        <v>1</v>
      </c>
      <c r="AU8" s="3">
        <v>6</v>
      </c>
      <c r="AV8" s="54">
        <v>85.567010309278345</v>
      </c>
      <c r="AW8" s="54">
        <v>10.309278350515463</v>
      </c>
      <c r="AX8" s="54">
        <v>3.608247422680412</v>
      </c>
      <c r="AY8" s="68">
        <v>0.51546391752577314</v>
      </c>
      <c r="AZ8" s="59">
        <v>8.9028094153378798E-3</v>
      </c>
      <c r="BA8" s="59">
        <v>1.7302115512596902E-2</v>
      </c>
      <c r="BB8" s="77">
        <v>94.502595265211795</v>
      </c>
      <c r="BC8" s="49">
        <v>37.062937062937102</v>
      </c>
      <c r="BD8" s="93">
        <v>0</v>
      </c>
      <c r="BE8" s="93">
        <v>0</v>
      </c>
      <c r="BF8" s="49">
        <v>0</v>
      </c>
      <c r="BG8" s="49">
        <v>0</v>
      </c>
      <c r="BH8" s="49">
        <v>0</v>
      </c>
      <c r="BI8" s="49">
        <v>0</v>
      </c>
      <c r="BJ8" s="85">
        <v>20.5</v>
      </c>
      <c r="BK8" s="126">
        <v>11047</v>
      </c>
      <c r="BL8" s="126">
        <v>48683</v>
      </c>
      <c r="BM8" s="126">
        <v>33409</v>
      </c>
      <c r="BN8" s="126">
        <v>37309</v>
      </c>
      <c r="BO8" s="102">
        <v>0</v>
      </c>
      <c r="BP8" s="59">
        <v>0.55700000000000005</v>
      </c>
      <c r="BQ8" s="59">
        <v>1.61E-2</v>
      </c>
      <c r="BR8" s="59">
        <v>0</v>
      </c>
      <c r="BS8" s="59">
        <v>0</v>
      </c>
      <c r="BT8" s="138">
        <v>16.100000000000001</v>
      </c>
      <c r="BU8" s="59">
        <f t="shared" si="2"/>
        <v>0.57310000000000005</v>
      </c>
      <c r="BV8" s="59">
        <v>3.2199999999999999E-2</v>
      </c>
      <c r="BW8" s="59">
        <v>0</v>
      </c>
      <c r="BX8" s="59">
        <v>1.61E-2</v>
      </c>
      <c r="BY8" s="59">
        <v>0</v>
      </c>
      <c r="BZ8" s="59">
        <v>0</v>
      </c>
      <c r="CA8" s="138">
        <v>24</v>
      </c>
      <c r="CB8" s="59">
        <f t="shared" si="3"/>
        <v>4.8299999999999996E-2</v>
      </c>
      <c r="CC8" s="59">
        <v>0.3785</v>
      </c>
      <c r="CD8" s="125">
        <v>0.57310000000000005</v>
      </c>
      <c r="CE8" s="125">
        <v>4.8300000000000003E-2</v>
      </c>
      <c r="CF8" s="125">
        <v>0</v>
      </c>
      <c r="CG8" s="125">
        <v>0</v>
      </c>
      <c r="CH8" s="85">
        <v>14.3</v>
      </c>
      <c r="CI8" s="39" t="s">
        <v>90</v>
      </c>
      <c r="CJ8" s="18" t="s">
        <v>80</v>
      </c>
      <c r="CK8" s="20"/>
    </row>
    <row r="9" spans="1:99" x14ac:dyDescent="0.25">
      <c r="A9" s="18" t="s">
        <v>80</v>
      </c>
      <c r="B9" s="19" t="s">
        <v>88</v>
      </c>
      <c r="C9" s="39" t="s">
        <v>91</v>
      </c>
      <c r="D9" s="40">
        <v>4</v>
      </c>
      <c r="E9" s="40" t="s">
        <v>83</v>
      </c>
      <c r="F9" s="40">
        <v>4</v>
      </c>
      <c r="G9" s="162" t="s">
        <v>83</v>
      </c>
      <c r="H9" s="162" t="s">
        <v>83</v>
      </c>
      <c r="I9" s="163">
        <v>0</v>
      </c>
      <c r="J9" s="164">
        <v>1</v>
      </c>
      <c r="K9" s="164">
        <v>1</v>
      </c>
      <c r="L9" s="164">
        <v>1</v>
      </c>
      <c r="M9" s="164">
        <v>1</v>
      </c>
      <c r="N9" s="117">
        <v>1.04712041884817E-2</v>
      </c>
      <c r="O9" s="117">
        <v>1.04712041884817E-2</v>
      </c>
      <c r="P9" s="116" t="s">
        <v>83</v>
      </c>
      <c r="Q9" s="116" t="s">
        <v>83</v>
      </c>
      <c r="R9" s="115">
        <v>0</v>
      </c>
      <c r="S9" s="117">
        <v>8.4033613445378096E-3</v>
      </c>
      <c r="T9" s="117">
        <v>9.4339622641509396E-3</v>
      </c>
      <c r="U9" s="117">
        <v>1.26582278481013E-2</v>
      </c>
      <c r="V9" s="117">
        <v>1.35135135135135E-2</v>
      </c>
      <c r="W9" s="40">
        <v>362</v>
      </c>
      <c r="X9" s="40">
        <f t="shared" si="0"/>
        <v>362</v>
      </c>
      <c r="Y9" s="40">
        <f t="shared" si="1"/>
        <v>362</v>
      </c>
      <c r="Z9" s="105">
        <v>0.5</v>
      </c>
      <c r="AA9" s="105">
        <v>0.5</v>
      </c>
      <c r="AB9" s="106">
        <f>11/362</f>
        <v>3.0386740331491711E-2</v>
      </c>
      <c r="AC9" s="106">
        <f>5/362</f>
        <v>1.3812154696132596E-2</v>
      </c>
      <c r="AD9" s="106">
        <f>67/362</f>
        <v>0.18508287292817679</v>
      </c>
      <c r="AE9" s="106">
        <f>9/362</f>
        <v>2.4861878453038673E-2</v>
      </c>
      <c r="AF9" s="106">
        <f>1/362</f>
        <v>2.7624309392265192E-3</v>
      </c>
      <c r="AG9" s="106">
        <f>266/362</f>
        <v>0.73480662983425415</v>
      </c>
      <c r="AH9" s="106">
        <f>3/362</f>
        <v>8.2872928176795577E-3</v>
      </c>
      <c r="AI9" s="106">
        <f>96/362</f>
        <v>0.26519337016574585</v>
      </c>
      <c r="AJ9" s="105">
        <v>0.51104972375690605</v>
      </c>
      <c r="AK9" s="105">
        <v>3.0000000000000001E-3</v>
      </c>
      <c r="AL9" s="12">
        <v>0</v>
      </c>
      <c r="AM9" s="12">
        <v>0</v>
      </c>
      <c r="AN9" s="12">
        <v>4</v>
      </c>
      <c r="AO9" s="12">
        <v>110</v>
      </c>
      <c r="AP9" s="12">
        <v>102</v>
      </c>
      <c r="AQ9" s="12">
        <v>73</v>
      </c>
      <c r="AR9" s="12">
        <v>73</v>
      </c>
      <c r="AS9" s="59">
        <v>3.5087719298245612E-2</v>
      </c>
      <c r="AT9" s="12">
        <v>9</v>
      </c>
      <c r="AU9" s="3">
        <v>6</v>
      </c>
      <c r="AV9" s="54">
        <v>79.166666666666657</v>
      </c>
      <c r="AW9" s="54">
        <v>18.75</v>
      </c>
      <c r="AX9" s="54">
        <v>2.083333333333333</v>
      </c>
      <c r="AY9" s="68">
        <v>0</v>
      </c>
      <c r="AZ9" s="59">
        <v>0.27968337730870713</v>
      </c>
      <c r="BA9" s="59">
        <v>0.21899736147757257</v>
      </c>
      <c r="BB9" s="76">
        <v>93.680717277764003</v>
      </c>
      <c r="BC9" s="49">
        <v>31.578947368421101</v>
      </c>
      <c r="BD9" s="90" t="s">
        <v>83</v>
      </c>
      <c r="BE9" s="90" t="s">
        <v>83</v>
      </c>
      <c r="BF9" s="49">
        <v>2.9</v>
      </c>
      <c r="BG9" s="49">
        <v>0</v>
      </c>
      <c r="BH9" s="49">
        <v>0</v>
      </c>
      <c r="BI9" s="49">
        <v>0</v>
      </c>
      <c r="BJ9" s="85">
        <v>19.7</v>
      </c>
      <c r="BK9" s="126">
        <v>10884</v>
      </c>
      <c r="BL9" s="126">
        <v>50660</v>
      </c>
      <c r="BM9" s="126">
        <v>45891</v>
      </c>
      <c r="BN9" s="126">
        <v>40508</v>
      </c>
      <c r="BO9" s="102">
        <v>0</v>
      </c>
      <c r="BP9" s="59">
        <v>0.36399999999999999</v>
      </c>
      <c r="BQ9" s="59">
        <v>0.19400000000000001</v>
      </c>
      <c r="BR9" s="59">
        <v>0</v>
      </c>
      <c r="BS9" s="59">
        <v>0</v>
      </c>
      <c r="BT9" s="138">
        <v>14.5</v>
      </c>
      <c r="BU9" s="59">
        <f t="shared" si="2"/>
        <v>0.55800000000000005</v>
      </c>
      <c r="BV9" s="59">
        <v>4.3099999999999999E-2</v>
      </c>
      <c r="BW9" s="59">
        <v>0</v>
      </c>
      <c r="BX9" s="59">
        <v>6.4699999999999994E-2</v>
      </c>
      <c r="BY9" s="59">
        <v>0</v>
      </c>
      <c r="BZ9" s="59">
        <v>0</v>
      </c>
      <c r="CA9" s="138">
        <v>13.2</v>
      </c>
      <c r="CB9" s="59">
        <f t="shared" si="3"/>
        <v>0.10779999999999999</v>
      </c>
      <c r="CC9" s="59">
        <v>0.3342</v>
      </c>
      <c r="CD9" s="125">
        <v>0.3856</v>
      </c>
      <c r="CE9" s="125">
        <v>0.28029999999999999</v>
      </c>
      <c r="CF9" s="125">
        <v>0</v>
      </c>
      <c r="CG9" s="125">
        <v>0</v>
      </c>
      <c r="CH9" s="85">
        <v>15.5</v>
      </c>
      <c r="CI9" s="39" t="s">
        <v>91</v>
      </c>
      <c r="CJ9" s="18" t="s">
        <v>80</v>
      </c>
      <c r="CK9" s="20"/>
    </row>
    <row r="10" spans="1:99" x14ac:dyDescent="0.25">
      <c r="A10" s="18" t="s">
        <v>80</v>
      </c>
      <c r="B10" s="19" t="s">
        <v>88</v>
      </c>
      <c r="C10" s="39" t="s">
        <v>92</v>
      </c>
      <c r="D10" s="40">
        <v>2</v>
      </c>
      <c r="E10" s="40" t="s">
        <v>83</v>
      </c>
      <c r="F10" s="40">
        <v>2</v>
      </c>
      <c r="G10" s="162" t="s">
        <v>83</v>
      </c>
      <c r="H10" s="162" t="s">
        <v>83</v>
      </c>
      <c r="I10" s="163">
        <v>0</v>
      </c>
      <c r="J10" s="164">
        <v>2</v>
      </c>
      <c r="K10" s="163">
        <v>0</v>
      </c>
      <c r="L10" s="163">
        <v>0</v>
      </c>
      <c r="M10" s="163">
        <v>0</v>
      </c>
      <c r="N10" s="117">
        <v>6.6006600660065999E-3</v>
      </c>
      <c r="O10" s="117">
        <v>6.6006600660065999E-3</v>
      </c>
      <c r="P10" s="116" t="s">
        <v>83</v>
      </c>
      <c r="Q10" s="116" t="s">
        <v>83</v>
      </c>
      <c r="R10" s="115">
        <v>0</v>
      </c>
      <c r="S10" s="117">
        <v>0.02</v>
      </c>
      <c r="T10" s="115">
        <v>0</v>
      </c>
      <c r="U10" s="115">
        <v>0</v>
      </c>
      <c r="V10" s="115">
        <v>0</v>
      </c>
      <c r="W10" s="40">
        <v>285</v>
      </c>
      <c r="X10" s="40">
        <f t="shared" si="0"/>
        <v>285</v>
      </c>
      <c r="Y10" s="40">
        <f t="shared" si="1"/>
        <v>285</v>
      </c>
      <c r="Z10" s="105">
        <v>0.48399999999999999</v>
      </c>
      <c r="AA10" s="105">
        <v>0.51600000000000001</v>
      </c>
      <c r="AB10" s="106">
        <v>0</v>
      </c>
      <c r="AC10" s="106">
        <f>1/285</f>
        <v>3.5087719298245615E-3</v>
      </c>
      <c r="AD10" s="106">
        <f>92/285</f>
        <v>0.32280701754385965</v>
      </c>
      <c r="AE10" s="106">
        <f>3/285</f>
        <v>1.0526315789473684E-2</v>
      </c>
      <c r="AF10" s="106">
        <v>0</v>
      </c>
      <c r="AG10" s="106">
        <f>187/285</f>
        <v>0.65614035087719302</v>
      </c>
      <c r="AH10" s="106">
        <f>2/285</f>
        <v>7.0175438596491229E-3</v>
      </c>
      <c r="AI10" s="106">
        <f>98/285</f>
        <v>0.34385964912280703</v>
      </c>
      <c r="AJ10" s="105">
        <v>0.6701754385964912</v>
      </c>
      <c r="AK10" s="105">
        <v>0</v>
      </c>
      <c r="AL10" s="12">
        <v>0</v>
      </c>
      <c r="AM10" s="12">
        <v>0</v>
      </c>
      <c r="AN10" s="12">
        <v>8</v>
      </c>
      <c r="AO10" s="12">
        <v>92</v>
      </c>
      <c r="AP10" s="12">
        <v>69</v>
      </c>
      <c r="AQ10" s="12">
        <v>63</v>
      </c>
      <c r="AR10" s="12">
        <v>53</v>
      </c>
      <c r="AS10" s="59">
        <v>0.08</v>
      </c>
      <c r="AT10" s="12">
        <v>9</v>
      </c>
      <c r="AU10" s="3">
        <v>6</v>
      </c>
      <c r="AV10" s="54">
        <v>88.823529411764696</v>
      </c>
      <c r="AW10" s="54">
        <v>11.176470588235295</v>
      </c>
      <c r="AX10" s="54">
        <v>0</v>
      </c>
      <c r="AY10" s="68">
        <v>0</v>
      </c>
      <c r="AZ10" s="59">
        <v>0.30232558139534882</v>
      </c>
      <c r="BA10" s="59">
        <v>0.20598006644518271</v>
      </c>
      <c r="BB10" s="77">
        <v>92.461084557532203</v>
      </c>
      <c r="BC10" s="49">
        <v>38.870431893687702</v>
      </c>
      <c r="BD10" s="90" t="s">
        <v>83</v>
      </c>
      <c r="BE10" s="90" t="s">
        <v>83</v>
      </c>
      <c r="BF10" s="49">
        <v>7.7</v>
      </c>
      <c r="BG10" s="49">
        <v>4.8</v>
      </c>
      <c r="BH10" s="49">
        <v>0</v>
      </c>
      <c r="BI10" s="49">
        <v>0</v>
      </c>
      <c r="BJ10" s="85">
        <v>17.899999999999999</v>
      </c>
      <c r="BK10" s="126">
        <v>14046</v>
      </c>
      <c r="BL10" s="126">
        <v>47727</v>
      </c>
      <c r="BM10" s="126">
        <v>44209</v>
      </c>
      <c r="BN10" s="126">
        <v>38114</v>
      </c>
      <c r="BO10" s="102">
        <v>0</v>
      </c>
      <c r="BP10" s="59">
        <v>0.35639999999999999</v>
      </c>
      <c r="BQ10" s="59">
        <v>0.13250000000000001</v>
      </c>
      <c r="BR10" s="59">
        <v>0</v>
      </c>
      <c r="BS10" s="59">
        <v>0</v>
      </c>
      <c r="BT10" s="138">
        <v>8.3000000000000007</v>
      </c>
      <c r="BU10" s="59">
        <f t="shared" si="2"/>
        <v>0.4889</v>
      </c>
      <c r="BV10" s="59">
        <v>3.7900000000000003E-2</v>
      </c>
      <c r="BW10" s="59">
        <v>0</v>
      </c>
      <c r="BX10" s="59">
        <v>3.7900000000000003E-2</v>
      </c>
      <c r="BY10" s="59">
        <v>0</v>
      </c>
      <c r="BZ10" s="59">
        <v>0</v>
      </c>
      <c r="CA10" s="138">
        <v>23.5</v>
      </c>
      <c r="CB10" s="59">
        <f t="shared" si="3"/>
        <v>7.5800000000000006E-2</v>
      </c>
      <c r="CC10" s="59">
        <v>0.3785</v>
      </c>
      <c r="CD10" s="125">
        <v>0.41320000000000001</v>
      </c>
      <c r="CE10" s="125">
        <v>0.2082</v>
      </c>
      <c r="CF10" s="125">
        <v>0</v>
      </c>
      <c r="CG10" s="125">
        <v>0</v>
      </c>
      <c r="CH10" s="85">
        <v>12</v>
      </c>
      <c r="CI10" s="39" t="s">
        <v>92</v>
      </c>
      <c r="CJ10" s="18" t="s">
        <v>80</v>
      </c>
      <c r="CK10" s="20"/>
    </row>
    <row r="11" spans="1:99" x14ac:dyDescent="0.25">
      <c r="A11" s="18" t="s">
        <v>80</v>
      </c>
      <c r="B11" s="19" t="s">
        <v>88</v>
      </c>
      <c r="C11" s="39" t="s">
        <v>93</v>
      </c>
      <c r="D11" s="40">
        <v>3</v>
      </c>
      <c r="E11" s="40">
        <v>0</v>
      </c>
      <c r="F11" s="40">
        <v>3</v>
      </c>
      <c r="G11" s="163">
        <v>0</v>
      </c>
      <c r="H11" s="163">
        <v>0</v>
      </c>
      <c r="I11" s="163">
        <v>0</v>
      </c>
      <c r="J11" s="165">
        <v>1</v>
      </c>
      <c r="K11" s="165">
        <v>0</v>
      </c>
      <c r="L11" s="165">
        <v>0</v>
      </c>
      <c r="M11" s="165">
        <v>2</v>
      </c>
      <c r="N11" s="118">
        <v>9.8360655737704892E-3</v>
      </c>
      <c r="O11" s="118">
        <v>1.45631067961165E-2</v>
      </c>
      <c r="P11" s="115">
        <v>0</v>
      </c>
      <c r="Q11" s="115">
        <v>0</v>
      </c>
      <c r="R11" s="115">
        <v>0</v>
      </c>
      <c r="S11" s="118">
        <v>1.72413793103448E-2</v>
      </c>
      <c r="T11" s="118">
        <v>0</v>
      </c>
      <c r="U11" s="118">
        <v>0</v>
      </c>
      <c r="V11" s="118">
        <v>4.6511627906976702E-2</v>
      </c>
      <c r="W11" s="40">
        <v>290</v>
      </c>
      <c r="X11" s="40">
        <f t="shared" si="0"/>
        <v>196</v>
      </c>
      <c r="Y11" s="40">
        <f t="shared" si="1"/>
        <v>290</v>
      </c>
      <c r="Z11" s="105">
        <v>0.45500000000000002</v>
      </c>
      <c r="AA11" s="105">
        <v>0.54500000000000004</v>
      </c>
      <c r="AB11" s="106">
        <f>5/290</f>
        <v>1.7241379310344827E-2</v>
      </c>
      <c r="AC11" s="106">
        <f>4/290</f>
        <v>1.3793103448275862E-2</v>
      </c>
      <c r="AD11" s="106">
        <f>125/290</f>
        <v>0.43103448275862066</v>
      </c>
      <c r="AE11" s="106">
        <f>9/290</f>
        <v>3.1034482758620689E-2</v>
      </c>
      <c r="AF11" s="106">
        <v>0</v>
      </c>
      <c r="AG11" s="106">
        <f>144/290</f>
        <v>0.49655172413793103</v>
      </c>
      <c r="AH11" s="106">
        <f>3/290</f>
        <v>1.0344827586206896E-2</v>
      </c>
      <c r="AI11" s="106">
        <f>146/290</f>
        <v>0.50344827586206897</v>
      </c>
      <c r="AJ11" s="105">
        <v>0.66896551724137931</v>
      </c>
      <c r="AK11" s="105">
        <v>0</v>
      </c>
      <c r="AL11" s="12">
        <v>57</v>
      </c>
      <c r="AM11" s="12">
        <v>37</v>
      </c>
      <c r="AN11" s="12">
        <v>12</v>
      </c>
      <c r="AO11" s="12">
        <v>56</v>
      </c>
      <c r="AP11" s="12">
        <v>44</v>
      </c>
      <c r="AQ11" s="12">
        <v>46</v>
      </c>
      <c r="AR11" s="12">
        <v>38</v>
      </c>
      <c r="AS11" s="59">
        <v>0.17647058823529413</v>
      </c>
      <c r="AT11" s="12">
        <v>7</v>
      </c>
      <c r="AU11" s="3">
        <v>6</v>
      </c>
      <c r="AV11" s="54">
        <v>88.108108108108112</v>
      </c>
      <c r="AW11" s="54">
        <v>10.27027027027027</v>
      </c>
      <c r="AX11" s="54">
        <v>1.6216216216216217</v>
      </c>
      <c r="AY11" s="68">
        <v>0</v>
      </c>
      <c r="AZ11" s="59">
        <v>0.23278688524590163</v>
      </c>
      <c r="BA11" s="59">
        <v>0.11803278688524591</v>
      </c>
      <c r="BB11" s="76">
        <v>94.775471588776199</v>
      </c>
      <c r="BC11" s="49">
        <v>38.360655737704903</v>
      </c>
      <c r="BD11" s="49">
        <v>0</v>
      </c>
      <c r="BE11" s="49">
        <v>0</v>
      </c>
      <c r="BF11" s="49">
        <v>4.0999999999999996</v>
      </c>
      <c r="BG11" s="49">
        <v>2.2999999999999998</v>
      </c>
      <c r="BH11" s="49">
        <v>2.4</v>
      </c>
      <c r="BI11" s="49">
        <v>0</v>
      </c>
      <c r="BJ11" s="85">
        <v>18.899999999999999</v>
      </c>
      <c r="BK11" s="126">
        <v>13517</v>
      </c>
      <c r="BL11" s="126">
        <v>47838</v>
      </c>
      <c r="BM11" s="126">
        <v>43383</v>
      </c>
      <c r="BN11" s="126">
        <v>34999</v>
      </c>
      <c r="BO11" s="102">
        <v>0</v>
      </c>
      <c r="BP11" s="59">
        <v>0.3342</v>
      </c>
      <c r="BQ11" s="59">
        <v>9.6500000000000002E-2</v>
      </c>
      <c r="BR11" s="59">
        <v>0</v>
      </c>
      <c r="BS11" s="59">
        <v>0</v>
      </c>
      <c r="BT11" s="138">
        <v>10.3</v>
      </c>
      <c r="BU11" s="59">
        <f t="shared" si="2"/>
        <v>0.43069999999999997</v>
      </c>
      <c r="BV11" s="59">
        <v>3.8600000000000002E-2</v>
      </c>
      <c r="BW11" s="59">
        <v>0</v>
      </c>
      <c r="BX11" s="59">
        <v>3.8600000000000002E-2</v>
      </c>
      <c r="BY11" s="59">
        <v>0</v>
      </c>
      <c r="BZ11" s="59">
        <v>0</v>
      </c>
      <c r="CA11" s="138">
        <v>14</v>
      </c>
      <c r="CB11" s="59">
        <f t="shared" si="3"/>
        <v>7.7200000000000005E-2</v>
      </c>
      <c r="CC11" s="59">
        <v>0.47289999999999999</v>
      </c>
      <c r="CD11" s="125">
        <v>0.35349999999999998</v>
      </c>
      <c r="CE11" s="125">
        <v>0.1736</v>
      </c>
      <c r="CF11" s="125">
        <v>0</v>
      </c>
      <c r="CG11" s="125">
        <v>0</v>
      </c>
      <c r="CH11" s="85">
        <v>12.4</v>
      </c>
      <c r="CI11" s="39" t="s">
        <v>93</v>
      </c>
      <c r="CJ11" s="18" t="s">
        <v>80</v>
      </c>
      <c r="CK11" s="20"/>
    </row>
    <row r="12" spans="1:99" x14ac:dyDescent="0.25">
      <c r="A12" s="18" t="s">
        <v>80</v>
      </c>
      <c r="B12" s="19" t="s">
        <v>88</v>
      </c>
      <c r="C12" s="39" t="s">
        <v>94</v>
      </c>
      <c r="D12" s="40">
        <v>1</v>
      </c>
      <c r="E12" s="40">
        <v>0</v>
      </c>
      <c r="F12" s="40">
        <v>1</v>
      </c>
      <c r="G12" s="163">
        <v>0</v>
      </c>
      <c r="H12" s="163">
        <v>0</v>
      </c>
      <c r="I12" s="163">
        <v>0</v>
      </c>
      <c r="J12" s="163">
        <v>0</v>
      </c>
      <c r="K12" s="163">
        <v>0</v>
      </c>
      <c r="L12" s="166">
        <v>1</v>
      </c>
      <c r="M12" s="163">
        <v>0</v>
      </c>
      <c r="N12" s="119">
        <v>6.3694267515923596E-3</v>
      </c>
      <c r="O12" s="119">
        <v>9.6153846153846194E-3</v>
      </c>
      <c r="P12" s="115">
        <v>0</v>
      </c>
      <c r="Q12" s="115">
        <v>0</v>
      </c>
      <c r="R12" s="115">
        <v>0</v>
      </c>
      <c r="S12" s="115">
        <v>0</v>
      </c>
      <c r="T12" s="115">
        <v>0</v>
      </c>
      <c r="U12" s="119">
        <v>4.7619047619047603E-2</v>
      </c>
      <c r="V12" s="115">
        <v>0</v>
      </c>
      <c r="W12" s="40">
        <v>295</v>
      </c>
      <c r="X12" s="40">
        <f t="shared" si="0"/>
        <v>85</v>
      </c>
      <c r="Y12" s="40">
        <f t="shared" si="1"/>
        <v>132</v>
      </c>
      <c r="Z12" s="105">
        <v>0.47799999999999998</v>
      </c>
      <c r="AA12" s="105">
        <v>0.52200000000000002</v>
      </c>
      <c r="AB12" s="106">
        <f>6/295</f>
        <v>2.0338983050847456E-2</v>
      </c>
      <c r="AC12" s="106">
        <v>0</v>
      </c>
      <c r="AD12" s="106">
        <f>18/295</f>
        <v>6.1016949152542375E-2</v>
      </c>
      <c r="AE12" s="106">
        <f>2/295</f>
        <v>6.7796610169491523E-3</v>
      </c>
      <c r="AF12" s="106">
        <v>0</v>
      </c>
      <c r="AG12" s="106">
        <f>266/295</f>
        <v>0.90169491525423728</v>
      </c>
      <c r="AH12" s="106">
        <f>3/295</f>
        <v>1.0169491525423728E-2</v>
      </c>
      <c r="AI12" s="106">
        <f>29/295</f>
        <v>9.8305084745762716E-2</v>
      </c>
      <c r="AJ12" s="105">
        <v>0.63728813559322028</v>
      </c>
      <c r="AK12" s="105">
        <v>0</v>
      </c>
      <c r="AL12" s="12">
        <v>21</v>
      </c>
      <c r="AM12" s="12">
        <v>26</v>
      </c>
      <c r="AN12" s="12">
        <v>1</v>
      </c>
      <c r="AO12" s="12">
        <v>23</v>
      </c>
      <c r="AP12" s="12">
        <v>20</v>
      </c>
      <c r="AQ12" s="12">
        <v>19</v>
      </c>
      <c r="AR12" s="12">
        <v>22</v>
      </c>
      <c r="AS12" s="59">
        <v>4.1666666666666664E-2</v>
      </c>
      <c r="AT12" s="12">
        <v>1</v>
      </c>
      <c r="AU12" s="3">
        <v>6</v>
      </c>
      <c r="AV12" s="54">
        <v>73.75886524822694</v>
      </c>
      <c r="AW12" s="54">
        <v>24.822695035460992</v>
      </c>
      <c r="AX12" s="54">
        <v>1.4184397163120568</v>
      </c>
      <c r="AY12" s="68">
        <v>0</v>
      </c>
      <c r="AZ12" s="59">
        <v>9.1168091168091173E-2</v>
      </c>
      <c r="BA12" s="59">
        <v>0.05</v>
      </c>
      <c r="BB12" s="77">
        <v>94.001948913404107</v>
      </c>
      <c r="BC12" s="49">
        <v>28.7878787878788</v>
      </c>
      <c r="BD12" s="49">
        <v>10</v>
      </c>
      <c r="BE12" s="49">
        <v>15.4</v>
      </c>
      <c r="BF12" s="49">
        <v>4.3</v>
      </c>
      <c r="BG12" s="49">
        <v>0</v>
      </c>
      <c r="BH12" s="49">
        <v>0</v>
      </c>
      <c r="BI12" s="49">
        <v>4.5</v>
      </c>
      <c r="BJ12" s="85">
        <v>18.5</v>
      </c>
      <c r="BK12" s="126">
        <v>12295</v>
      </c>
      <c r="BL12" s="126">
        <v>45432</v>
      </c>
      <c r="BM12" s="126">
        <v>42400</v>
      </c>
      <c r="BN12" s="126">
        <v>34336</v>
      </c>
      <c r="BO12" s="102">
        <v>0</v>
      </c>
      <c r="BP12" s="59">
        <v>0.40039999999999998</v>
      </c>
      <c r="BQ12" s="59">
        <v>8.0199999999999994E-2</v>
      </c>
      <c r="BR12" s="59">
        <v>0</v>
      </c>
      <c r="BS12" s="59">
        <v>0</v>
      </c>
      <c r="BT12" s="138">
        <v>7.7</v>
      </c>
      <c r="BU12" s="59">
        <f t="shared" si="2"/>
        <v>0.48059999999999997</v>
      </c>
      <c r="BV12" s="59">
        <v>4.0099999999999997E-2</v>
      </c>
      <c r="BW12" s="59">
        <v>0</v>
      </c>
      <c r="BX12" s="59">
        <v>4.0099999999999997E-2</v>
      </c>
      <c r="BY12" s="59">
        <v>0</v>
      </c>
      <c r="BZ12" s="59">
        <v>0</v>
      </c>
      <c r="CA12" s="138">
        <v>14.5</v>
      </c>
      <c r="CB12" s="59">
        <f t="shared" si="3"/>
        <v>8.0199999999999994E-2</v>
      </c>
      <c r="CC12" s="59">
        <v>0.43930000000000002</v>
      </c>
      <c r="CD12" s="125">
        <v>0.4204</v>
      </c>
      <c r="CE12" s="125">
        <v>0.14030000000000001</v>
      </c>
      <c r="CF12" s="125">
        <v>0</v>
      </c>
      <c r="CG12" s="125">
        <v>0</v>
      </c>
      <c r="CH12" s="85">
        <v>10.1</v>
      </c>
      <c r="CI12" s="39" t="s">
        <v>94</v>
      </c>
      <c r="CJ12" s="18" t="s">
        <v>80</v>
      </c>
      <c r="CK12" s="20"/>
    </row>
    <row r="13" spans="1:99" x14ac:dyDescent="0.25">
      <c r="A13" s="18" t="s">
        <v>80</v>
      </c>
      <c r="B13" s="19" t="s">
        <v>95</v>
      </c>
      <c r="C13" s="39" t="s">
        <v>96</v>
      </c>
      <c r="D13" s="40">
        <v>19</v>
      </c>
      <c r="E13" s="40" t="s">
        <v>83</v>
      </c>
      <c r="F13" s="40">
        <v>19</v>
      </c>
      <c r="G13" s="162" t="s">
        <v>83</v>
      </c>
      <c r="H13" s="162" t="s">
        <v>83</v>
      </c>
      <c r="I13" s="163">
        <v>0</v>
      </c>
      <c r="J13" s="166">
        <v>8</v>
      </c>
      <c r="K13" s="166">
        <v>3</v>
      </c>
      <c r="L13" s="166">
        <v>1</v>
      </c>
      <c r="M13" s="166">
        <v>7</v>
      </c>
      <c r="N13" s="119">
        <v>3.7623762376237602E-2</v>
      </c>
      <c r="O13" s="119">
        <v>3.7623762376237602E-2</v>
      </c>
      <c r="P13" s="116" t="s">
        <v>83</v>
      </c>
      <c r="Q13" s="116" t="s">
        <v>83</v>
      </c>
      <c r="R13" s="115">
        <v>0</v>
      </c>
      <c r="S13" s="119">
        <v>5.9701492537313397E-2</v>
      </c>
      <c r="T13" s="119">
        <v>2.1739130434782601E-2</v>
      </c>
      <c r="U13" s="119">
        <v>9.0909090909090905E-3</v>
      </c>
      <c r="V13" s="119">
        <v>6.6666666666666693E-2</v>
      </c>
      <c r="W13" s="40">
        <v>469</v>
      </c>
      <c r="X13" s="40">
        <f t="shared" si="0"/>
        <v>469</v>
      </c>
      <c r="Y13" s="40">
        <f t="shared" si="1"/>
        <v>469</v>
      </c>
      <c r="Z13" s="105">
        <v>0.48199999999999998</v>
      </c>
      <c r="AA13" s="105">
        <v>0.51800000000000002</v>
      </c>
      <c r="AB13" s="106">
        <f>2/469</f>
        <v>4.2643923240938165E-3</v>
      </c>
      <c r="AC13" s="106">
        <v>0</v>
      </c>
      <c r="AD13" s="106">
        <f>439/469</f>
        <v>0.9360341151385928</v>
      </c>
      <c r="AE13" s="106">
        <f>3/469</f>
        <v>6.3965884861407248E-3</v>
      </c>
      <c r="AF13" s="106">
        <v>0</v>
      </c>
      <c r="AG13" s="106">
        <f>24/469</f>
        <v>5.1172707889125799E-2</v>
      </c>
      <c r="AH13" s="106">
        <f>1/469</f>
        <v>2.1321961620469083E-3</v>
      </c>
      <c r="AI13" s="106">
        <f>445/469</f>
        <v>0.94882729211087424</v>
      </c>
      <c r="AJ13" s="105">
        <v>0.8571428571428571</v>
      </c>
      <c r="AK13" s="105">
        <v>2E-3</v>
      </c>
      <c r="AL13" s="12">
        <v>0</v>
      </c>
      <c r="AM13" s="12">
        <v>0</v>
      </c>
      <c r="AN13" s="12">
        <v>15</v>
      </c>
      <c r="AO13" s="12">
        <v>122</v>
      </c>
      <c r="AP13" s="12">
        <v>128</v>
      </c>
      <c r="AQ13" s="12">
        <v>111</v>
      </c>
      <c r="AR13" s="12">
        <v>93</v>
      </c>
      <c r="AS13" s="59">
        <v>0.10948905109489052</v>
      </c>
      <c r="AT13" s="12">
        <v>9</v>
      </c>
      <c r="AU13" s="3">
        <v>6</v>
      </c>
      <c r="AV13" s="54">
        <v>55.102040816326522</v>
      </c>
      <c r="AW13" s="54">
        <v>30.612244897959183</v>
      </c>
      <c r="AX13" s="54">
        <v>12.653061224489795</v>
      </c>
      <c r="AY13" s="68">
        <v>1.6326530612244898</v>
      </c>
      <c r="AZ13" s="59">
        <v>7.9840319361277445E-2</v>
      </c>
      <c r="BA13" s="59">
        <v>0.27145708582834333</v>
      </c>
      <c r="BB13" s="77">
        <v>90.142727677704798</v>
      </c>
      <c r="BC13" s="84"/>
      <c r="BD13" s="90" t="s">
        <v>83</v>
      </c>
      <c r="BE13" s="90" t="s">
        <v>83</v>
      </c>
      <c r="BF13" s="49">
        <v>6</v>
      </c>
      <c r="BG13" s="49">
        <v>5.4</v>
      </c>
      <c r="BH13" s="49">
        <v>5</v>
      </c>
      <c r="BI13" s="49">
        <v>3.1</v>
      </c>
      <c r="BJ13" s="85">
        <v>16.399999999999999</v>
      </c>
      <c r="BK13" s="126">
        <v>15504</v>
      </c>
      <c r="BL13" s="126">
        <v>56093</v>
      </c>
      <c r="BM13" s="126">
        <v>49937</v>
      </c>
      <c r="BN13" s="126">
        <v>44281</v>
      </c>
      <c r="BO13" s="102">
        <v>0</v>
      </c>
      <c r="BP13" s="59">
        <v>0.25340000000000001</v>
      </c>
      <c r="BQ13" s="59">
        <v>0.2099</v>
      </c>
      <c r="BR13" s="59">
        <v>0</v>
      </c>
      <c r="BS13" s="59">
        <v>0</v>
      </c>
      <c r="BT13" s="138">
        <v>10.7</v>
      </c>
      <c r="BU13" s="59">
        <f t="shared" si="2"/>
        <v>0.46330000000000005</v>
      </c>
      <c r="BV13" s="59">
        <v>5.0700000000000002E-2</v>
      </c>
      <c r="BW13" s="59">
        <v>0</v>
      </c>
      <c r="BX13" s="59">
        <v>5.0700000000000002E-2</v>
      </c>
      <c r="BY13" s="59">
        <v>0</v>
      </c>
      <c r="BZ13" s="59">
        <v>0</v>
      </c>
      <c r="CA13" s="138">
        <v>11.1</v>
      </c>
      <c r="CB13" s="59">
        <f t="shared" si="3"/>
        <v>0.1014</v>
      </c>
      <c r="CC13" s="59">
        <v>0.372</v>
      </c>
      <c r="CD13" s="125">
        <v>0.2787</v>
      </c>
      <c r="CE13" s="125">
        <v>0.3493</v>
      </c>
      <c r="CF13" s="125">
        <v>0</v>
      </c>
      <c r="CG13" s="125">
        <v>0</v>
      </c>
      <c r="CH13" s="85">
        <v>10.8</v>
      </c>
      <c r="CI13" s="39" t="s">
        <v>96</v>
      </c>
      <c r="CJ13" s="18" t="s">
        <v>80</v>
      </c>
      <c r="CK13" s="20"/>
    </row>
    <row r="14" spans="1:99" x14ac:dyDescent="0.25">
      <c r="A14" s="18" t="s">
        <v>80</v>
      </c>
      <c r="B14" s="19" t="s">
        <v>95</v>
      </c>
      <c r="C14" s="39" t="s">
        <v>97</v>
      </c>
      <c r="D14" s="40">
        <v>54</v>
      </c>
      <c r="E14" s="40" t="s">
        <v>83</v>
      </c>
      <c r="F14" s="40">
        <v>54</v>
      </c>
      <c r="G14" s="162" t="s">
        <v>83</v>
      </c>
      <c r="H14" s="162" t="s">
        <v>83</v>
      </c>
      <c r="I14" s="163">
        <v>0</v>
      </c>
      <c r="J14" s="166">
        <v>19</v>
      </c>
      <c r="K14" s="166">
        <v>13</v>
      </c>
      <c r="L14" s="166">
        <v>8</v>
      </c>
      <c r="M14" s="166">
        <v>14</v>
      </c>
      <c r="N14" s="119">
        <v>2.7593254982115501E-2</v>
      </c>
      <c r="O14" s="119">
        <v>2.7593254982115501E-2</v>
      </c>
      <c r="P14" s="116" t="s">
        <v>83</v>
      </c>
      <c r="Q14" s="116" t="s">
        <v>83</v>
      </c>
      <c r="R14" s="115">
        <v>0</v>
      </c>
      <c r="S14" s="119">
        <v>3.1825795644891103E-2</v>
      </c>
      <c r="T14" s="119">
        <v>2.5390625E-2</v>
      </c>
      <c r="U14" s="119">
        <v>1.8264840182648401E-2</v>
      </c>
      <c r="V14" s="119">
        <v>3.6363636363636397E-2</v>
      </c>
      <c r="W14" s="40">
        <v>1819</v>
      </c>
      <c r="X14" s="40">
        <f t="shared" si="0"/>
        <v>1819</v>
      </c>
      <c r="Y14" s="40">
        <f t="shared" si="1"/>
        <v>1819</v>
      </c>
      <c r="Z14" s="105">
        <v>0.50600000000000001</v>
      </c>
      <c r="AA14" s="105">
        <v>0.49399999999999999</v>
      </c>
      <c r="AB14" s="106">
        <f>12/1819</f>
        <v>6.5970313358988458E-3</v>
      </c>
      <c r="AC14" s="106">
        <f>16/1819</f>
        <v>8.7960417811984611E-3</v>
      </c>
      <c r="AD14" s="106">
        <f>757/1819</f>
        <v>0.41616272677295219</v>
      </c>
      <c r="AE14" s="106">
        <f>191/1819</f>
        <v>0.10500274876305662</v>
      </c>
      <c r="AF14" s="106">
        <f>2/1819</f>
        <v>1.0995052226498076E-3</v>
      </c>
      <c r="AG14" s="106">
        <f>830/1819</f>
        <v>0.45629466739967017</v>
      </c>
      <c r="AH14" s="106">
        <f>11/1819</f>
        <v>6.0472787245739413E-3</v>
      </c>
      <c r="AI14" s="106">
        <f>989/1819</f>
        <v>0.54370533260032983</v>
      </c>
      <c r="AJ14" s="105">
        <v>0.51786695986805942</v>
      </c>
      <c r="AK14" s="105">
        <v>0.02</v>
      </c>
      <c r="AL14" s="12">
        <v>0</v>
      </c>
      <c r="AM14" s="12">
        <v>0</v>
      </c>
      <c r="AN14" s="12">
        <v>22</v>
      </c>
      <c r="AO14" s="12">
        <v>550</v>
      </c>
      <c r="AP14" s="12">
        <v>475</v>
      </c>
      <c r="AQ14" s="12">
        <v>412</v>
      </c>
      <c r="AR14" s="12">
        <v>360</v>
      </c>
      <c r="AS14" s="59">
        <v>3.8461538461538464E-2</v>
      </c>
      <c r="AT14" s="12">
        <v>9</v>
      </c>
      <c r="AU14" s="3">
        <v>6</v>
      </c>
      <c r="AV14" s="54">
        <v>55.783009211873079</v>
      </c>
      <c r="AW14" s="54">
        <v>20.573183213920164</v>
      </c>
      <c r="AX14" s="54">
        <v>20.67553735926305</v>
      </c>
      <c r="AY14" s="68">
        <v>2.968270214943705</v>
      </c>
      <c r="AZ14" s="59">
        <v>0.17028985507246377</v>
      </c>
      <c r="BA14" s="59">
        <v>7.8157349896480335E-2</v>
      </c>
      <c r="BB14" s="76">
        <v>94.8241052611681</v>
      </c>
      <c r="BC14" s="49">
        <v>0.102722136620442</v>
      </c>
      <c r="BD14" s="90" t="s">
        <v>83</v>
      </c>
      <c r="BE14" s="90" t="s">
        <v>83</v>
      </c>
      <c r="BF14" s="49">
        <v>10.4</v>
      </c>
      <c r="BG14" s="49">
        <v>3.2</v>
      </c>
      <c r="BH14" s="49">
        <v>1.8</v>
      </c>
      <c r="BI14" s="49">
        <v>3</v>
      </c>
      <c r="BJ14" s="85">
        <v>19.3</v>
      </c>
      <c r="BK14" s="126">
        <v>11252</v>
      </c>
      <c r="BL14" s="126">
        <v>52909</v>
      </c>
      <c r="BM14" s="126">
        <v>53673</v>
      </c>
      <c r="BN14" s="126">
        <v>45524</v>
      </c>
      <c r="BO14" s="102">
        <v>0</v>
      </c>
      <c r="BP14" s="59">
        <v>0.39600000000000002</v>
      </c>
      <c r="BQ14" s="59">
        <v>0.18840000000000001</v>
      </c>
      <c r="BR14" s="59">
        <v>9.9000000000000008E-3</v>
      </c>
      <c r="BS14" s="59">
        <v>1.1900000000000001E-2</v>
      </c>
      <c r="BT14" s="138">
        <v>10.5</v>
      </c>
      <c r="BU14" s="59">
        <f t="shared" si="2"/>
        <v>0.60620000000000007</v>
      </c>
      <c r="BV14" s="59">
        <v>2.81E-2</v>
      </c>
      <c r="BW14" s="59">
        <v>0</v>
      </c>
      <c r="BX14" s="59">
        <v>2.9600000000000001E-2</v>
      </c>
      <c r="BY14" s="59">
        <v>0</v>
      </c>
      <c r="BZ14" s="59">
        <v>4.8999999999999998E-3</v>
      </c>
      <c r="CA14" s="138">
        <v>14.1</v>
      </c>
      <c r="CB14" s="59">
        <f t="shared" si="3"/>
        <v>6.2600000000000003E-2</v>
      </c>
      <c r="CC14" s="59">
        <v>0.28939999999999999</v>
      </c>
      <c r="CD14" s="125">
        <v>0.41170000000000001</v>
      </c>
      <c r="CE14" s="125">
        <v>0.2722</v>
      </c>
      <c r="CF14" s="125">
        <v>9.9000000000000008E-3</v>
      </c>
      <c r="CG14" s="125">
        <v>1.6799999999999999E-2</v>
      </c>
      <c r="CH14" s="85">
        <v>10.5</v>
      </c>
      <c r="CI14" s="39" t="s">
        <v>97</v>
      </c>
      <c r="CJ14" s="18" t="s">
        <v>80</v>
      </c>
      <c r="CK14" s="20"/>
    </row>
    <row r="15" spans="1:99" x14ac:dyDescent="0.25">
      <c r="A15" s="18" t="s">
        <v>80</v>
      </c>
      <c r="B15" s="19" t="s">
        <v>95</v>
      </c>
      <c r="C15" s="39" t="s">
        <v>98</v>
      </c>
      <c r="D15" s="40">
        <v>36</v>
      </c>
      <c r="E15" s="40" t="s">
        <v>83</v>
      </c>
      <c r="F15" s="40">
        <v>36</v>
      </c>
      <c r="G15" s="162" t="s">
        <v>83</v>
      </c>
      <c r="H15" s="162" t="s">
        <v>83</v>
      </c>
      <c r="I15" s="163">
        <v>0</v>
      </c>
      <c r="J15" s="166">
        <v>14</v>
      </c>
      <c r="K15" s="166">
        <v>5</v>
      </c>
      <c r="L15" s="166">
        <v>10</v>
      </c>
      <c r="M15" s="166">
        <v>7</v>
      </c>
      <c r="N15" s="119">
        <v>1.79372197309417E-2</v>
      </c>
      <c r="O15" s="119">
        <v>1.79372197309417E-2</v>
      </c>
      <c r="P15" s="116" t="s">
        <v>83</v>
      </c>
      <c r="Q15" s="116" t="s">
        <v>83</v>
      </c>
      <c r="R15" s="115">
        <v>0</v>
      </c>
      <c r="S15" s="119">
        <v>2.50447227191413E-2</v>
      </c>
      <c r="T15" s="119">
        <v>9.3283582089552196E-3</v>
      </c>
      <c r="U15" s="119">
        <v>2.1505376344085999E-2</v>
      </c>
      <c r="V15" s="119">
        <v>1.6166281755196299E-2</v>
      </c>
      <c r="W15" s="40">
        <v>1908</v>
      </c>
      <c r="X15" s="40">
        <f t="shared" si="0"/>
        <v>1908</v>
      </c>
      <c r="Y15" s="40">
        <f t="shared" si="1"/>
        <v>1908</v>
      </c>
      <c r="Z15" s="105">
        <v>0.46899999999999997</v>
      </c>
      <c r="AA15" s="105">
        <v>0.53100000000000003</v>
      </c>
      <c r="AB15" s="106">
        <f>7/1908</f>
        <v>3.6687631027253671E-3</v>
      </c>
      <c r="AC15" s="106">
        <f>4/1908</f>
        <v>2.0964360587002098E-3</v>
      </c>
      <c r="AD15" s="106">
        <f>263/1908</f>
        <v>0.13784067085953877</v>
      </c>
      <c r="AE15" s="106">
        <f>73/1908</f>
        <v>3.8259958071278827E-2</v>
      </c>
      <c r="AF15" s="106">
        <f>2/1908</f>
        <v>1.0482180293501049E-3</v>
      </c>
      <c r="AG15" s="106">
        <f>1549/1908</f>
        <v>0.81184486373165621</v>
      </c>
      <c r="AH15" s="106">
        <f>10/1908</f>
        <v>5.2410901467505244E-3</v>
      </c>
      <c r="AI15" s="106">
        <f>359/1908</f>
        <v>0.18815513626834382</v>
      </c>
      <c r="AJ15" s="105">
        <v>0.3632075471698113</v>
      </c>
      <c r="AK15" s="105">
        <v>6.0000000000000001E-3</v>
      </c>
      <c r="AL15" s="12">
        <v>0</v>
      </c>
      <c r="AM15" s="12">
        <v>0</v>
      </c>
      <c r="AN15" s="12">
        <v>12</v>
      </c>
      <c r="AO15" s="12">
        <v>519</v>
      </c>
      <c r="AP15" s="12">
        <v>509</v>
      </c>
      <c r="AQ15" s="12">
        <v>464</v>
      </c>
      <c r="AR15" s="12">
        <v>404</v>
      </c>
      <c r="AS15" s="59">
        <v>2.2598870056497175E-2</v>
      </c>
      <c r="AT15" s="12">
        <v>9</v>
      </c>
      <c r="AU15" s="3">
        <v>6</v>
      </c>
      <c r="AV15" s="54">
        <v>46.572361262241571</v>
      </c>
      <c r="AW15" s="54">
        <v>28.726877040261158</v>
      </c>
      <c r="AX15" s="54">
        <v>20.892274211099021</v>
      </c>
      <c r="AY15" s="68">
        <v>3.808487486398259</v>
      </c>
      <c r="AZ15" s="59">
        <v>0.11077694235588972</v>
      </c>
      <c r="BA15" s="59">
        <v>6.2656641604010022E-2</v>
      </c>
      <c r="BB15" s="77">
        <v>94.1169571742915</v>
      </c>
      <c r="BC15" s="49">
        <v>1.0515773660490699</v>
      </c>
      <c r="BD15" s="90" t="s">
        <v>83</v>
      </c>
      <c r="BE15" s="90" t="s">
        <v>83</v>
      </c>
      <c r="BF15" s="49">
        <v>4</v>
      </c>
      <c r="BG15" s="49">
        <v>2.6</v>
      </c>
      <c r="BH15" s="49">
        <v>2.8</v>
      </c>
      <c r="BI15" s="49">
        <v>0.2</v>
      </c>
      <c r="BJ15" s="85">
        <v>20.399999999999999</v>
      </c>
      <c r="BK15" s="126">
        <v>9992</v>
      </c>
      <c r="BL15" s="126">
        <v>52372</v>
      </c>
      <c r="BM15" s="126">
        <v>49872</v>
      </c>
      <c r="BN15" s="126">
        <v>45090</v>
      </c>
      <c r="BO15" s="102">
        <v>0</v>
      </c>
      <c r="BP15" s="59">
        <v>0.45700000000000002</v>
      </c>
      <c r="BQ15" s="59">
        <v>0.18290000000000001</v>
      </c>
      <c r="BR15" s="59">
        <v>5.4999999999999997E-3</v>
      </c>
      <c r="BS15" s="59">
        <v>5.4999999999999997E-3</v>
      </c>
      <c r="BT15" s="138">
        <v>9.4</v>
      </c>
      <c r="BU15" s="59">
        <f t="shared" si="2"/>
        <v>0.65089999999999992</v>
      </c>
      <c r="BV15" s="59">
        <v>2.76E-2</v>
      </c>
      <c r="BW15" s="59">
        <v>0</v>
      </c>
      <c r="BX15" s="59">
        <v>2.2100000000000002E-2</v>
      </c>
      <c r="BY15" s="59">
        <v>5.4999999999999997E-3</v>
      </c>
      <c r="BZ15" s="59">
        <v>0</v>
      </c>
      <c r="CA15" s="138">
        <v>14.3</v>
      </c>
      <c r="CB15" s="59">
        <f t="shared" si="3"/>
        <v>5.5199999999999999E-2</v>
      </c>
      <c r="CC15" s="59">
        <v>0.25950000000000001</v>
      </c>
      <c r="CD15" s="125">
        <v>0.47470000000000001</v>
      </c>
      <c r="CE15" s="125">
        <v>0.2382</v>
      </c>
      <c r="CF15" s="125">
        <v>2.2100000000000002E-2</v>
      </c>
      <c r="CG15" s="125">
        <v>5.4999999999999997E-3</v>
      </c>
      <c r="CH15" s="85">
        <v>9.5</v>
      </c>
      <c r="CI15" s="39" t="s">
        <v>98</v>
      </c>
      <c r="CJ15" s="18" t="s">
        <v>80</v>
      </c>
      <c r="CK15" s="20"/>
    </row>
    <row r="16" spans="1:99" x14ac:dyDescent="0.25">
      <c r="A16" s="18" t="s">
        <v>80</v>
      </c>
      <c r="B16" s="19" t="s">
        <v>95</v>
      </c>
      <c r="C16" s="39" t="s">
        <v>99</v>
      </c>
      <c r="D16" s="40">
        <v>30</v>
      </c>
      <c r="E16" s="40" t="s">
        <v>83</v>
      </c>
      <c r="F16" s="40">
        <v>30</v>
      </c>
      <c r="G16" s="162" t="s">
        <v>83</v>
      </c>
      <c r="H16" s="162" t="s">
        <v>83</v>
      </c>
      <c r="I16" s="163">
        <v>0</v>
      </c>
      <c r="J16" s="166">
        <v>4</v>
      </c>
      <c r="K16" s="166">
        <v>4</v>
      </c>
      <c r="L16" s="166">
        <v>6</v>
      </c>
      <c r="M16" s="166">
        <v>16</v>
      </c>
      <c r="N16" s="119">
        <v>1.3507429085997299E-2</v>
      </c>
      <c r="O16" s="119">
        <v>1.3507429085997299E-2</v>
      </c>
      <c r="P16" s="116" t="s">
        <v>83</v>
      </c>
      <c r="Q16" s="116" t="s">
        <v>83</v>
      </c>
      <c r="R16" s="115">
        <v>0</v>
      </c>
      <c r="S16" s="119">
        <v>5.9880239520958096E-3</v>
      </c>
      <c r="T16" s="119">
        <v>7.7071290944123296E-3</v>
      </c>
      <c r="U16" s="119">
        <v>1.2345679012345699E-2</v>
      </c>
      <c r="V16" s="119">
        <v>2.95748613678373E-2</v>
      </c>
      <c r="W16" s="40">
        <v>2124</v>
      </c>
      <c r="X16" s="40">
        <f t="shared" si="0"/>
        <v>2124</v>
      </c>
      <c r="Y16" s="40">
        <f t="shared" si="1"/>
        <v>2124</v>
      </c>
      <c r="Z16" s="105">
        <v>0.496</v>
      </c>
      <c r="AA16" s="105">
        <v>0.504</v>
      </c>
      <c r="AB16" s="106">
        <f>12/2124</f>
        <v>5.6497175141242938E-3</v>
      </c>
      <c r="AC16" s="106">
        <f>35/2124</f>
        <v>1.6478342749529189E-2</v>
      </c>
      <c r="AD16" s="106">
        <f>470/2124</f>
        <v>0.22128060263653485</v>
      </c>
      <c r="AE16" s="106">
        <f>70/2124</f>
        <v>3.2956685499058377E-2</v>
      </c>
      <c r="AF16" s="106">
        <f>3/2124</f>
        <v>1.4124293785310734E-3</v>
      </c>
      <c r="AG16" s="106">
        <f>1518/2124</f>
        <v>0.71468926553672318</v>
      </c>
      <c r="AH16" s="106">
        <f>16/2124</f>
        <v>7.5329566854990581E-3</v>
      </c>
      <c r="AI16" s="106">
        <f>606/2124</f>
        <v>0.28531073446327682</v>
      </c>
      <c r="AJ16" s="105">
        <v>0.26412429378531072</v>
      </c>
      <c r="AK16" s="105">
        <v>7.0000000000000001E-3</v>
      </c>
      <c r="AL16" s="12">
        <v>0</v>
      </c>
      <c r="AM16" s="12">
        <v>0</v>
      </c>
      <c r="AN16" s="12">
        <v>6</v>
      </c>
      <c r="AO16" s="12">
        <v>624</v>
      </c>
      <c r="AP16" s="12">
        <v>506</v>
      </c>
      <c r="AQ16" s="12">
        <v>472</v>
      </c>
      <c r="AR16" s="12">
        <v>516</v>
      </c>
      <c r="AS16" s="59">
        <v>9.5238095238095247E-3</v>
      </c>
      <c r="AT16" s="12">
        <v>9</v>
      </c>
      <c r="AU16" s="3">
        <v>6</v>
      </c>
      <c r="AV16" s="54">
        <v>37.719298245614034</v>
      </c>
      <c r="AW16" s="54">
        <v>30.592105263157894</v>
      </c>
      <c r="AX16" s="54">
        <v>29.495614035087719</v>
      </c>
      <c r="AY16" s="68">
        <v>2.1929824561403506</v>
      </c>
      <c r="AZ16" s="59">
        <v>0.11751361161524501</v>
      </c>
      <c r="BA16" s="59">
        <v>3.671824704328637E-2</v>
      </c>
      <c r="BB16" s="81">
        <v>96</v>
      </c>
      <c r="BC16" s="49">
        <v>0.13586956521739099</v>
      </c>
      <c r="BD16" s="90" t="s">
        <v>83</v>
      </c>
      <c r="BE16" s="90" t="s">
        <v>83</v>
      </c>
      <c r="BF16" s="49">
        <v>7.5</v>
      </c>
      <c r="BG16" s="49">
        <v>1.1000000000000001</v>
      </c>
      <c r="BH16" s="49">
        <v>0.7</v>
      </c>
      <c r="BI16" s="49">
        <v>1.8</v>
      </c>
      <c r="BJ16" s="85">
        <v>22.4</v>
      </c>
      <c r="BK16" s="126">
        <v>9594</v>
      </c>
      <c r="BL16" s="126">
        <v>53091</v>
      </c>
      <c r="BM16" s="126">
        <v>53035</v>
      </c>
      <c r="BN16" s="126">
        <v>44742</v>
      </c>
      <c r="BO16" s="102">
        <v>0</v>
      </c>
      <c r="BP16" s="59">
        <v>0.38190000000000002</v>
      </c>
      <c r="BQ16" s="59">
        <v>0.23669999999999999</v>
      </c>
      <c r="BR16" s="59">
        <v>5.1999999999999998E-3</v>
      </c>
      <c r="BS16" s="59">
        <v>1.52E-2</v>
      </c>
      <c r="BT16" s="138">
        <v>12.2</v>
      </c>
      <c r="BU16" s="59">
        <f t="shared" si="2"/>
        <v>0.63900000000000001</v>
      </c>
      <c r="BV16" s="59">
        <v>2.0899999999999998E-2</v>
      </c>
      <c r="BW16" s="59">
        <v>0</v>
      </c>
      <c r="BX16" s="59">
        <v>2.4799999999999999E-2</v>
      </c>
      <c r="BY16" s="59">
        <v>0</v>
      </c>
      <c r="BZ16" s="59">
        <v>0</v>
      </c>
      <c r="CA16" s="138">
        <v>18.3</v>
      </c>
      <c r="CB16" s="59">
        <f t="shared" si="3"/>
        <v>4.5699999999999998E-2</v>
      </c>
      <c r="CC16" s="59">
        <v>0.28910000000000002</v>
      </c>
      <c r="CD16" s="125">
        <v>0.38190000000000002</v>
      </c>
      <c r="CE16" s="125">
        <v>0.30330000000000001</v>
      </c>
      <c r="CF16" s="125">
        <v>1.0500000000000001E-2</v>
      </c>
      <c r="CG16" s="125">
        <v>1.52E-2</v>
      </c>
      <c r="CH16" s="85">
        <v>11.1</v>
      </c>
      <c r="CI16" s="39" t="s">
        <v>99</v>
      </c>
      <c r="CJ16" s="18" t="s">
        <v>80</v>
      </c>
      <c r="CK16" s="20"/>
    </row>
    <row r="17" spans="1:89" x14ac:dyDescent="0.25">
      <c r="A17" s="18" t="s">
        <v>80</v>
      </c>
      <c r="B17" s="19" t="s">
        <v>100</v>
      </c>
      <c r="C17" s="39" t="s">
        <v>101</v>
      </c>
      <c r="D17" s="40">
        <v>37</v>
      </c>
      <c r="E17" s="40" t="s">
        <v>83</v>
      </c>
      <c r="F17" s="40">
        <v>37</v>
      </c>
      <c r="G17" s="162" t="s">
        <v>83</v>
      </c>
      <c r="H17" s="162" t="s">
        <v>83</v>
      </c>
      <c r="I17" s="166">
        <v>1</v>
      </c>
      <c r="J17" s="166">
        <v>6</v>
      </c>
      <c r="K17" s="166">
        <v>11</v>
      </c>
      <c r="L17" s="166">
        <v>11</v>
      </c>
      <c r="M17" s="166">
        <v>8</v>
      </c>
      <c r="N17" s="119">
        <v>3.3303330333033301E-2</v>
      </c>
      <c r="O17" s="119">
        <v>3.3303330333033301E-2</v>
      </c>
      <c r="P17" s="116" t="s">
        <v>83</v>
      </c>
      <c r="Q17" s="116" t="s">
        <v>83</v>
      </c>
      <c r="R17" s="119">
        <v>1.9230769230769201E-2</v>
      </c>
      <c r="S17" s="119">
        <v>1.9543973941368101E-2</v>
      </c>
      <c r="T17" s="119">
        <v>3.78006872852234E-2</v>
      </c>
      <c r="U17" s="119">
        <v>4.3478260869565202E-2</v>
      </c>
      <c r="V17" s="119">
        <v>3.8461538461538498E-2</v>
      </c>
      <c r="W17" s="40">
        <v>1033</v>
      </c>
      <c r="X17" s="40">
        <f t="shared" si="0"/>
        <v>1033</v>
      </c>
      <c r="Y17" s="40">
        <f t="shared" si="1"/>
        <v>1033</v>
      </c>
      <c r="Z17" s="105">
        <v>0.49</v>
      </c>
      <c r="AA17" s="105">
        <v>0.51</v>
      </c>
      <c r="AB17" s="106">
        <f>2/1033</f>
        <v>1.9361084220716361E-3</v>
      </c>
      <c r="AC17" s="106">
        <f>4/1033</f>
        <v>3.8722168441432721E-3</v>
      </c>
      <c r="AD17" s="106">
        <f>377/1033</f>
        <v>0.36495643756050339</v>
      </c>
      <c r="AE17" s="106">
        <f>38/1033</f>
        <v>3.6786060019361085E-2</v>
      </c>
      <c r="AF17" s="106">
        <v>0</v>
      </c>
      <c r="AG17" s="106">
        <f>608/1033</f>
        <v>0.58857696030977735</v>
      </c>
      <c r="AH17" s="106">
        <f>4/1033</f>
        <v>3.8722168441432721E-3</v>
      </c>
      <c r="AI17" s="106">
        <f>425/1033</f>
        <v>0.41142303969022265</v>
      </c>
      <c r="AJ17" s="105">
        <v>0.57115198451113258</v>
      </c>
      <c r="AK17" s="105">
        <v>1.4999999999999999E-2</v>
      </c>
      <c r="AL17" s="12">
        <v>0</v>
      </c>
      <c r="AM17" s="12">
        <v>0</v>
      </c>
      <c r="AN17" s="12">
        <v>45</v>
      </c>
      <c r="AO17" s="12">
        <v>280</v>
      </c>
      <c r="AP17" s="12">
        <v>269</v>
      </c>
      <c r="AQ17" s="12">
        <v>240</v>
      </c>
      <c r="AR17" s="12">
        <v>199</v>
      </c>
      <c r="AS17" s="59">
        <v>0.13846153846153847</v>
      </c>
      <c r="AT17" s="12">
        <v>9</v>
      </c>
      <c r="AU17" s="3">
        <v>6</v>
      </c>
      <c r="AV17" s="54">
        <v>69.946332737030417</v>
      </c>
      <c r="AW17" s="54">
        <v>25.044722719141323</v>
      </c>
      <c r="AX17" s="54">
        <v>3.9355992844364938</v>
      </c>
      <c r="AY17" s="68">
        <v>1.0733452593917709</v>
      </c>
      <c r="AZ17" s="59">
        <v>0.16788321167883211</v>
      </c>
      <c r="BA17" s="59">
        <v>0.17062043795620438</v>
      </c>
      <c r="BB17" s="76">
        <v>94.059727818903099</v>
      </c>
      <c r="BC17" s="49">
        <v>14.234556848701899</v>
      </c>
      <c r="BD17" s="90" t="s">
        <v>83</v>
      </c>
      <c r="BE17" s="90" t="s">
        <v>83</v>
      </c>
      <c r="BF17" s="49">
        <v>3.8</v>
      </c>
      <c r="BG17" s="49">
        <v>6.7</v>
      </c>
      <c r="BH17" s="49">
        <v>2</v>
      </c>
      <c r="BI17" s="49">
        <v>1.9</v>
      </c>
      <c r="BJ17" s="85">
        <v>17.399999999999999</v>
      </c>
      <c r="BK17" s="126">
        <v>12993</v>
      </c>
      <c r="BL17" s="126">
        <v>50890</v>
      </c>
      <c r="BM17" s="126">
        <v>51689</v>
      </c>
      <c r="BN17" s="126">
        <v>41554</v>
      </c>
      <c r="BO17" s="102">
        <v>3.95E-2</v>
      </c>
      <c r="BP17" s="59">
        <v>0.32079999999999997</v>
      </c>
      <c r="BQ17" s="59">
        <v>0.21360000000000001</v>
      </c>
      <c r="BR17" s="59">
        <v>0</v>
      </c>
      <c r="BS17" s="59">
        <v>0</v>
      </c>
      <c r="BT17" s="138">
        <v>14.3</v>
      </c>
      <c r="BU17" s="59">
        <f t="shared" si="2"/>
        <v>0.57389999999999997</v>
      </c>
      <c r="BV17" s="59">
        <v>3.1600000000000003E-2</v>
      </c>
      <c r="BW17" s="59">
        <v>0</v>
      </c>
      <c r="BX17" s="59">
        <v>3.1600000000000003E-2</v>
      </c>
      <c r="BY17" s="59">
        <v>0</v>
      </c>
      <c r="BZ17" s="59">
        <v>0</v>
      </c>
      <c r="CA17" s="138">
        <v>15.5</v>
      </c>
      <c r="CB17" s="59">
        <f t="shared" si="3"/>
        <v>6.3200000000000006E-2</v>
      </c>
      <c r="CC17" s="59">
        <v>0.36890000000000001</v>
      </c>
      <c r="CD17" s="125">
        <v>0.34449999999999997</v>
      </c>
      <c r="CE17" s="125">
        <v>0.28660000000000002</v>
      </c>
      <c r="CF17" s="125">
        <v>0</v>
      </c>
      <c r="CG17" s="125">
        <v>0</v>
      </c>
      <c r="CH17" s="85">
        <v>14.3</v>
      </c>
      <c r="CI17" s="39" t="s">
        <v>101</v>
      </c>
      <c r="CJ17" s="18" t="s">
        <v>80</v>
      </c>
      <c r="CK17" s="20"/>
    </row>
    <row r="18" spans="1:89" x14ac:dyDescent="0.25">
      <c r="A18" s="18" t="s">
        <v>80</v>
      </c>
      <c r="B18" s="19" t="s">
        <v>102</v>
      </c>
      <c r="C18" s="39" t="s">
        <v>103</v>
      </c>
      <c r="D18" s="40">
        <v>17</v>
      </c>
      <c r="E18" s="40">
        <v>3</v>
      </c>
      <c r="F18" s="40">
        <v>14</v>
      </c>
      <c r="G18" s="166">
        <v>1</v>
      </c>
      <c r="H18" s="166">
        <v>2</v>
      </c>
      <c r="I18" s="163">
        <v>0</v>
      </c>
      <c r="J18" s="166">
        <v>2</v>
      </c>
      <c r="K18" s="166">
        <v>4</v>
      </c>
      <c r="L18" s="166">
        <v>4</v>
      </c>
      <c r="M18" s="166">
        <v>4</v>
      </c>
      <c r="N18" s="119">
        <v>3.0520646319569099E-2</v>
      </c>
      <c r="O18" s="119">
        <v>3.91061452513966E-2</v>
      </c>
      <c r="P18" s="119">
        <v>1.0752688172042999E-2</v>
      </c>
      <c r="Q18" s="119">
        <v>1.88679245283019E-2</v>
      </c>
      <c r="R18" s="115">
        <v>0</v>
      </c>
      <c r="S18" s="119">
        <v>2.1052631578947399E-2</v>
      </c>
      <c r="T18" s="119">
        <v>3.8834951456310697E-2</v>
      </c>
      <c r="U18" s="119">
        <v>5.1282051282051301E-2</v>
      </c>
      <c r="V18" s="119">
        <v>6.6666666666666693E-2</v>
      </c>
      <c r="W18" s="40">
        <v>489</v>
      </c>
      <c r="X18" s="40">
        <f t="shared" si="0"/>
        <v>313</v>
      </c>
      <c r="Y18" s="40">
        <f t="shared" si="1"/>
        <v>489</v>
      </c>
      <c r="Z18" s="105">
        <v>0.48099999999999998</v>
      </c>
      <c r="AA18" s="105">
        <v>0.51900000000000002</v>
      </c>
      <c r="AB18" s="106">
        <f>3/489</f>
        <v>6.1349693251533744E-3</v>
      </c>
      <c r="AC18" s="106">
        <f>2/489</f>
        <v>4.0899795501022499E-3</v>
      </c>
      <c r="AD18" s="106">
        <f>285/489</f>
        <v>0.58282208588957052</v>
      </c>
      <c r="AE18" s="106">
        <f>10/489</f>
        <v>2.0449897750511249E-2</v>
      </c>
      <c r="AF18" s="106">
        <f>1/489</f>
        <v>2.0449897750511249E-3</v>
      </c>
      <c r="AG18" s="106">
        <f>185/489</f>
        <v>0.3783231083844581</v>
      </c>
      <c r="AH18" s="106">
        <f>3/489</f>
        <v>6.1349693251533744E-3</v>
      </c>
      <c r="AI18" s="106">
        <f>304/489</f>
        <v>0.62167689161554196</v>
      </c>
      <c r="AJ18" s="105">
        <v>0.8302658486707567</v>
      </c>
      <c r="AK18" s="105">
        <v>2E-3</v>
      </c>
      <c r="AL18" s="12">
        <v>85</v>
      </c>
      <c r="AM18" s="12">
        <v>91</v>
      </c>
      <c r="AN18" s="12">
        <v>21</v>
      </c>
      <c r="AO18" s="12">
        <v>79</v>
      </c>
      <c r="AP18" s="12">
        <v>91</v>
      </c>
      <c r="AQ18" s="12">
        <v>67</v>
      </c>
      <c r="AR18" s="12">
        <v>55</v>
      </c>
      <c r="AS18" s="59">
        <v>0.21</v>
      </c>
      <c r="AT18" s="12">
        <v>7</v>
      </c>
      <c r="AU18" s="3">
        <v>6</v>
      </c>
      <c r="AV18" s="54">
        <v>59.210526315789465</v>
      </c>
      <c r="AW18" s="54">
        <v>15.350877192982457</v>
      </c>
      <c r="AX18" s="54">
        <v>21.491228070175438</v>
      </c>
      <c r="AY18" s="68">
        <v>3.9473684210526314</v>
      </c>
      <c r="AZ18" s="59">
        <v>0.23076923076923078</v>
      </c>
      <c r="BA18" s="59">
        <v>0.21794871794871795</v>
      </c>
      <c r="BB18" s="76">
        <v>90.796169622712796</v>
      </c>
      <c r="BC18" s="49">
        <v>41.847826086956502</v>
      </c>
      <c r="BD18" s="49">
        <v>0</v>
      </c>
      <c r="BE18" s="49">
        <v>0</v>
      </c>
      <c r="BF18" s="49">
        <v>0</v>
      </c>
      <c r="BG18" s="49">
        <v>7.8</v>
      </c>
      <c r="BH18" s="49">
        <v>0</v>
      </c>
      <c r="BI18" s="49">
        <v>10.199999999999999</v>
      </c>
      <c r="BJ18" s="85">
        <v>18.5</v>
      </c>
      <c r="BK18" s="126">
        <v>9686</v>
      </c>
      <c r="BL18" s="126">
        <v>44392</v>
      </c>
      <c r="BM18" s="126">
        <v>44638</v>
      </c>
      <c r="BN18" s="126">
        <v>36108</v>
      </c>
      <c r="BO18" s="102">
        <v>0</v>
      </c>
      <c r="BP18" s="59">
        <v>0.23899999999999999</v>
      </c>
      <c r="BQ18" s="59">
        <v>0.25569999999999998</v>
      </c>
      <c r="BR18" s="59">
        <v>0</v>
      </c>
      <c r="BS18" s="59">
        <v>0</v>
      </c>
      <c r="BT18" s="138">
        <v>15</v>
      </c>
      <c r="BU18" s="59">
        <f t="shared" si="2"/>
        <v>0.49469999999999997</v>
      </c>
      <c r="BV18" s="59">
        <v>5.1299999999999998E-2</v>
      </c>
      <c r="BW18" s="59">
        <v>2.5700000000000001E-2</v>
      </c>
      <c r="BX18" s="59">
        <v>5.1299999999999998E-2</v>
      </c>
      <c r="BY18" s="59">
        <v>0</v>
      </c>
      <c r="BZ18" s="59">
        <v>0</v>
      </c>
      <c r="CA18" s="138">
        <v>16</v>
      </c>
      <c r="CB18" s="59">
        <f t="shared" si="3"/>
        <v>0.1283</v>
      </c>
      <c r="CC18" s="59">
        <v>0.3513</v>
      </c>
      <c r="CD18" s="125">
        <v>0.29039999999999999</v>
      </c>
      <c r="CE18" s="125">
        <v>0.35830000000000001</v>
      </c>
      <c r="CF18" s="125">
        <v>0</v>
      </c>
      <c r="CG18" s="125">
        <v>0</v>
      </c>
      <c r="CH18" s="85">
        <v>15</v>
      </c>
      <c r="CI18" s="39" t="s">
        <v>103</v>
      </c>
      <c r="CJ18" s="18" t="s">
        <v>80</v>
      </c>
      <c r="CK18" s="20"/>
    </row>
    <row r="19" spans="1:89" x14ac:dyDescent="0.25">
      <c r="A19" s="18" t="s">
        <v>80</v>
      </c>
      <c r="B19" s="19" t="s">
        <v>102</v>
      </c>
      <c r="C19" s="39" t="s">
        <v>104</v>
      </c>
      <c r="D19" s="40">
        <v>58</v>
      </c>
      <c r="E19" s="40">
        <v>8</v>
      </c>
      <c r="F19" s="40">
        <v>50</v>
      </c>
      <c r="G19" s="166">
        <v>2</v>
      </c>
      <c r="H19" s="166">
        <v>6</v>
      </c>
      <c r="I19" s="166">
        <v>3</v>
      </c>
      <c r="J19" s="166">
        <v>12</v>
      </c>
      <c r="K19" s="166">
        <v>14</v>
      </c>
      <c r="L19" s="166">
        <v>7</v>
      </c>
      <c r="M19" s="166">
        <v>14</v>
      </c>
      <c r="N19" s="119">
        <v>5.6751467710371803E-2</v>
      </c>
      <c r="O19" s="119">
        <v>7.5528700906344406E-2</v>
      </c>
      <c r="P19" s="119">
        <v>1.18343195266272E-2</v>
      </c>
      <c r="Q19" s="119">
        <v>3.1413612565444997E-2</v>
      </c>
      <c r="R19" s="119">
        <v>3.8461538461538498E-2</v>
      </c>
      <c r="S19" s="119">
        <v>7.3619631901840496E-2</v>
      </c>
      <c r="T19" s="119">
        <v>8.6956521739130405E-2</v>
      </c>
      <c r="U19" s="119">
        <v>4.6052631578947401E-2</v>
      </c>
      <c r="V19" s="119">
        <v>0.12962962962963001</v>
      </c>
      <c r="W19" s="40">
        <v>916</v>
      </c>
      <c r="X19" s="40">
        <f t="shared" si="0"/>
        <v>593</v>
      </c>
      <c r="Y19" s="40">
        <f t="shared" si="1"/>
        <v>916</v>
      </c>
      <c r="Z19" s="105">
        <v>0.502</v>
      </c>
      <c r="AA19" s="105">
        <v>0.498</v>
      </c>
      <c r="AB19" s="106">
        <f>17/916</f>
        <v>1.8558951965065504E-2</v>
      </c>
      <c r="AC19" s="106">
        <f>22/916</f>
        <v>2.4017467248908297E-2</v>
      </c>
      <c r="AD19" s="106">
        <f>410/916</f>
        <v>0.44759825327510916</v>
      </c>
      <c r="AE19" s="106">
        <f>8/916</f>
        <v>8.7336244541484712E-3</v>
      </c>
      <c r="AF19" s="106">
        <v>0</v>
      </c>
      <c r="AG19" s="106">
        <f>455/916</f>
        <v>0.49672489082969434</v>
      </c>
      <c r="AH19" s="106">
        <f>4/916</f>
        <v>4.3668122270742356E-3</v>
      </c>
      <c r="AI19" s="106">
        <f>461/916</f>
        <v>0.50327510917030571</v>
      </c>
      <c r="AJ19" s="105">
        <v>0.77620087336244536</v>
      </c>
      <c r="AK19" s="105">
        <v>2E-3</v>
      </c>
      <c r="AL19" s="12">
        <v>154</v>
      </c>
      <c r="AM19" s="12">
        <v>169</v>
      </c>
      <c r="AN19" s="12">
        <v>75</v>
      </c>
      <c r="AO19" s="12">
        <v>135</v>
      </c>
      <c r="AP19" s="12">
        <v>137</v>
      </c>
      <c r="AQ19" s="12">
        <v>148</v>
      </c>
      <c r="AR19" s="12">
        <v>98</v>
      </c>
      <c r="AS19" s="59">
        <v>0.35714285714285715</v>
      </c>
      <c r="AT19" s="12">
        <v>7</v>
      </c>
      <c r="AU19" s="3">
        <v>6</v>
      </c>
      <c r="AV19" s="54">
        <v>29.844961240310074</v>
      </c>
      <c r="AW19" s="54">
        <v>25.193798449612402</v>
      </c>
      <c r="AX19" s="54">
        <v>33.720930232558139</v>
      </c>
      <c r="AY19" s="68">
        <v>11.24031007751938</v>
      </c>
      <c r="AZ19" s="59">
        <v>0.14285714285714285</v>
      </c>
      <c r="BA19" s="59">
        <v>0.19718309859154928</v>
      </c>
      <c r="BB19" s="77">
        <v>90.405667556936393</v>
      </c>
      <c r="BC19" s="49">
        <v>33</v>
      </c>
      <c r="BD19" s="49">
        <v>19.399999999999999</v>
      </c>
      <c r="BE19" s="49">
        <v>5.4</v>
      </c>
      <c r="BF19" s="49">
        <v>17.7</v>
      </c>
      <c r="BG19" s="49">
        <v>11.2</v>
      </c>
      <c r="BH19" s="49">
        <v>1.9</v>
      </c>
      <c r="BI19" s="49">
        <v>4.5999999999999996</v>
      </c>
      <c r="BJ19" s="85">
        <v>17.399999999999999</v>
      </c>
      <c r="BK19" s="126">
        <v>9393</v>
      </c>
      <c r="BL19" s="126">
        <v>43614</v>
      </c>
      <c r="BM19" s="126">
        <v>43792</v>
      </c>
      <c r="BN19" s="126">
        <v>35398</v>
      </c>
      <c r="BO19" s="102">
        <v>0</v>
      </c>
      <c r="BP19" s="59">
        <v>0.42480000000000001</v>
      </c>
      <c r="BQ19" s="59">
        <v>0.12870000000000001</v>
      </c>
      <c r="BR19" s="59">
        <v>0</v>
      </c>
      <c r="BS19" s="59">
        <v>0</v>
      </c>
      <c r="BT19" s="138">
        <v>9.1999999999999993</v>
      </c>
      <c r="BU19" s="59">
        <f t="shared" si="2"/>
        <v>0.55349999999999999</v>
      </c>
      <c r="BV19" s="59">
        <v>2.98E-2</v>
      </c>
      <c r="BW19" s="59">
        <v>0</v>
      </c>
      <c r="BX19" s="59">
        <v>4.4699999999999997E-2</v>
      </c>
      <c r="BY19" s="59">
        <v>0</v>
      </c>
      <c r="BZ19" s="59">
        <v>0</v>
      </c>
      <c r="CA19" s="138">
        <v>13</v>
      </c>
      <c r="CB19" s="59">
        <f t="shared" si="3"/>
        <v>7.4499999999999997E-2</v>
      </c>
      <c r="CC19" s="59">
        <v>0.37209999999999999</v>
      </c>
      <c r="CD19" s="125">
        <v>0.43969999999999998</v>
      </c>
      <c r="CE19" s="125">
        <v>0.18820000000000001</v>
      </c>
      <c r="CF19" s="125">
        <v>0</v>
      </c>
      <c r="CG19" s="125">
        <v>0</v>
      </c>
      <c r="CH19" s="85">
        <v>10.8</v>
      </c>
      <c r="CI19" s="39" t="s">
        <v>104</v>
      </c>
      <c r="CJ19" s="18" t="s">
        <v>80</v>
      </c>
      <c r="CK19" s="20"/>
    </row>
    <row r="20" spans="1:89" x14ac:dyDescent="0.25">
      <c r="A20" s="18" t="s">
        <v>80</v>
      </c>
      <c r="B20" s="19" t="s">
        <v>102</v>
      </c>
      <c r="C20" s="39" t="s">
        <v>105</v>
      </c>
      <c r="D20" s="40">
        <v>30</v>
      </c>
      <c r="E20" s="40">
        <v>3</v>
      </c>
      <c r="F20" s="40">
        <v>27</v>
      </c>
      <c r="G20" s="166">
        <v>1</v>
      </c>
      <c r="H20" s="166">
        <v>2</v>
      </c>
      <c r="I20" s="163">
        <v>0</v>
      </c>
      <c r="J20" s="166">
        <v>15</v>
      </c>
      <c r="K20" s="166">
        <v>2</v>
      </c>
      <c r="L20" s="166">
        <v>3</v>
      </c>
      <c r="M20" s="166">
        <v>7</v>
      </c>
      <c r="N20" s="119">
        <v>3.65408038976857E-2</v>
      </c>
      <c r="O20" s="119">
        <v>5.0561797752809001E-2</v>
      </c>
      <c r="P20" s="119">
        <v>7.5187969924812E-3</v>
      </c>
      <c r="Q20" s="119">
        <v>1.2987012987013E-2</v>
      </c>
      <c r="R20" s="115">
        <v>0</v>
      </c>
      <c r="S20" s="119">
        <v>8.9285714285714302E-2</v>
      </c>
      <c r="T20" s="119">
        <v>1.7391304347826101E-2</v>
      </c>
      <c r="U20" s="119">
        <v>4.6875E-2</v>
      </c>
      <c r="V20" s="119">
        <v>4.72972972972973E-2</v>
      </c>
      <c r="W20" s="40">
        <v>747</v>
      </c>
      <c r="X20" s="40">
        <f t="shared" si="0"/>
        <v>482</v>
      </c>
      <c r="Y20" s="40">
        <f t="shared" si="1"/>
        <v>747</v>
      </c>
      <c r="Z20" s="105">
        <v>0.46100000000000002</v>
      </c>
      <c r="AA20" s="105">
        <v>0.54</v>
      </c>
      <c r="AB20" s="106">
        <f>6/747</f>
        <v>8.0321285140562242E-3</v>
      </c>
      <c r="AC20" s="106">
        <f>6/747</f>
        <v>8.0321285140562242E-3</v>
      </c>
      <c r="AD20" s="106">
        <f>309/747</f>
        <v>0.41365461847389556</v>
      </c>
      <c r="AE20" s="106">
        <f>4/747</f>
        <v>5.3547523427041497E-3</v>
      </c>
      <c r="AF20" s="106">
        <v>0</v>
      </c>
      <c r="AG20" s="106">
        <f>420/747</f>
        <v>0.56224899598393574</v>
      </c>
      <c r="AH20" s="106">
        <f>2/747</f>
        <v>2.6773761713520749E-3</v>
      </c>
      <c r="AI20" s="106">
        <f>327/747</f>
        <v>0.43775100401606426</v>
      </c>
      <c r="AJ20" s="105">
        <v>0.73895582329317266</v>
      </c>
      <c r="AK20" s="105">
        <v>1.4999999999999999E-2</v>
      </c>
      <c r="AL20" s="12">
        <v>126</v>
      </c>
      <c r="AM20" s="12">
        <v>139</v>
      </c>
      <c r="AN20" s="12">
        <v>42</v>
      </c>
      <c r="AO20" s="12">
        <v>138</v>
      </c>
      <c r="AP20" s="12">
        <v>104</v>
      </c>
      <c r="AQ20" s="12">
        <v>58</v>
      </c>
      <c r="AR20" s="12">
        <v>140</v>
      </c>
      <c r="AS20" s="59">
        <v>0.23333333333333334</v>
      </c>
      <c r="AT20" s="12">
        <v>7</v>
      </c>
      <c r="AU20" s="3">
        <v>6</v>
      </c>
      <c r="AV20" s="54">
        <v>48.951048951048953</v>
      </c>
      <c r="AW20" s="54">
        <v>11.188811188811188</v>
      </c>
      <c r="AX20" s="54">
        <v>32.867132867132867</v>
      </c>
      <c r="AY20" s="68">
        <v>6.9930069930069934</v>
      </c>
      <c r="AZ20" s="59">
        <v>0.11389236545682102</v>
      </c>
      <c r="BA20" s="59">
        <v>0.22778473091364204</v>
      </c>
      <c r="BB20" s="76">
        <v>89.892757937938597</v>
      </c>
      <c r="BC20" s="49">
        <v>44.351961950059497</v>
      </c>
      <c r="BD20" s="49">
        <v>11</v>
      </c>
      <c r="BE20" s="49">
        <v>11.2</v>
      </c>
      <c r="BF20" s="49">
        <v>16.399999999999999</v>
      </c>
      <c r="BG20" s="49">
        <v>11.1</v>
      </c>
      <c r="BH20" s="49">
        <v>14</v>
      </c>
      <c r="BI20" s="49">
        <v>0</v>
      </c>
      <c r="BJ20" s="85">
        <v>17.5</v>
      </c>
      <c r="BK20" s="126">
        <v>8671</v>
      </c>
      <c r="BL20" s="126">
        <v>44260</v>
      </c>
      <c r="BM20" s="126">
        <v>39141</v>
      </c>
      <c r="BN20" s="126">
        <v>34048</v>
      </c>
      <c r="BO20" s="102">
        <v>0</v>
      </c>
      <c r="BP20" s="59">
        <v>0.37240000000000001</v>
      </c>
      <c r="BQ20" s="59">
        <v>3.9899999999999998E-2</v>
      </c>
      <c r="BR20" s="59">
        <v>0</v>
      </c>
      <c r="BS20" s="59">
        <v>0</v>
      </c>
      <c r="BT20" s="138">
        <v>9.6999999999999993</v>
      </c>
      <c r="BU20" s="59">
        <f t="shared" si="2"/>
        <v>0.4123</v>
      </c>
      <c r="BV20" s="59">
        <v>5.9900000000000002E-2</v>
      </c>
      <c r="BW20" s="59">
        <v>0.02</v>
      </c>
      <c r="BX20" s="59">
        <v>3.9899999999999998E-2</v>
      </c>
      <c r="BY20" s="59">
        <v>0</v>
      </c>
      <c r="BZ20" s="59">
        <v>0</v>
      </c>
      <c r="CA20" s="138">
        <v>12</v>
      </c>
      <c r="CB20" s="59">
        <f t="shared" si="3"/>
        <v>0.11979999999999999</v>
      </c>
      <c r="CC20" s="59">
        <v>0.44469999999999998</v>
      </c>
      <c r="CD20" s="125">
        <v>0.43230000000000002</v>
      </c>
      <c r="CE20" s="125">
        <v>0.123</v>
      </c>
      <c r="CF20" s="125">
        <v>0</v>
      </c>
      <c r="CG20" s="125">
        <v>0</v>
      </c>
      <c r="CH20" s="85">
        <v>11.6</v>
      </c>
      <c r="CI20" s="39" t="s">
        <v>105</v>
      </c>
      <c r="CJ20" s="18" t="s">
        <v>80</v>
      </c>
      <c r="CK20" s="20"/>
    </row>
    <row r="21" spans="1:89" x14ac:dyDescent="0.25">
      <c r="A21" s="18" t="s">
        <v>80</v>
      </c>
      <c r="B21" s="19" t="s">
        <v>102</v>
      </c>
      <c r="C21" s="39" t="s">
        <v>106</v>
      </c>
      <c r="D21" s="40">
        <v>6</v>
      </c>
      <c r="E21" s="40">
        <v>2</v>
      </c>
      <c r="F21" s="40">
        <v>4</v>
      </c>
      <c r="G21" s="166">
        <v>1</v>
      </c>
      <c r="H21" s="166">
        <v>1</v>
      </c>
      <c r="I21" s="163">
        <v>0</v>
      </c>
      <c r="J21" s="166">
        <v>0</v>
      </c>
      <c r="K21" s="166">
        <v>3</v>
      </c>
      <c r="L21" s="166">
        <v>1</v>
      </c>
      <c r="M21" s="166">
        <v>0</v>
      </c>
      <c r="N21" s="119">
        <v>1.61725067385445E-2</v>
      </c>
      <c r="O21" s="119">
        <v>1.8433179723502301E-2</v>
      </c>
      <c r="P21" s="119">
        <v>1.2987012987013E-2</v>
      </c>
      <c r="Q21" s="119">
        <v>1.2987012987013E-2</v>
      </c>
      <c r="R21" s="115">
        <v>0</v>
      </c>
      <c r="S21" s="119">
        <v>0</v>
      </c>
      <c r="T21" s="119">
        <v>4.6153846153846198E-2</v>
      </c>
      <c r="U21" s="119">
        <v>2.3809523809523801E-2</v>
      </c>
      <c r="V21" s="119">
        <v>0</v>
      </c>
      <c r="W21" s="40">
        <v>356</v>
      </c>
      <c r="X21" s="40">
        <f t="shared" si="0"/>
        <v>208</v>
      </c>
      <c r="Y21" s="40">
        <f t="shared" si="1"/>
        <v>356</v>
      </c>
      <c r="Z21" s="105">
        <v>0.47499999999999998</v>
      </c>
      <c r="AA21" s="105">
        <v>0.52500000000000002</v>
      </c>
      <c r="AB21" s="106">
        <f>3/356</f>
        <v>8.4269662921348312E-3</v>
      </c>
      <c r="AC21" s="106">
        <v>0</v>
      </c>
      <c r="AD21" s="106">
        <f>103/356</f>
        <v>0.2893258426966292</v>
      </c>
      <c r="AE21" s="106">
        <f>6/356</f>
        <v>1.6853932584269662E-2</v>
      </c>
      <c r="AF21" s="106">
        <v>0</v>
      </c>
      <c r="AG21" s="106">
        <f>243/356</f>
        <v>0.68258426966292129</v>
      </c>
      <c r="AH21" s="106">
        <f>1/356</f>
        <v>2.8089887640449437E-3</v>
      </c>
      <c r="AI21" s="106">
        <f>113/356</f>
        <v>0.31741573033707865</v>
      </c>
      <c r="AJ21" s="105">
        <v>0.6067415730337079</v>
      </c>
      <c r="AK21" s="105">
        <v>0</v>
      </c>
      <c r="AL21" s="12">
        <v>75</v>
      </c>
      <c r="AM21" s="12">
        <v>73</v>
      </c>
      <c r="AN21" s="12">
        <v>4</v>
      </c>
      <c r="AO21" s="12">
        <v>69</v>
      </c>
      <c r="AP21" s="12">
        <v>63</v>
      </c>
      <c r="AQ21" s="12">
        <v>39</v>
      </c>
      <c r="AR21" s="12">
        <v>33</v>
      </c>
      <c r="AS21" s="59">
        <v>5.4794520547945202E-2</v>
      </c>
      <c r="AT21" s="12">
        <v>7</v>
      </c>
      <c r="AU21" s="3">
        <v>4</v>
      </c>
      <c r="AV21" s="54">
        <v>51.937984496124031</v>
      </c>
      <c r="AW21" s="54">
        <v>43.410852713178294</v>
      </c>
      <c r="AX21" s="54">
        <v>4.6511627906976747</v>
      </c>
      <c r="AY21" s="68">
        <v>0</v>
      </c>
      <c r="AZ21" s="59">
        <v>0.13315217391304349</v>
      </c>
      <c r="BA21" s="59">
        <v>0.11141304347826086</v>
      </c>
      <c r="BB21" s="77">
        <v>93.937600959171206</v>
      </c>
      <c r="BC21" s="49">
        <v>25.2032520325203</v>
      </c>
      <c r="BD21" s="49">
        <v>1.4</v>
      </c>
      <c r="BE21" s="49">
        <v>0</v>
      </c>
      <c r="BF21" s="49">
        <v>3.1</v>
      </c>
      <c r="BG21" s="49">
        <v>0</v>
      </c>
      <c r="BH21" s="49">
        <v>2.9</v>
      </c>
      <c r="BI21" s="49">
        <v>0</v>
      </c>
      <c r="BJ21" s="85">
        <v>16.600000000000001</v>
      </c>
      <c r="BK21" s="126">
        <v>10969</v>
      </c>
      <c r="BL21" s="126">
        <v>47018</v>
      </c>
      <c r="BM21" s="126">
        <v>41022</v>
      </c>
      <c r="BN21" s="126">
        <v>42452</v>
      </c>
      <c r="BO21" s="102">
        <v>0</v>
      </c>
      <c r="BP21" s="59">
        <v>0.49340000000000001</v>
      </c>
      <c r="BQ21" s="59">
        <v>9.5500000000000002E-2</v>
      </c>
      <c r="BR21" s="59">
        <v>0</v>
      </c>
      <c r="BS21" s="59">
        <v>0</v>
      </c>
      <c r="BT21" s="138">
        <v>16.100000000000001</v>
      </c>
      <c r="BU21" s="59">
        <f t="shared" si="2"/>
        <v>0.58889999999999998</v>
      </c>
      <c r="BV21" s="59">
        <v>3.1800000000000002E-2</v>
      </c>
      <c r="BW21" s="59">
        <v>0</v>
      </c>
      <c r="BX21" s="59">
        <v>3.1800000000000002E-2</v>
      </c>
      <c r="BY21" s="59">
        <v>0</v>
      </c>
      <c r="BZ21" s="59">
        <v>0</v>
      </c>
      <c r="CA21" s="138">
        <v>24.5</v>
      </c>
      <c r="CB21" s="59">
        <f t="shared" si="3"/>
        <v>6.3600000000000004E-2</v>
      </c>
      <c r="CC21" s="59">
        <v>0.22009999999999999</v>
      </c>
      <c r="CD21" s="125">
        <v>0.5252</v>
      </c>
      <c r="CE21" s="125">
        <v>0.25469999999999998</v>
      </c>
      <c r="CF21" s="125">
        <v>0</v>
      </c>
      <c r="CG21" s="125">
        <v>0</v>
      </c>
      <c r="CH21" s="85">
        <v>15.9</v>
      </c>
      <c r="CI21" s="39" t="s">
        <v>106</v>
      </c>
      <c r="CJ21" s="18" t="s">
        <v>80</v>
      </c>
      <c r="CK21" s="20"/>
    </row>
    <row r="22" spans="1:89" x14ac:dyDescent="0.25">
      <c r="A22" s="18" t="s">
        <v>80</v>
      </c>
      <c r="B22" s="19" t="s">
        <v>107</v>
      </c>
      <c r="C22" s="39" t="s">
        <v>108</v>
      </c>
      <c r="D22" s="40">
        <v>3</v>
      </c>
      <c r="E22" s="40" t="s">
        <v>83</v>
      </c>
      <c r="F22" s="40">
        <v>3</v>
      </c>
      <c r="G22" s="162" t="s">
        <v>83</v>
      </c>
      <c r="H22" s="162" t="s">
        <v>83</v>
      </c>
      <c r="I22" s="163">
        <v>0</v>
      </c>
      <c r="J22" s="166">
        <v>0</v>
      </c>
      <c r="K22" s="166">
        <v>1</v>
      </c>
      <c r="L22" s="166">
        <v>1</v>
      </c>
      <c r="M22" s="166">
        <v>1</v>
      </c>
      <c r="N22" s="119">
        <v>3.5128805620608899E-3</v>
      </c>
      <c r="O22" s="119">
        <v>3.5169988276670598E-3</v>
      </c>
      <c r="P22" s="116" t="s">
        <v>83</v>
      </c>
      <c r="Q22" s="116" t="s">
        <v>83</v>
      </c>
      <c r="R22" s="115">
        <v>0</v>
      </c>
      <c r="S22" s="119">
        <v>0</v>
      </c>
      <c r="T22" s="119">
        <v>4.7619047619047597E-3</v>
      </c>
      <c r="U22" s="119">
        <v>4.97512437810945E-3</v>
      </c>
      <c r="V22" s="119">
        <v>5.40540540540541E-3</v>
      </c>
      <c r="W22" s="40">
        <v>805</v>
      </c>
      <c r="X22" s="40">
        <f t="shared" si="0"/>
        <v>805</v>
      </c>
      <c r="Y22" s="40">
        <f t="shared" si="1"/>
        <v>805</v>
      </c>
      <c r="Z22" s="105">
        <v>0.49199999999999999</v>
      </c>
      <c r="AA22" s="105">
        <v>0.50800000000000001</v>
      </c>
      <c r="AB22" s="106">
        <f>5/805</f>
        <v>6.2111801242236021E-3</v>
      </c>
      <c r="AC22" s="106">
        <f>13/805</f>
        <v>1.6149068322981366E-2</v>
      </c>
      <c r="AD22" s="106">
        <f>244/805</f>
        <v>0.3031055900621118</v>
      </c>
      <c r="AE22" s="106">
        <f>40/805</f>
        <v>4.9689440993788817E-2</v>
      </c>
      <c r="AF22" s="106">
        <f>1/805</f>
        <v>1.2422360248447205E-3</v>
      </c>
      <c r="AG22" s="106">
        <f>483/805</f>
        <v>0.6</v>
      </c>
      <c r="AH22" s="106">
        <f>19/805</f>
        <v>2.3602484472049691E-2</v>
      </c>
      <c r="AI22" s="106">
        <f>322/805</f>
        <v>0.4</v>
      </c>
      <c r="AJ22" s="105">
        <v>0.43478260869565216</v>
      </c>
      <c r="AK22" s="105">
        <v>1.0999999999999999E-2</v>
      </c>
      <c r="AL22" s="12">
        <v>0</v>
      </c>
      <c r="AM22" s="12">
        <v>0</v>
      </c>
      <c r="AN22" s="12">
        <v>11</v>
      </c>
      <c r="AO22" s="12">
        <v>233</v>
      </c>
      <c r="AP22" s="12">
        <v>196</v>
      </c>
      <c r="AQ22" s="12">
        <v>193</v>
      </c>
      <c r="AR22" s="12">
        <v>172</v>
      </c>
      <c r="AS22" s="59">
        <v>4.5081967213114756E-2</v>
      </c>
      <c r="AT22" s="12">
        <v>9</v>
      </c>
      <c r="AU22" s="3">
        <v>6</v>
      </c>
      <c r="AV22" s="54">
        <v>67.117117117117118</v>
      </c>
      <c r="AW22" s="54">
        <v>19.36936936936937</v>
      </c>
      <c r="AX22" s="54">
        <v>13.288288288288289</v>
      </c>
      <c r="AY22" s="68">
        <v>0.22522522522522523</v>
      </c>
      <c r="AZ22" s="59">
        <v>0.22039859320046892</v>
      </c>
      <c r="BA22" s="59">
        <v>0.141852286049238</v>
      </c>
      <c r="BB22" s="76">
        <v>93.731919309513302</v>
      </c>
      <c r="BC22" s="49">
        <v>28.7703016241299</v>
      </c>
      <c r="BD22" s="90" t="s">
        <v>83</v>
      </c>
      <c r="BE22" s="90" t="s">
        <v>83</v>
      </c>
      <c r="BF22" s="49">
        <v>0.5</v>
      </c>
      <c r="BG22" s="49">
        <v>0.5</v>
      </c>
      <c r="BH22" s="49">
        <v>2.2000000000000002</v>
      </c>
      <c r="BI22" s="49">
        <v>1.1000000000000001</v>
      </c>
      <c r="BJ22" s="85">
        <v>20.100000000000001</v>
      </c>
      <c r="BK22" s="126">
        <v>9788</v>
      </c>
      <c r="BL22" s="126">
        <v>50955</v>
      </c>
      <c r="BM22" s="126">
        <v>41145</v>
      </c>
      <c r="BN22" s="126">
        <v>41321</v>
      </c>
      <c r="BO22" s="102">
        <v>1.1999999999999999E-3</v>
      </c>
      <c r="BP22" s="59">
        <v>0.41610000000000003</v>
      </c>
      <c r="BQ22" s="59">
        <v>0.1575</v>
      </c>
      <c r="BR22" s="59">
        <v>0</v>
      </c>
      <c r="BS22" s="59">
        <v>0</v>
      </c>
      <c r="BT22" s="138">
        <v>13.7</v>
      </c>
      <c r="BU22" s="59">
        <f t="shared" si="2"/>
        <v>0.57479999999999998</v>
      </c>
      <c r="BV22" s="59">
        <v>5.1700000000000003E-2</v>
      </c>
      <c r="BW22" s="59">
        <v>0</v>
      </c>
      <c r="BX22" s="59">
        <v>3.5099999999999999E-2</v>
      </c>
      <c r="BY22" s="59">
        <v>0</v>
      </c>
      <c r="BZ22" s="59">
        <v>0</v>
      </c>
      <c r="CA22" s="138">
        <v>13.1</v>
      </c>
      <c r="CB22" s="59">
        <f t="shared" si="3"/>
        <v>8.6800000000000002E-2</v>
      </c>
      <c r="CC22" s="59">
        <v>0.3115</v>
      </c>
      <c r="CD22" s="125">
        <v>0.45739999999999997</v>
      </c>
      <c r="CE22" s="125">
        <v>0.2311</v>
      </c>
      <c r="CF22" s="125">
        <v>0</v>
      </c>
      <c r="CG22" s="125">
        <v>0</v>
      </c>
      <c r="CH22" s="85">
        <v>12.9</v>
      </c>
      <c r="CI22" s="39" t="s">
        <v>108</v>
      </c>
      <c r="CJ22" s="18" t="s">
        <v>80</v>
      </c>
      <c r="CK22" s="20"/>
    </row>
    <row r="23" spans="1:89" x14ac:dyDescent="0.25">
      <c r="A23" s="18" t="s">
        <v>80</v>
      </c>
      <c r="B23" s="19" t="s">
        <v>107</v>
      </c>
      <c r="C23" s="39" t="s">
        <v>109</v>
      </c>
      <c r="D23" s="40">
        <v>1</v>
      </c>
      <c r="E23" s="40">
        <v>0</v>
      </c>
      <c r="F23" s="40">
        <v>1</v>
      </c>
      <c r="G23" s="163">
        <v>0</v>
      </c>
      <c r="H23" s="163">
        <v>0</v>
      </c>
      <c r="I23" s="163">
        <v>0</v>
      </c>
      <c r="J23" s="163">
        <v>0</v>
      </c>
      <c r="K23" s="166">
        <v>1</v>
      </c>
      <c r="L23" s="163">
        <v>0</v>
      </c>
      <c r="M23" s="163">
        <v>0</v>
      </c>
      <c r="N23" s="119">
        <v>2.5000000000000001E-3</v>
      </c>
      <c r="O23" s="119">
        <v>3.9525691699604697E-3</v>
      </c>
      <c r="P23" s="115">
        <v>0</v>
      </c>
      <c r="Q23" s="115">
        <v>0</v>
      </c>
      <c r="R23" s="115">
        <v>0</v>
      </c>
      <c r="S23" s="115">
        <v>0</v>
      </c>
      <c r="T23" s="119">
        <v>1.5625E-2</v>
      </c>
      <c r="U23" s="115">
        <v>0</v>
      </c>
      <c r="V23" s="115">
        <v>0</v>
      </c>
      <c r="W23" s="40">
        <v>439</v>
      </c>
      <c r="X23" s="40">
        <f t="shared" si="0"/>
        <v>238</v>
      </c>
      <c r="Y23" s="40">
        <f t="shared" si="1"/>
        <v>374</v>
      </c>
      <c r="Z23" s="105">
        <v>0.46500000000000002</v>
      </c>
      <c r="AA23" s="105">
        <v>0.53500000000000003</v>
      </c>
      <c r="AB23" s="106">
        <f>13/439</f>
        <v>2.9612756264236904E-2</v>
      </c>
      <c r="AC23" s="106">
        <f>3/439</f>
        <v>6.8337129840546698E-3</v>
      </c>
      <c r="AD23" s="106">
        <f>3/439</f>
        <v>6.8337129840546698E-3</v>
      </c>
      <c r="AE23" s="106">
        <f>7/439</f>
        <v>1.5945330296127564E-2</v>
      </c>
      <c r="AF23" s="106">
        <v>0</v>
      </c>
      <c r="AG23" s="106">
        <f>396/439</f>
        <v>0.90205011389521639</v>
      </c>
      <c r="AH23" s="106">
        <f>17/439</f>
        <v>3.8724373576309798E-2</v>
      </c>
      <c r="AI23" s="106">
        <f>43/439</f>
        <v>9.7949886104783598E-2</v>
      </c>
      <c r="AJ23" s="105">
        <v>0.53986332574031892</v>
      </c>
      <c r="AK23" s="105">
        <v>5.0000000000000001E-3</v>
      </c>
      <c r="AL23" s="12">
        <v>69</v>
      </c>
      <c r="AM23" s="12">
        <v>67</v>
      </c>
      <c r="AN23" s="12">
        <v>6</v>
      </c>
      <c r="AO23" s="12">
        <v>71</v>
      </c>
      <c r="AP23" s="12">
        <v>59</v>
      </c>
      <c r="AQ23" s="12">
        <v>53</v>
      </c>
      <c r="AR23" s="12">
        <v>49</v>
      </c>
      <c r="AS23" s="59">
        <v>7.792207792207792E-2</v>
      </c>
      <c r="AT23" s="12">
        <v>6</v>
      </c>
      <c r="AU23" s="3">
        <v>6</v>
      </c>
      <c r="AV23" s="54">
        <v>73.622047244094489</v>
      </c>
      <c r="AW23" s="54">
        <v>22.047244094488189</v>
      </c>
      <c r="AX23" s="54">
        <v>4.3307086614173231</v>
      </c>
      <c r="AY23" s="68">
        <v>0</v>
      </c>
      <c r="AZ23" s="59">
        <v>0.15450643776824036</v>
      </c>
      <c r="BA23" s="59">
        <v>6.2231759656652362E-2</v>
      </c>
      <c r="BB23" s="77">
        <v>94.736441106098894</v>
      </c>
      <c r="BC23" s="49">
        <v>24.3070362473348</v>
      </c>
      <c r="BD23" s="93">
        <v>0</v>
      </c>
      <c r="BE23" s="93">
        <v>0</v>
      </c>
      <c r="BF23" s="49">
        <v>1.4</v>
      </c>
      <c r="BG23" s="49">
        <v>3.7</v>
      </c>
      <c r="BH23" s="49">
        <v>0</v>
      </c>
      <c r="BI23" s="49">
        <v>0</v>
      </c>
      <c r="BJ23" s="85">
        <v>21.5</v>
      </c>
      <c r="BK23" s="126">
        <v>11553</v>
      </c>
      <c r="BL23" s="126">
        <v>55691</v>
      </c>
      <c r="BM23" s="126">
        <v>39948</v>
      </c>
      <c r="BN23" s="126">
        <v>42864</v>
      </c>
      <c r="BO23" s="102">
        <v>0</v>
      </c>
      <c r="BP23" s="59">
        <v>0.31159999999999999</v>
      </c>
      <c r="BQ23" s="59">
        <v>0.20499999999999999</v>
      </c>
      <c r="BR23" s="59">
        <v>0</v>
      </c>
      <c r="BS23" s="59">
        <v>0</v>
      </c>
      <c r="BT23" s="138">
        <v>15.3</v>
      </c>
      <c r="BU23" s="59">
        <f t="shared" si="2"/>
        <v>0.51659999999999995</v>
      </c>
      <c r="BV23" s="59">
        <v>5.3600000000000002E-2</v>
      </c>
      <c r="BW23" s="59">
        <v>0</v>
      </c>
      <c r="BX23" s="59">
        <v>3.7199999999999997E-2</v>
      </c>
      <c r="BY23" s="59">
        <v>0</v>
      </c>
      <c r="BZ23" s="59">
        <v>0</v>
      </c>
      <c r="CA23" s="138">
        <v>8.8000000000000007</v>
      </c>
      <c r="CB23" s="59">
        <f t="shared" si="3"/>
        <v>9.0799999999999992E-2</v>
      </c>
      <c r="CC23" s="59">
        <v>0.35709999999999997</v>
      </c>
      <c r="CD23" s="125">
        <v>0.35849999999999999</v>
      </c>
      <c r="CE23" s="125">
        <v>0.28439999999999999</v>
      </c>
      <c r="CF23" s="125">
        <v>0</v>
      </c>
      <c r="CG23" s="125">
        <v>0</v>
      </c>
      <c r="CH23" s="85">
        <v>12.3</v>
      </c>
      <c r="CI23" s="39" t="s">
        <v>109</v>
      </c>
      <c r="CJ23" s="18" t="s">
        <v>80</v>
      </c>
      <c r="CK23" s="20"/>
    </row>
    <row r="24" spans="1:89" x14ac:dyDescent="0.25">
      <c r="A24" s="18" t="s">
        <v>80</v>
      </c>
      <c r="B24" s="19" t="s">
        <v>107</v>
      </c>
      <c r="C24" s="39" t="s">
        <v>110</v>
      </c>
      <c r="D24" s="40">
        <v>0</v>
      </c>
      <c r="E24" s="40">
        <v>0</v>
      </c>
      <c r="F24" s="40">
        <v>0</v>
      </c>
      <c r="G24" s="163">
        <v>0</v>
      </c>
      <c r="H24" s="163">
        <v>0</v>
      </c>
      <c r="I24" s="163">
        <v>0</v>
      </c>
      <c r="J24" s="163">
        <v>0</v>
      </c>
      <c r="K24" s="163">
        <v>0</v>
      </c>
      <c r="L24" s="163">
        <v>0</v>
      </c>
      <c r="M24" s="163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40">
        <v>463</v>
      </c>
      <c r="X24" s="40">
        <f t="shared" si="0"/>
        <v>137</v>
      </c>
      <c r="Y24" s="40">
        <f t="shared" si="1"/>
        <v>210</v>
      </c>
      <c r="Z24" s="105">
        <v>0.46700000000000003</v>
      </c>
      <c r="AA24" s="105">
        <v>0.53400000000000003</v>
      </c>
      <c r="AB24" s="106">
        <f>2/463</f>
        <v>4.3196544276457886E-3</v>
      </c>
      <c r="AC24" s="106">
        <f>3/463</f>
        <v>6.4794816414686825E-3</v>
      </c>
      <c r="AD24" s="106">
        <f>39/463</f>
        <v>8.4233261339092869E-2</v>
      </c>
      <c r="AE24" s="106">
        <f>12/463</f>
        <v>2.591792656587473E-2</v>
      </c>
      <c r="AF24" s="106">
        <v>0</v>
      </c>
      <c r="AG24" s="106">
        <f>398/463</f>
        <v>0.85961123110151183</v>
      </c>
      <c r="AH24" s="106">
        <f>9/463</f>
        <v>1.9438444924406047E-2</v>
      </c>
      <c r="AI24" s="106">
        <f>65/463</f>
        <v>0.14038876889848811</v>
      </c>
      <c r="AJ24" s="105">
        <v>0.5745140388768899</v>
      </c>
      <c r="AK24" s="105">
        <v>0</v>
      </c>
      <c r="AL24" s="12">
        <v>29</v>
      </c>
      <c r="AM24" s="12">
        <v>44</v>
      </c>
      <c r="AN24" s="12">
        <v>2</v>
      </c>
      <c r="AO24" s="12">
        <v>28</v>
      </c>
      <c r="AP24" s="12">
        <v>33</v>
      </c>
      <c r="AQ24" s="12">
        <v>40</v>
      </c>
      <c r="AR24" s="12">
        <v>34</v>
      </c>
      <c r="AS24" s="59">
        <v>6.6666666666666666E-2</v>
      </c>
      <c r="AT24" s="12">
        <v>1</v>
      </c>
      <c r="AU24" s="3">
        <v>6</v>
      </c>
      <c r="AV24" s="54">
        <v>92.024539877300612</v>
      </c>
      <c r="AW24" s="54">
        <v>5.8282208588957047</v>
      </c>
      <c r="AX24" s="54">
        <v>2.147239263803681</v>
      </c>
      <c r="AY24" s="68">
        <v>0</v>
      </c>
      <c r="AZ24" s="59">
        <v>0.16536964980544747</v>
      </c>
      <c r="BA24" s="59">
        <v>7.7821011673151752E-2</v>
      </c>
      <c r="BB24" s="76">
        <v>94.125458271411404</v>
      </c>
      <c r="BC24" s="49">
        <v>45.508982035928099</v>
      </c>
      <c r="BD24" s="93">
        <v>0</v>
      </c>
      <c r="BE24" s="93">
        <v>0</v>
      </c>
      <c r="BF24" s="49">
        <v>0</v>
      </c>
      <c r="BG24" s="49">
        <v>2.9</v>
      </c>
      <c r="BH24" s="49">
        <v>0</v>
      </c>
      <c r="BI24" s="49">
        <v>0</v>
      </c>
      <c r="BJ24" s="85">
        <v>19.2</v>
      </c>
      <c r="BK24" s="126">
        <v>12756</v>
      </c>
      <c r="BL24" s="126">
        <v>51381</v>
      </c>
      <c r="BM24" s="126">
        <v>41419</v>
      </c>
      <c r="BN24" s="126">
        <v>39599</v>
      </c>
      <c r="BO24" s="102">
        <v>0</v>
      </c>
      <c r="BP24" s="59">
        <v>0.39329999999999998</v>
      </c>
      <c r="BQ24" s="59">
        <v>0.1167</v>
      </c>
      <c r="BR24" s="59">
        <v>2.81E-2</v>
      </c>
      <c r="BS24" s="59">
        <v>0</v>
      </c>
      <c r="BT24" s="138">
        <v>13.5</v>
      </c>
      <c r="BU24" s="59">
        <f t="shared" si="2"/>
        <v>0.53810000000000002</v>
      </c>
      <c r="BV24" s="59">
        <v>3.9699999999999999E-2</v>
      </c>
      <c r="BW24" s="59">
        <v>0</v>
      </c>
      <c r="BX24" s="59">
        <v>2.5899999999999999E-2</v>
      </c>
      <c r="BY24" s="59">
        <v>0</v>
      </c>
      <c r="BZ24" s="59">
        <v>0</v>
      </c>
      <c r="CA24" s="138">
        <v>8.1</v>
      </c>
      <c r="CB24" s="59">
        <f t="shared" si="3"/>
        <v>6.5599999999999992E-2</v>
      </c>
      <c r="CC24" s="59">
        <v>0.3508</v>
      </c>
      <c r="CD24" s="125">
        <v>0.43640000000000001</v>
      </c>
      <c r="CE24" s="125">
        <v>0.1714</v>
      </c>
      <c r="CF24" s="125">
        <v>4.1500000000000002E-2</v>
      </c>
      <c r="CG24" s="125">
        <v>0</v>
      </c>
      <c r="CH24" s="85">
        <v>11.8</v>
      </c>
      <c r="CI24" s="39" t="s">
        <v>110</v>
      </c>
      <c r="CJ24" s="18" t="s">
        <v>80</v>
      </c>
      <c r="CK24" s="20"/>
    </row>
    <row r="25" spans="1:89" x14ac:dyDescent="0.25">
      <c r="A25" s="18" t="s">
        <v>80</v>
      </c>
      <c r="B25" s="19" t="s">
        <v>107</v>
      </c>
      <c r="C25" s="39" t="s">
        <v>111</v>
      </c>
      <c r="D25" s="40">
        <v>2</v>
      </c>
      <c r="E25" s="40">
        <v>0</v>
      </c>
      <c r="F25" s="40">
        <v>2</v>
      </c>
      <c r="G25" s="163">
        <v>0</v>
      </c>
      <c r="H25" s="163">
        <v>0</v>
      </c>
      <c r="I25" s="166">
        <v>1</v>
      </c>
      <c r="J25" s="163">
        <v>0</v>
      </c>
      <c r="K25" s="163">
        <v>0</v>
      </c>
      <c r="L25" s="163">
        <v>0</v>
      </c>
      <c r="M25" s="166">
        <v>1</v>
      </c>
      <c r="N25" s="119">
        <v>1.27388535031847E-2</v>
      </c>
      <c r="O25" s="119">
        <v>1.9230769230769201E-2</v>
      </c>
      <c r="P25" s="115">
        <v>0</v>
      </c>
      <c r="Q25" s="115">
        <v>0</v>
      </c>
      <c r="R25" s="119">
        <v>0.25</v>
      </c>
      <c r="S25" s="115">
        <v>0</v>
      </c>
      <c r="T25" s="115">
        <v>0</v>
      </c>
      <c r="U25" s="115">
        <v>0</v>
      </c>
      <c r="V25" s="119">
        <v>3.7037037037037E-2</v>
      </c>
      <c r="W25" s="40">
        <v>365</v>
      </c>
      <c r="X25" s="40">
        <f t="shared" si="0"/>
        <v>93</v>
      </c>
      <c r="Y25" s="40">
        <f t="shared" si="1"/>
        <v>143</v>
      </c>
      <c r="Z25" s="105">
        <v>0.47399999999999998</v>
      </c>
      <c r="AA25" s="105">
        <v>0.52600000000000002</v>
      </c>
      <c r="AB25" s="106">
        <f>4/365</f>
        <v>1.0958904109589041E-2</v>
      </c>
      <c r="AC25" s="106">
        <v>0</v>
      </c>
      <c r="AD25" s="106">
        <f>2/365</f>
        <v>5.4794520547945206E-3</v>
      </c>
      <c r="AE25" s="106">
        <f>13/365</f>
        <v>3.5616438356164383E-2</v>
      </c>
      <c r="AF25" s="106">
        <v>0</v>
      </c>
      <c r="AG25" s="106">
        <f>342/365</f>
        <v>0.93698630136986305</v>
      </c>
      <c r="AH25" s="106">
        <f>4/365</f>
        <v>1.0958904109589041E-2</v>
      </c>
      <c r="AI25" s="106">
        <f>23/365</f>
        <v>6.3013698630136991E-2</v>
      </c>
      <c r="AJ25" s="105">
        <v>0.66027397260273968</v>
      </c>
      <c r="AK25" s="105">
        <v>0</v>
      </c>
      <c r="AL25" s="12">
        <v>24</v>
      </c>
      <c r="AM25" s="12">
        <v>26</v>
      </c>
      <c r="AN25" s="12">
        <v>3</v>
      </c>
      <c r="AO25" s="12">
        <v>30</v>
      </c>
      <c r="AP25" s="12">
        <v>19</v>
      </c>
      <c r="AQ25" s="12">
        <v>17</v>
      </c>
      <c r="AR25" s="12">
        <v>24</v>
      </c>
      <c r="AS25" s="59">
        <v>9.0909090909090912E-2</v>
      </c>
      <c r="AT25" s="12">
        <v>1</v>
      </c>
      <c r="AU25" s="3">
        <v>6</v>
      </c>
      <c r="AV25" s="54">
        <v>80.497925311203318</v>
      </c>
      <c r="AW25" s="54">
        <v>12.448132780082988</v>
      </c>
      <c r="AX25" s="54">
        <v>5.394190871369295</v>
      </c>
      <c r="AY25" s="68">
        <v>1.6597510373443984</v>
      </c>
      <c r="AZ25" s="59">
        <v>0.22871046228710462</v>
      </c>
      <c r="BA25" s="59">
        <v>0.10218978102189781</v>
      </c>
      <c r="BB25" s="77">
        <v>93.311171606248493</v>
      </c>
      <c r="BC25" s="49">
        <v>20.759493670886101</v>
      </c>
      <c r="BD25" s="93">
        <v>0</v>
      </c>
      <c r="BE25" s="93">
        <v>0</v>
      </c>
      <c r="BF25" s="49">
        <v>4.2</v>
      </c>
      <c r="BG25" s="49">
        <v>0</v>
      </c>
      <c r="BH25" s="49">
        <v>0</v>
      </c>
      <c r="BI25" s="49">
        <v>0</v>
      </c>
      <c r="BJ25" s="85">
        <v>19.8</v>
      </c>
      <c r="BK25" s="126">
        <v>12879</v>
      </c>
      <c r="BL25" s="126">
        <v>48500</v>
      </c>
      <c r="BM25" s="126">
        <v>44775</v>
      </c>
      <c r="BN25" s="126">
        <v>35984</v>
      </c>
      <c r="BO25" s="102">
        <v>0</v>
      </c>
      <c r="BP25" s="59">
        <v>0.36459999999999998</v>
      </c>
      <c r="BQ25" s="59">
        <v>0.13439999999999999</v>
      </c>
      <c r="BR25" s="59">
        <v>0</v>
      </c>
      <c r="BS25" s="59">
        <v>0</v>
      </c>
      <c r="BT25" s="138">
        <v>12.2</v>
      </c>
      <c r="BU25" s="59">
        <f t="shared" si="2"/>
        <v>0.499</v>
      </c>
      <c r="BV25" s="59">
        <v>3.1600000000000003E-2</v>
      </c>
      <c r="BW25" s="59">
        <v>0</v>
      </c>
      <c r="BX25" s="59">
        <v>2.6200000000000001E-2</v>
      </c>
      <c r="BY25" s="59">
        <v>0</v>
      </c>
      <c r="BZ25" s="59">
        <v>0</v>
      </c>
      <c r="CA25" s="138">
        <v>17.3</v>
      </c>
      <c r="CB25" s="59">
        <f t="shared" si="3"/>
        <v>5.7800000000000004E-2</v>
      </c>
      <c r="CC25" s="59">
        <v>0.42649999999999999</v>
      </c>
      <c r="CD25" s="125">
        <v>0.38009999999999999</v>
      </c>
      <c r="CE25" s="125">
        <v>0.19339999999999999</v>
      </c>
      <c r="CF25" s="125">
        <v>0</v>
      </c>
      <c r="CG25" s="125">
        <v>0</v>
      </c>
      <c r="CH25" s="85">
        <v>12</v>
      </c>
      <c r="CI25" s="39" t="s">
        <v>111</v>
      </c>
      <c r="CJ25" s="18" t="s">
        <v>80</v>
      </c>
      <c r="CK25" s="20"/>
    </row>
    <row r="26" spans="1:89" x14ac:dyDescent="0.25">
      <c r="A26" s="18" t="s">
        <v>80</v>
      </c>
      <c r="B26" s="19" t="s">
        <v>107</v>
      </c>
      <c r="C26" s="39" t="s">
        <v>112</v>
      </c>
      <c r="D26" s="40">
        <v>3</v>
      </c>
      <c r="E26" s="40">
        <v>0</v>
      </c>
      <c r="F26" s="40">
        <v>3</v>
      </c>
      <c r="G26" s="163">
        <v>0</v>
      </c>
      <c r="H26" s="163">
        <v>0</v>
      </c>
      <c r="I26" s="163">
        <v>0</v>
      </c>
      <c r="J26" s="163">
        <v>0</v>
      </c>
      <c r="K26" s="166">
        <v>2</v>
      </c>
      <c r="L26" s="163">
        <v>0</v>
      </c>
      <c r="M26" s="166">
        <v>1</v>
      </c>
      <c r="N26" s="119">
        <v>3.8022813688212902E-3</v>
      </c>
      <c r="O26" s="119">
        <v>5.8365758754863797E-3</v>
      </c>
      <c r="P26" s="115">
        <v>0</v>
      </c>
      <c r="Q26" s="115">
        <v>0</v>
      </c>
      <c r="R26" s="115">
        <v>0</v>
      </c>
      <c r="S26" s="115">
        <v>0</v>
      </c>
      <c r="T26" s="119">
        <v>1.35135135135135E-2</v>
      </c>
      <c r="U26" s="115">
        <v>0</v>
      </c>
      <c r="V26" s="119">
        <v>9.7087378640776708E-3</v>
      </c>
      <c r="W26" s="40">
        <v>740</v>
      </c>
      <c r="X26" s="40">
        <f t="shared" si="0"/>
        <v>481</v>
      </c>
      <c r="Y26" s="40">
        <f t="shared" si="1"/>
        <v>740</v>
      </c>
      <c r="Z26" s="105">
        <v>0.47399999999999998</v>
      </c>
      <c r="AA26" s="105">
        <v>0.52600000000000002</v>
      </c>
      <c r="AB26" s="106">
        <f>4/740</f>
        <v>5.4054054054054057E-3</v>
      </c>
      <c r="AC26" s="106">
        <f>2/740</f>
        <v>2.7027027027027029E-3</v>
      </c>
      <c r="AD26" s="106">
        <f>14/740</f>
        <v>1.891891891891892E-2</v>
      </c>
      <c r="AE26" s="106">
        <f>9/740</f>
        <v>1.2162162162162163E-2</v>
      </c>
      <c r="AF26" s="106">
        <v>0</v>
      </c>
      <c r="AG26" s="106">
        <f>704/740</f>
        <v>0.9513513513513514</v>
      </c>
      <c r="AH26" s="106">
        <f>7/740</f>
        <v>9.45945945945946E-3</v>
      </c>
      <c r="AI26" s="106">
        <f>36/740</f>
        <v>4.8648648648648651E-2</v>
      </c>
      <c r="AJ26" s="105">
        <v>0.50270270270270268</v>
      </c>
      <c r="AK26" s="105">
        <v>0</v>
      </c>
      <c r="AL26" s="12">
        <v>111</v>
      </c>
      <c r="AM26" s="12">
        <v>148</v>
      </c>
      <c r="AN26" s="12">
        <v>12</v>
      </c>
      <c r="AO26" s="12">
        <v>135</v>
      </c>
      <c r="AP26" s="12">
        <v>135</v>
      </c>
      <c r="AQ26" s="12">
        <v>100</v>
      </c>
      <c r="AR26" s="12">
        <v>99</v>
      </c>
      <c r="AS26" s="59">
        <v>8.1632653061224483E-2</v>
      </c>
      <c r="AT26" s="12">
        <v>7</v>
      </c>
      <c r="AU26" s="3">
        <v>6</v>
      </c>
      <c r="AV26" s="54">
        <v>65.688487584650119</v>
      </c>
      <c r="AW26" s="54">
        <v>18.735891647855528</v>
      </c>
      <c r="AX26" s="54">
        <v>14.672686230248308</v>
      </c>
      <c r="AY26" s="68">
        <v>0.90293453724604955</v>
      </c>
      <c r="AZ26" s="59">
        <v>0.16264294790343076</v>
      </c>
      <c r="BA26" s="59">
        <v>0.10927573062261753</v>
      </c>
      <c r="BB26" s="76">
        <v>93.972680353871098</v>
      </c>
      <c r="BC26" s="49">
        <v>37.218045112782001</v>
      </c>
      <c r="BD26" s="49">
        <v>1.9</v>
      </c>
      <c r="BE26" s="49">
        <v>0.7</v>
      </c>
      <c r="BF26" s="49">
        <v>1.5</v>
      </c>
      <c r="BG26" s="49">
        <v>0.8</v>
      </c>
      <c r="BH26" s="49">
        <v>1.9</v>
      </c>
      <c r="BI26" s="49">
        <v>2</v>
      </c>
      <c r="BJ26" s="85">
        <v>20.5</v>
      </c>
      <c r="BK26" s="126">
        <v>10520</v>
      </c>
      <c r="BL26" s="126">
        <v>52603</v>
      </c>
      <c r="BM26" s="126">
        <v>40976</v>
      </c>
      <c r="BN26" s="126">
        <v>38901</v>
      </c>
      <c r="BO26" s="102">
        <v>0</v>
      </c>
      <c r="BP26" s="59">
        <v>0.28460000000000002</v>
      </c>
      <c r="BQ26" s="59">
        <v>0.19359999999999999</v>
      </c>
      <c r="BR26" s="59">
        <v>0</v>
      </c>
      <c r="BS26" s="59">
        <v>0</v>
      </c>
      <c r="BT26" s="138">
        <v>13.7</v>
      </c>
      <c r="BU26" s="59">
        <f t="shared" si="2"/>
        <v>0.47820000000000001</v>
      </c>
      <c r="BV26" s="59">
        <v>3.4099999999999998E-2</v>
      </c>
      <c r="BW26" s="59">
        <v>1.14E-2</v>
      </c>
      <c r="BX26" s="59">
        <v>3.0200000000000001E-2</v>
      </c>
      <c r="BY26" s="59">
        <v>0</v>
      </c>
      <c r="BZ26" s="59">
        <v>0</v>
      </c>
      <c r="CA26" s="138">
        <v>12.6</v>
      </c>
      <c r="CB26" s="59">
        <f t="shared" si="3"/>
        <v>7.5700000000000003E-2</v>
      </c>
      <c r="CC26" s="59">
        <v>0.4264</v>
      </c>
      <c r="CD26" s="125">
        <v>0.32619999999999999</v>
      </c>
      <c r="CE26" s="125">
        <v>0.24740000000000001</v>
      </c>
      <c r="CF26" s="125">
        <v>0</v>
      </c>
      <c r="CG26" s="125">
        <v>0</v>
      </c>
      <c r="CH26" s="85">
        <v>12.6</v>
      </c>
      <c r="CI26" s="39" t="s">
        <v>112</v>
      </c>
      <c r="CJ26" s="18" t="s">
        <v>80</v>
      </c>
      <c r="CK26" s="20"/>
    </row>
    <row r="27" spans="1:89" x14ac:dyDescent="0.25">
      <c r="A27" s="18" t="s">
        <v>80</v>
      </c>
      <c r="B27" s="19" t="s">
        <v>113</v>
      </c>
      <c r="C27" s="39" t="s">
        <v>114</v>
      </c>
      <c r="D27" s="40">
        <v>1</v>
      </c>
      <c r="E27" s="40">
        <v>0</v>
      </c>
      <c r="F27" s="40">
        <v>1</v>
      </c>
      <c r="G27" s="163">
        <v>0</v>
      </c>
      <c r="H27" s="163">
        <v>0</v>
      </c>
      <c r="I27" s="162" t="s">
        <v>83</v>
      </c>
      <c r="J27" s="163">
        <v>0</v>
      </c>
      <c r="K27" s="163">
        <v>0</v>
      </c>
      <c r="L27" s="163">
        <v>0</v>
      </c>
      <c r="M27" s="166">
        <v>1</v>
      </c>
      <c r="N27" s="119">
        <v>3.66300366300366E-3</v>
      </c>
      <c r="O27" s="119">
        <v>6.3291139240506302E-3</v>
      </c>
      <c r="P27" s="115">
        <v>0</v>
      </c>
      <c r="Q27" s="115">
        <v>0</v>
      </c>
      <c r="R27" s="116" t="s">
        <v>83</v>
      </c>
      <c r="S27" s="115">
        <v>0</v>
      </c>
      <c r="T27" s="115">
        <v>0</v>
      </c>
      <c r="U27" s="115">
        <v>0</v>
      </c>
      <c r="V27" s="119">
        <v>3.3333333333333298E-2</v>
      </c>
      <c r="W27" s="40">
        <v>293</v>
      </c>
      <c r="X27" s="40">
        <f t="shared" si="0"/>
        <v>148</v>
      </c>
      <c r="Y27" s="40">
        <f t="shared" si="1"/>
        <v>257</v>
      </c>
      <c r="Z27" s="105">
        <v>0.495</v>
      </c>
      <c r="AA27" s="105">
        <v>0.505</v>
      </c>
      <c r="AB27" s="106">
        <v>0</v>
      </c>
      <c r="AC27" s="106">
        <v>0</v>
      </c>
      <c r="AD27" s="106">
        <f>270/293</f>
        <v>0.92150170648464169</v>
      </c>
      <c r="AE27" s="106">
        <f>3/293</f>
        <v>1.0238907849829351E-2</v>
      </c>
      <c r="AF27" s="106">
        <v>0</v>
      </c>
      <c r="AG27" s="106">
        <f>20/293</f>
        <v>6.8259385665529013E-2</v>
      </c>
      <c r="AH27" s="106">
        <v>0</v>
      </c>
      <c r="AI27" s="106">
        <f>273/293</f>
        <v>0.93174061433447097</v>
      </c>
      <c r="AJ27" s="105">
        <v>0.87713310580204773</v>
      </c>
      <c r="AK27" s="105">
        <v>7.0000000000000001E-3</v>
      </c>
      <c r="AL27" s="12">
        <v>67</v>
      </c>
      <c r="AM27" s="12">
        <v>42</v>
      </c>
      <c r="AN27" s="12">
        <v>0</v>
      </c>
      <c r="AO27" s="12">
        <v>38</v>
      </c>
      <c r="AP27" s="12">
        <v>42</v>
      </c>
      <c r="AQ27" s="12">
        <v>42</v>
      </c>
      <c r="AR27" s="12">
        <v>26</v>
      </c>
      <c r="AS27" s="59">
        <v>0</v>
      </c>
      <c r="AT27" s="12">
        <v>6</v>
      </c>
      <c r="AU27" s="3">
        <v>6</v>
      </c>
      <c r="AV27" s="54">
        <v>82.575757575757578</v>
      </c>
      <c r="AW27" s="54">
        <v>14.393939393939394</v>
      </c>
      <c r="AX27" s="54">
        <v>1.5151515151515151</v>
      </c>
      <c r="AY27" s="68">
        <v>1.5151515151515151</v>
      </c>
      <c r="AZ27" s="59">
        <v>6.0509554140127389E-2</v>
      </c>
      <c r="BA27" s="59">
        <v>0.11464968152866242</v>
      </c>
      <c r="BB27" s="77">
        <v>94.914572942960604</v>
      </c>
      <c r="BC27" s="49">
        <v>28.6624203821656</v>
      </c>
      <c r="BD27" s="49">
        <v>21.2</v>
      </c>
      <c r="BE27" s="49">
        <v>4.9000000000000004</v>
      </c>
      <c r="BF27" s="49">
        <v>0</v>
      </c>
      <c r="BG27" s="49">
        <v>0</v>
      </c>
      <c r="BH27" s="49">
        <v>0</v>
      </c>
      <c r="BI27" s="49">
        <v>0</v>
      </c>
      <c r="BJ27" s="85">
        <v>19.399999999999999</v>
      </c>
      <c r="BK27" s="126">
        <v>18903</v>
      </c>
      <c r="BL27" s="126">
        <v>56149</v>
      </c>
      <c r="BM27" s="126">
        <v>62378</v>
      </c>
      <c r="BN27" s="126">
        <v>47744</v>
      </c>
      <c r="BO27" s="102">
        <v>0</v>
      </c>
      <c r="BP27" s="59">
        <v>0.16889999999999999</v>
      </c>
      <c r="BQ27" s="59">
        <v>0.25690000000000002</v>
      </c>
      <c r="BR27" s="59">
        <v>0</v>
      </c>
      <c r="BS27" s="59">
        <v>0</v>
      </c>
      <c r="BT27" s="138">
        <v>15.9</v>
      </c>
      <c r="BU27" s="59">
        <f t="shared" si="2"/>
        <v>0.42580000000000001</v>
      </c>
      <c r="BV27" s="59">
        <v>0</v>
      </c>
      <c r="BW27" s="59">
        <v>1.7000000000000001E-2</v>
      </c>
      <c r="BX27" s="59">
        <v>3.3399999999999999E-2</v>
      </c>
      <c r="BY27" s="59">
        <v>0</v>
      </c>
      <c r="BZ27" s="59">
        <v>0</v>
      </c>
      <c r="CA27" s="138">
        <v>19.600000000000001</v>
      </c>
      <c r="CB27" s="59">
        <f t="shared" si="3"/>
        <v>5.04E-2</v>
      </c>
      <c r="CC27" s="59">
        <v>0.31929999999999997</v>
      </c>
      <c r="CD27" s="125">
        <v>0.25409999999999999</v>
      </c>
      <c r="CE27" s="125">
        <v>0.39250000000000002</v>
      </c>
      <c r="CF27" s="125">
        <v>3.4099999999999998E-2</v>
      </c>
      <c r="CG27" s="125">
        <v>0</v>
      </c>
      <c r="CH27" s="85">
        <v>15.9</v>
      </c>
      <c r="CI27" s="39" t="s">
        <v>114</v>
      </c>
      <c r="CJ27" s="18" t="s">
        <v>80</v>
      </c>
      <c r="CK27" s="20"/>
    </row>
    <row r="28" spans="1:89" x14ac:dyDescent="0.25">
      <c r="A28" s="18" t="s">
        <v>80</v>
      </c>
      <c r="B28" s="19" t="s">
        <v>113</v>
      </c>
      <c r="C28" s="39" t="s">
        <v>115</v>
      </c>
      <c r="D28" s="40">
        <v>0</v>
      </c>
      <c r="E28" s="40">
        <v>0</v>
      </c>
      <c r="F28" s="40">
        <v>0</v>
      </c>
      <c r="G28" s="163">
        <v>0</v>
      </c>
      <c r="H28" s="163">
        <v>0</v>
      </c>
      <c r="I28" s="162" t="s">
        <v>83</v>
      </c>
      <c r="J28" s="163">
        <v>0</v>
      </c>
      <c r="K28" s="163">
        <v>0</v>
      </c>
      <c r="L28" s="162" t="s">
        <v>83</v>
      </c>
      <c r="M28" s="163">
        <v>0</v>
      </c>
      <c r="N28" s="115">
        <v>0</v>
      </c>
      <c r="O28" s="115">
        <v>0</v>
      </c>
      <c r="P28" s="115">
        <v>0</v>
      </c>
      <c r="Q28" s="115">
        <v>0</v>
      </c>
      <c r="R28" s="116" t="s">
        <v>83</v>
      </c>
      <c r="S28" s="115">
        <v>0</v>
      </c>
      <c r="T28" s="115">
        <v>0</v>
      </c>
      <c r="U28" s="116" t="s">
        <v>83</v>
      </c>
      <c r="V28" s="115">
        <v>0</v>
      </c>
      <c r="W28" s="40">
        <v>62</v>
      </c>
      <c r="X28" s="40">
        <f t="shared" si="0"/>
        <v>6</v>
      </c>
      <c r="Y28" s="40">
        <f t="shared" si="1"/>
        <v>8</v>
      </c>
      <c r="Z28" s="105">
        <v>0.33900000000000002</v>
      </c>
      <c r="AA28" s="105">
        <v>0.66100000000000003</v>
      </c>
      <c r="AB28" s="106">
        <v>0</v>
      </c>
      <c r="AC28" s="106">
        <v>0</v>
      </c>
      <c r="AD28" s="106">
        <f>36/62</f>
        <v>0.58064516129032262</v>
      </c>
      <c r="AE28" s="106">
        <v>0</v>
      </c>
      <c r="AF28" s="106">
        <v>0</v>
      </c>
      <c r="AG28" s="106">
        <f>24/62</f>
        <v>0.38709677419354838</v>
      </c>
      <c r="AH28" s="106">
        <f>2/62</f>
        <v>3.2258064516129031E-2</v>
      </c>
      <c r="AI28" s="106">
        <f>38/62</f>
        <v>0.61290322580645162</v>
      </c>
      <c r="AJ28" s="105">
        <v>0.90322580645161288</v>
      </c>
      <c r="AK28" s="105">
        <v>0</v>
      </c>
      <c r="AL28" s="12">
        <v>1</v>
      </c>
      <c r="AM28" s="12">
        <v>1</v>
      </c>
      <c r="AN28" s="12">
        <v>0</v>
      </c>
      <c r="AO28" s="12">
        <v>1</v>
      </c>
      <c r="AP28" s="12">
        <v>2</v>
      </c>
      <c r="AQ28" s="12">
        <v>0</v>
      </c>
      <c r="AR28" s="12">
        <v>3</v>
      </c>
      <c r="AS28" s="59">
        <v>0</v>
      </c>
      <c r="AT28" s="12">
        <v>1</v>
      </c>
      <c r="AU28" s="3">
        <v>6</v>
      </c>
      <c r="AV28" s="54">
        <v>100</v>
      </c>
      <c r="AW28" s="54">
        <v>0</v>
      </c>
      <c r="AX28" s="54">
        <v>0</v>
      </c>
      <c r="AY28" s="68">
        <v>0</v>
      </c>
      <c r="AZ28" s="59">
        <v>0</v>
      </c>
      <c r="BA28" s="59">
        <v>8.3333333333333245E-3</v>
      </c>
      <c r="BB28" s="76">
        <v>88.840377263367799</v>
      </c>
      <c r="BC28" s="84"/>
      <c r="BD28" s="90" t="s">
        <v>83</v>
      </c>
      <c r="BE28" s="93">
        <v>0</v>
      </c>
      <c r="BF28" s="49">
        <v>0</v>
      </c>
      <c r="BG28" s="49">
        <v>0</v>
      </c>
      <c r="BH28" s="49">
        <v>0</v>
      </c>
      <c r="BI28" s="49">
        <v>33.299999999999997</v>
      </c>
      <c r="BJ28" s="3"/>
      <c r="BK28" s="126">
        <v>43635</v>
      </c>
      <c r="BL28" s="126">
        <v>55936</v>
      </c>
      <c r="BM28" s="126">
        <v>26982</v>
      </c>
      <c r="BN28" s="126">
        <v>33107</v>
      </c>
      <c r="BO28" s="102">
        <v>0</v>
      </c>
      <c r="BP28" s="59">
        <v>6.3600000000000004E-2</v>
      </c>
      <c r="BQ28" s="59">
        <v>0.159</v>
      </c>
      <c r="BR28" s="59">
        <v>0</v>
      </c>
      <c r="BS28" s="59">
        <v>0</v>
      </c>
      <c r="BT28" s="138">
        <v>16.3</v>
      </c>
      <c r="BU28" s="59">
        <f t="shared" si="2"/>
        <v>0.22260000000000002</v>
      </c>
      <c r="BV28" s="59">
        <v>0</v>
      </c>
      <c r="BW28" s="59">
        <v>3.1800000000000002E-2</v>
      </c>
      <c r="BX28" s="59">
        <v>3.1800000000000002E-2</v>
      </c>
      <c r="BY28" s="59">
        <v>0</v>
      </c>
      <c r="BZ28" s="59">
        <v>0</v>
      </c>
      <c r="CA28" s="138">
        <v>25</v>
      </c>
      <c r="CB28" s="59">
        <f t="shared" si="3"/>
        <v>6.3600000000000004E-2</v>
      </c>
      <c r="CC28" s="59">
        <v>0.63370000000000004</v>
      </c>
      <c r="CD28" s="59">
        <v>0.12809999999999999</v>
      </c>
      <c r="CE28" s="59">
        <v>0.2382</v>
      </c>
      <c r="CF28" s="59">
        <v>0</v>
      </c>
      <c r="CG28" s="59">
        <v>0</v>
      </c>
      <c r="CH28" s="3">
        <v>13.9</v>
      </c>
      <c r="CI28" s="39" t="s">
        <v>115</v>
      </c>
      <c r="CJ28" s="18" t="s">
        <v>80</v>
      </c>
      <c r="CK28" s="20"/>
    </row>
    <row r="29" spans="1:89" x14ac:dyDescent="0.25">
      <c r="A29" s="18" t="s">
        <v>80</v>
      </c>
      <c r="B29" s="19" t="s">
        <v>113</v>
      </c>
      <c r="C29" s="39" t="s">
        <v>116</v>
      </c>
      <c r="D29" s="40">
        <v>8</v>
      </c>
      <c r="E29" s="40">
        <v>4</v>
      </c>
      <c r="F29" s="40">
        <v>4</v>
      </c>
      <c r="G29" s="166">
        <v>0</v>
      </c>
      <c r="H29" s="166">
        <v>4</v>
      </c>
      <c r="I29" s="163">
        <v>0</v>
      </c>
      <c r="J29" s="166">
        <v>2</v>
      </c>
      <c r="K29" s="166">
        <v>0</v>
      </c>
      <c r="L29" s="166">
        <v>2</v>
      </c>
      <c r="M29" s="166">
        <v>0</v>
      </c>
      <c r="N29" s="119">
        <v>3.0888030888030899E-2</v>
      </c>
      <c r="O29" s="119">
        <v>2.4691358024691398E-2</v>
      </c>
      <c r="P29" s="119">
        <v>0</v>
      </c>
      <c r="Q29" s="119">
        <v>6.6666666666666693E-2</v>
      </c>
      <c r="R29" s="115">
        <v>0</v>
      </c>
      <c r="S29" s="119">
        <v>4.5454545454545497E-2</v>
      </c>
      <c r="T29" s="119">
        <v>0</v>
      </c>
      <c r="U29" s="119">
        <v>4.7619047619047603E-2</v>
      </c>
      <c r="V29" s="119">
        <v>0</v>
      </c>
      <c r="W29" s="40">
        <v>545</v>
      </c>
      <c r="X29" s="40">
        <f t="shared" si="0"/>
        <v>144</v>
      </c>
      <c r="Y29" s="40">
        <f t="shared" si="1"/>
        <v>232</v>
      </c>
      <c r="Z29" s="105">
        <v>0.52100000000000002</v>
      </c>
      <c r="AA29" s="105">
        <v>0.47899999999999998</v>
      </c>
      <c r="AB29" s="106">
        <f>1/545</f>
        <v>1.834862385321101E-3</v>
      </c>
      <c r="AC29" s="106">
        <f>2/545</f>
        <v>3.669724770642202E-3</v>
      </c>
      <c r="AD29" s="106">
        <f>43/545</f>
        <v>7.8899082568807344E-2</v>
      </c>
      <c r="AE29" s="106">
        <f>4/545</f>
        <v>7.3394495412844041E-3</v>
      </c>
      <c r="AF29" s="106">
        <v>0</v>
      </c>
      <c r="AG29" s="106">
        <f>491/545</f>
        <v>0.90091743119266054</v>
      </c>
      <c r="AH29" s="106">
        <f>4/545</f>
        <v>7.3394495412844041E-3</v>
      </c>
      <c r="AI29" s="106">
        <f>54/545</f>
        <v>9.9082568807339455E-2</v>
      </c>
      <c r="AJ29" s="105">
        <v>0.58899082568807337</v>
      </c>
      <c r="AK29" s="105">
        <v>0</v>
      </c>
      <c r="AL29" s="12">
        <v>33</v>
      </c>
      <c r="AM29" s="12">
        <v>55</v>
      </c>
      <c r="AN29" s="12">
        <v>1</v>
      </c>
      <c r="AO29" s="12">
        <v>40</v>
      </c>
      <c r="AP29" s="12">
        <v>32</v>
      </c>
      <c r="AQ29" s="12">
        <v>31</v>
      </c>
      <c r="AR29" s="12">
        <v>40</v>
      </c>
      <c r="AS29" s="59">
        <v>2.4390243902439025E-2</v>
      </c>
      <c r="AT29" s="12">
        <v>1</v>
      </c>
      <c r="AU29" s="3">
        <v>6</v>
      </c>
      <c r="AV29" s="54">
        <v>93.877551020408163</v>
      </c>
      <c r="AW29" s="54">
        <v>4.0816326530612246</v>
      </c>
      <c r="AX29" s="54">
        <v>1.3605442176870748</v>
      </c>
      <c r="AY29" s="68">
        <v>0.68027210884353739</v>
      </c>
      <c r="AZ29" s="59">
        <v>1.302997186946175E-2</v>
      </c>
      <c r="BA29" s="59">
        <v>0.05</v>
      </c>
      <c r="BB29" s="77">
        <v>93.736933856626194</v>
      </c>
      <c r="BC29" s="49">
        <v>30.088495575221199</v>
      </c>
      <c r="BD29" s="93">
        <v>0</v>
      </c>
      <c r="BE29" s="93">
        <v>0</v>
      </c>
      <c r="BF29" s="49">
        <v>5.4</v>
      </c>
      <c r="BG29" s="49">
        <v>0</v>
      </c>
      <c r="BH29" s="49">
        <v>2.8</v>
      </c>
      <c r="BI29" s="49">
        <v>0</v>
      </c>
      <c r="BJ29" s="85">
        <v>20.7</v>
      </c>
      <c r="BK29" s="126">
        <v>13628</v>
      </c>
      <c r="BL29" s="126">
        <v>51939</v>
      </c>
      <c r="BM29" s="126">
        <v>27641</v>
      </c>
      <c r="BN29" s="126">
        <v>42867</v>
      </c>
      <c r="BO29" s="102">
        <v>2.1700000000000001E-2</v>
      </c>
      <c r="BP29" s="59">
        <v>0.42170000000000002</v>
      </c>
      <c r="BQ29" s="59">
        <v>0.1983</v>
      </c>
      <c r="BR29" s="59">
        <v>0</v>
      </c>
      <c r="BS29" s="59">
        <v>0</v>
      </c>
      <c r="BT29" s="138">
        <v>13.1</v>
      </c>
      <c r="BU29" s="59">
        <f t="shared" si="2"/>
        <v>0.64170000000000005</v>
      </c>
      <c r="BV29" s="59">
        <v>1.3299999999999999E-2</v>
      </c>
      <c r="BW29" s="59">
        <v>0</v>
      </c>
      <c r="BX29" s="59">
        <v>2.0000000000000001E-4</v>
      </c>
      <c r="BY29" s="59">
        <v>0</v>
      </c>
      <c r="BZ29" s="59">
        <v>1.3299999999999999E-2</v>
      </c>
      <c r="CA29" s="138">
        <v>23.1</v>
      </c>
      <c r="CB29" s="59">
        <f t="shared" si="3"/>
        <v>2.6799999999999997E-2</v>
      </c>
      <c r="CC29" s="59">
        <v>0.35010000000000002</v>
      </c>
      <c r="CD29" s="125">
        <v>0.43740000000000001</v>
      </c>
      <c r="CE29" s="125">
        <v>0.19919999999999999</v>
      </c>
      <c r="CF29" s="125">
        <v>0</v>
      </c>
      <c r="CG29" s="125">
        <v>1.3299999999999999E-2</v>
      </c>
      <c r="CH29" s="85">
        <v>12.4</v>
      </c>
      <c r="CI29" s="39" t="s">
        <v>116</v>
      </c>
      <c r="CJ29" s="18" t="s">
        <v>80</v>
      </c>
      <c r="CK29" s="20"/>
    </row>
    <row r="30" spans="1:89" x14ac:dyDescent="0.25">
      <c r="A30" s="18" t="s">
        <v>80</v>
      </c>
      <c r="B30" s="19" t="s">
        <v>113</v>
      </c>
      <c r="C30" s="39" t="s">
        <v>117</v>
      </c>
      <c r="D30" s="40">
        <v>2</v>
      </c>
      <c r="E30" s="40">
        <v>0</v>
      </c>
      <c r="F30" s="40">
        <v>2</v>
      </c>
      <c r="G30" s="166">
        <v>0</v>
      </c>
      <c r="H30" s="166">
        <v>0</v>
      </c>
      <c r="I30" s="166">
        <v>0</v>
      </c>
      <c r="J30" s="166">
        <v>0</v>
      </c>
      <c r="K30" s="166">
        <v>2</v>
      </c>
      <c r="L30" s="166">
        <v>0</v>
      </c>
      <c r="M30" s="166">
        <v>0</v>
      </c>
      <c r="N30" s="119">
        <v>2.04081632653061E-2</v>
      </c>
      <c r="O30" s="119">
        <v>2.8571428571428598E-2</v>
      </c>
      <c r="P30" s="119">
        <v>0</v>
      </c>
      <c r="Q30" s="119">
        <v>0</v>
      </c>
      <c r="R30" s="119">
        <v>0</v>
      </c>
      <c r="S30" s="119">
        <v>0</v>
      </c>
      <c r="T30" s="119">
        <v>0.133333333333333</v>
      </c>
      <c r="U30" s="119">
        <v>0</v>
      </c>
      <c r="V30" s="119">
        <v>0</v>
      </c>
      <c r="W30" s="40">
        <v>215</v>
      </c>
      <c r="X30" s="40">
        <f t="shared" si="0"/>
        <v>65</v>
      </c>
      <c r="Y30" s="40">
        <f t="shared" si="1"/>
        <v>91</v>
      </c>
      <c r="Z30" s="105">
        <v>0.46500000000000002</v>
      </c>
      <c r="AA30" s="105">
        <v>0.53500000000000003</v>
      </c>
      <c r="AB30" s="106">
        <v>0</v>
      </c>
      <c r="AC30" s="106">
        <v>0</v>
      </c>
      <c r="AD30" s="106">
        <f>185/215</f>
        <v>0.86046511627906974</v>
      </c>
      <c r="AE30" s="106">
        <f>5/215</f>
        <v>2.3255813953488372E-2</v>
      </c>
      <c r="AF30" s="106">
        <v>0</v>
      </c>
      <c r="AG30" s="106">
        <f>18/215</f>
        <v>8.3720930232558138E-2</v>
      </c>
      <c r="AH30" s="106">
        <f>7/215</f>
        <v>3.255813953488372E-2</v>
      </c>
      <c r="AI30" s="106">
        <f>197/215</f>
        <v>0.91627906976744189</v>
      </c>
      <c r="AJ30" s="105">
        <v>0.86046511627906974</v>
      </c>
      <c r="AK30" s="105">
        <v>0</v>
      </c>
      <c r="AL30" s="12">
        <v>14</v>
      </c>
      <c r="AM30" s="12">
        <v>12</v>
      </c>
      <c r="AN30" s="12">
        <v>2</v>
      </c>
      <c r="AO30" s="12">
        <v>17</v>
      </c>
      <c r="AP30" s="12">
        <v>12</v>
      </c>
      <c r="AQ30" s="12">
        <v>17</v>
      </c>
      <c r="AR30" s="12">
        <v>17</v>
      </c>
      <c r="AS30" s="59">
        <v>0.10526315789473684</v>
      </c>
      <c r="AT30" s="12">
        <v>1</v>
      </c>
      <c r="AU30" s="3">
        <v>6</v>
      </c>
      <c r="AV30" s="54">
        <v>91.2</v>
      </c>
      <c r="AW30" s="54">
        <v>8.7999999999999989</v>
      </c>
      <c r="AX30" s="54">
        <v>0</v>
      </c>
      <c r="AY30" s="68">
        <v>0</v>
      </c>
      <c r="AZ30" s="59">
        <v>1.4128034178872276E-2</v>
      </c>
      <c r="BA30" s="59">
        <v>7.5949367088607597E-2</v>
      </c>
      <c r="BB30" s="81">
        <v>96</v>
      </c>
      <c r="BC30" s="49">
        <v>17.721518987341799</v>
      </c>
      <c r="BD30" s="49">
        <v>14.3</v>
      </c>
      <c r="BE30" s="93">
        <v>0</v>
      </c>
      <c r="BF30" s="49">
        <v>0</v>
      </c>
      <c r="BG30" s="49">
        <v>0</v>
      </c>
      <c r="BH30" s="49">
        <v>0</v>
      </c>
      <c r="BI30" s="49">
        <v>0</v>
      </c>
      <c r="BJ30" s="85">
        <v>17.399999999999999</v>
      </c>
      <c r="BK30" s="126">
        <v>16764</v>
      </c>
      <c r="BL30" s="126">
        <v>55585</v>
      </c>
      <c r="BM30" s="126">
        <v>52644</v>
      </c>
      <c r="BN30" s="126">
        <v>43723</v>
      </c>
      <c r="BO30" s="102">
        <v>0</v>
      </c>
      <c r="BP30" s="59">
        <v>0.2467</v>
      </c>
      <c r="BQ30" s="59">
        <v>0.29580000000000001</v>
      </c>
      <c r="BR30" s="59">
        <v>0</v>
      </c>
      <c r="BS30" s="59">
        <v>0</v>
      </c>
      <c r="BT30" s="138">
        <v>16.399999999999999</v>
      </c>
      <c r="BU30" s="59">
        <f t="shared" si="2"/>
        <v>0.54249999999999998</v>
      </c>
      <c r="BV30" s="59">
        <v>0</v>
      </c>
      <c r="BW30" s="59">
        <v>0</v>
      </c>
      <c r="BX30" s="59">
        <v>4.9399999999999999E-2</v>
      </c>
      <c r="BY30" s="59">
        <v>0</v>
      </c>
      <c r="BZ30" s="59">
        <v>0</v>
      </c>
      <c r="CA30" s="138">
        <v>4.7</v>
      </c>
      <c r="CB30" s="59">
        <f t="shared" si="3"/>
        <v>4.9399999999999999E-2</v>
      </c>
      <c r="CC30" s="59">
        <v>0.34989999999999999</v>
      </c>
      <c r="CD30" s="125">
        <v>0.29609999999999997</v>
      </c>
      <c r="CE30" s="125">
        <v>0.35399999999999998</v>
      </c>
      <c r="CF30" s="125">
        <v>0</v>
      </c>
      <c r="CG30" s="125">
        <v>0</v>
      </c>
      <c r="CH30" s="85">
        <v>14.3</v>
      </c>
      <c r="CI30" s="39" t="s">
        <v>117</v>
      </c>
      <c r="CJ30" s="18" t="s">
        <v>80</v>
      </c>
      <c r="CK30" s="20"/>
    </row>
    <row r="31" spans="1:89" x14ac:dyDescent="0.25">
      <c r="A31" s="18" t="s">
        <v>80</v>
      </c>
      <c r="B31" s="19" t="s">
        <v>113</v>
      </c>
      <c r="C31" s="39" t="s">
        <v>118</v>
      </c>
      <c r="D31" s="40">
        <v>0</v>
      </c>
      <c r="E31" s="40">
        <v>0</v>
      </c>
      <c r="F31" s="40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15">
        <v>0</v>
      </c>
      <c r="O31" s="115">
        <v>0</v>
      </c>
      <c r="P31" s="115">
        <v>0</v>
      </c>
      <c r="Q31" s="115">
        <v>0</v>
      </c>
      <c r="R31" s="115">
        <v>0</v>
      </c>
      <c r="S31" s="115">
        <v>0</v>
      </c>
      <c r="T31" s="115">
        <v>0</v>
      </c>
      <c r="U31" s="115">
        <v>0</v>
      </c>
      <c r="V31" s="115">
        <v>0</v>
      </c>
      <c r="W31" s="40">
        <v>253</v>
      </c>
      <c r="X31" s="40">
        <f t="shared" si="0"/>
        <v>140</v>
      </c>
      <c r="Y31" s="40">
        <f t="shared" si="1"/>
        <v>213</v>
      </c>
      <c r="Z31" s="105">
        <v>0.46300000000000002</v>
      </c>
      <c r="AA31" s="105">
        <v>0.53800000000000003</v>
      </c>
      <c r="AB31" s="106">
        <f>1/253</f>
        <v>3.952569169960474E-3</v>
      </c>
      <c r="AC31" s="106">
        <v>0</v>
      </c>
      <c r="AD31" s="106">
        <f>145/253</f>
        <v>0.5731225296442688</v>
      </c>
      <c r="AE31" s="106">
        <v>0</v>
      </c>
      <c r="AF31" s="106">
        <v>0</v>
      </c>
      <c r="AG31" s="106">
        <f>102/253</f>
        <v>0.40316205533596838</v>
      </c>
      <c r="AH31" s="106">
        <f>5/253</f>
        <v>1.9762845849802372E-2</v>
      </c>
      <c r="AI31" s="106">
        <f>151/253</f>
        <v>0.59683794466403162</v>
      </c>
      <c r="AJ31" s="105">
        <v>0.83399209486166004</v>
      </c>
      <c r="AK31" s="105">
        <v>0</v>
      </c>
      <c r="AL31" s="12">
        <v>41</v>
      </c>
      <c r="AM31" s="12">
        <v>32</v>
      </c>
      <c r="AN31" s="12">
        <v>5</v>
      </c>
      <c r="AO31" s="12">
        <v>32</v>
      </c>
      <c r="AP31" s="12">
        <v>34</v>
      </c>
      <c r="AQ31" s="12">
        <v>37</v>
      </c>
      <c r="AR31" s="12">
        <v>32</v>
      </c>
      <c r="AS31" s="59">
        <v>0.13513513513513514</v>
      </c>
      <c r="AT31" s="12">
        <v>6</v>
      </c>
      <c r="AU31" s="3">
        <v>6</v>
      </c>
      <c r="AV31" s="54">
        <v>71.739130434782609</v>
      </c>
      <c r="AW31" s="54">
        <v>21.739130434782609</v>
      </c>
      <c r="AX31" s="54">
        <v>4.3478260869565215</v>
      </c>
      <c r="AY31" s="68">
        <v>2.1739130434782608</v>
      </c>
      <c r="AZ31" s="59">
        <v>4.4400635335887138E-2</v>
      </c>
      <c r="BA31" s="59">
        <v>6.1810476943120814E-2</v>
      </c>
      <c r="BB31" s="77">
        <v>93.798556592402605</v>
      </c>
      <c r="BC31" s="49">
        <v>32.846715328467198</v>
      </c>
      <c r="BD31" s="49">
        <v>2.8</v>
      </c>
      <c r="BE31" s="93">
        <v>0</v>
      </c>
      <c r="BF31" s="49">
        <v>0</v>
      </c>
      <c r="BG31" s="49">
        <v>0</v>
      </c>
      <c r="BH31" s="49">
        <v>0</v>
      </c>
      <c r="BI31" s="49">
        <v>0</v>
      </c>
      <c r="BJ31" s="85">
        <v>18.7</v>
      </c>
      <c r="BK31" s="126">
        <v>15498</v>
      </c>
      <c r="BL31" s="126">
        <v>57316</v>
      </c>
      <c r="BM31" s="126">
        <v>56061</v>
      </c>
      <c r="BN31" s="126">
        <v>41963</v>
      </c>
      <c r="BO31" s="102">
        <v>0</v>
      </c>
      <c r="BP31" s="59">
        <v>0.20860000000000001</v>
      </c>
      <c r="BQ31" s="59">
        <v>0.25230000000000002</v>
      </c>
      <c r="BR31" s="59">
        <v>0</v>
      </c>
      <c r="BS31" s="59">
        <v>0</v>
      </c>
      <c r="BT31" s="138">
        <v>12.4</v>
      </c>
      <c r="BU31" s="59">
        <f t="shared" si="2"/>
        <v>0.46090000000000003</v>
      </c>
      <c r="BV31" s="59">
        <v>2.3300000000000001E-2</v>
      </c>
      <c r="BW31" s="59">
        <v>0</v>
      </c>
      <c r="BX31" s="59">
        <v>2.3699999999999999E-2</v>
      </c>
      <c r="BY31" s="59">
        <v>0</v>
      </c>
      <c r="BZ31" s="59">
        <v>0</v>
      </c>
      <c r="CA31" s="138">
        <v>12</v>
      </c>
      <c r="CB31" s="59">
        <f t="shared" si="3"/>
        <v>4.7E-2</v>
      </c>
      <c r="CC31" s="59">
        <v>0.49209999999999998</v>
      </c>
      <c r="CD31" s="125">
        <v>0.2319</v>
      </c>
      <c r="CE31" s="125">
        <v>0.27610000000000001</v>
      </c>
      <c r="CF31" s="125">
        <v>0</v>
      </c>
      <c r="CG31" s="125">
        <v>0</v>
      </c>
      <c r="CH31" s="85">
        <v>11.5</v>
      </c>
      <c r="CI31" s="39" t="s">
        <v>118</v>
      </c>
      <c r="CJ31" s="18" t="s">
        <v>80</v>
      </c>
      <c r="CK31" s="20"/>
    </row>
    <row r="32" spans="1:89" x14ac:dyDescent="0.25">
      <c r="A32" s="18" t="s">
        <v>80</v>
      </c>
      <c r="B32" s="19" t="s">
        <v>113</v>
      </c>
      <c r="C32" s="39" t="s">
        <v>119</v>
      </c>
      <c r="D32" s="40">
        <v>2</v>
      </c>
      <c r="E32" s="40">
        <v>1</v>
      </c>
      <c r="F32" s="40">
        <v>1</v>
      </c>
      <c r="G32" s="166">
        <v>1</v>
      </c>
      <c r="H32" s="166">
        <v>0</v>
      </c>
      <c r="I32" s="162" t="s">
        <v>83</v>
      </c>
      <c r="J32" s="166">
        <v>0</v>
      </c>
      <c r="K32" s="166">
        <v>1</v>
      </c>
      <c r="L32" s="163">
        <v>0</v>
      </c>
      <c r="M32" s="163">
        <v>0</v>
      </c>
      <c r="N32" s="119">
        <v>1.19760479041916E-2</v>
      </c>
      <c r="O32" s="119">
        <v>0.01</v>
      </c>
      <c r="P32" s="119">
        <v>2.7777777777777801E-2</v>
      </c>
      <c r="Q32" s="119">
        <v>0</v>
      </c>
      <c r="R32" s="116" t="s">
        <v>83</v>
      </c>
      <c r="S32" s="119">
        <v>0</v>
      </c>
      <c r="T32" s="119">
        <v>3.7037037037037E-2</v>
      </c>
      <c r="U32" s="115">
        <v>0</v>
      </c>
      <c r="V32" s="115">
        <v>0</v>
      </c>
      <c r="W32" s="40">
        <v>348</v>
      </c>
      <c r="X32" s="40">
        <f t="shared" si="0"/>
        <v>90</v>
      </c>
      <c r="Y32" s="40">
        <f t="shared" si="1"/>
        <v>146</v>
      </c>
      <c r="Z32" s="105">
        <v>0.50900000000000001</v>
      </c>
      <c r="AA32" s="105">
        <v>0.49099999999999999</v>
      </c>
      <c r="AB32" s="106">
        <v>0</v>
      </c>
      <c r="AC32" s="106">
        <v>0</v>
      </c>
      <c r="AD32" s="106">
        <f>71/348</f>
        <v>0.20402298850574713</v>
      </c>
      <c r="AE32" s="106">
        <f>3/348</f>
        <v>8.6206896551724137E-3</v>
      </c>
      <c r="AF32" s="106">
        <v>0</v>
      </c>
      <c r="AG32" s="106">
        <f>272/348</f>
        <v>0.7816091954022989</v>
      </c>
      <c r="AH32" s="106">
        <f>2/348</f>
        <v>5.7471264367816091E-3</v>
      </c>
      <c r="AI32" s="106">
        <f>76/348</f>
        <v>0.21839080459770116</v>
      </c>
      <c r="AJ32" s="105">
        <v>0.54597701149425293</v>
      </c>
      <c r="AK32" s="105">
        <v>3.0000000000000001E-3</v>
      </c>
      <c r="AL32" s="12">
        <v>30</v>
      </c>
      <c r="AM32" s="12">
        <v>26</v>
      </c>
      <c r="AN32" s="12">
        <v>0</v>
      </c>
      <c r="AO32" s="12">
        <v>28</v>
      </c>
      <c r="AP32" s="12">
        <v>24</v>
      </c>
      <c r="AQ32" s="12">
        <v>25</v>
      </c>
      <c r="AR32" s="12">
        <v>13</v>
      </c>
      <c r="AS32" s="59">
        <v>0</v>
      </c>
      <c r="AT32" s="12">
        <v>1</v>
      </c>
      <c r="AU32" s="3">
        <v>6</v>
      </c>
      <c r="AV32" s="54">
        <v>83.78378378378379</v>
      </c>
      <c r="AW32" s="54">
        <v>8.6486486486486491</v>
      </c>
      <c r="AX32" s="54">
        <v>6.4864864864864868</v>
      </c>
      <c r="AY32" s="68">
        <v>1.0810810810810811</v>
      </c>
      <c r="AZ32" s="59">
        <v>6.9195011295728817E-2</v>
      </c>
      <c r="BA32" s="59">
        <v>9.932815656307558E-3</v>
      </c>
      <c r="BB32" s="76">
        <v>94.951927627583103</v>
      </c>
      <c r="BC32" s="49">
        <v>21.447028423772601</v>
      </c>
      <c r="BD32" s="93">
        <v>0</v>
      </c>
      <c r="BE32" s="93">
        <v>0</v>
      </c>
      <c r="BF32" s="49">
        <v>0</v>
      </c>
      <c r="BG32" s="49">
        <v>9.1</v>
      </c>
      <c r="BH32" s="49">
        <v>0</v>
      </c>
      <c r="BI32" s="49">
        <v>0</v>
      </c>
      <c r="BJ32" s="85">
        <v>20.7</v>
      </c>
      <c r="BK32" s="126">
        <v>13999</v>
      </c>
      <c r="BL32" s="126">
        <v>55795</v>
      </c>
      <c r="BM32" s="126">
        <v>59284</v>
      </c>
      <c r="BN32" s="126">
        <v>45098</v>
      </c>
      <c r="BO32" s="102">
        <v>0</v>
      </c>
      <c r="BP32" s="59">
        <v>0.42849999999999999</v>
      </c>
      <c r="BQ32" s="59">
        <v>0.16389999999999999</v>
      </c>
      <c r="BR32" s="59">
        <v>0</v>
      </c>
      <c r="BS32" s="59">
        <v>2.01E-2</v>
      </c>
      <c r="BT32" s="138">
        <v>18.2</v>
      </c>
      <c r="BU32" s="59">
        <f t="shared" si="2"/>
        <v>0.61250000000000004</v>
      </c>
      <c r="BV32" s="59">
        <v>2.0500000000000001E-2</v>
      </c>
      <c r="BW32" s="59">
        <v>0</v>
      </c>
      <c r="BX32" s="59">
        <v>2.0500000000000001E-2</v>
      </c>
      <c r="BY32" s="59">
        <v>0</v>
      </c>
      <c r="BZ32" s="59">
        <v>4.0000000000000002E-4</v>
      </c>
      <c r="CA32" s="138">
        <v>13.7</v>
      </c>
      <c r="CB32" s="59">
        <f t="shared" si="3"/>
        <v>4.1399999999999999E-2</v>
      </c>
      <c r="CC32" s="59">
        <v>0.34639999999999999</v>
      </c>
      <c r="CD32" s="125">
        <v>0.44869999999999999</v>
      </c>
      <c r="CE32" s="125">
        <v>0.18440000000000001</v>
      </c>
      <c r="CF32" s="125">
        <v>0</v>
      </c>
      <c r="CG32" s="125">
        <v>2.0500000000000001E-2</v>
      </c>
      <c r="CH32" s="85">
        <v>15.8</v>
      </c>
      <c r="CI32" s="39" t="s">
        <v>119</v>
      </c>
      <c r="CJ32" s="18" t="s">
        <v>80</v>
      </c>
      <c r="CK32" s="20"/>
    </row>
    <row r="33" spans="1:99" x14ac:dyDescent="0.25">
      <c r="A33" s="18" t="s">
        <v>80</v>
      </c>
      <c r="B33" s="19" t="s">
        <v>120</v>
      </c>
      <c r="C33" s="39" t="s">
        <v>121</v>
      </c>
      <c r="D33" s="40">
        <v>28</v>
      </c>
      <c r="E33" s="40">
        <v>0</v>
      </c>
      <c r="F33" s="40">
        <v>28</v>
      </c>
      <c r="G33" s="162" t="s">
        <v>83</v>
      </c>
      <c r="H33" s="166">
        <v>0</v>
      </c>
      <c r="I33" s="166">
        <v>0</v>
      </c>
      <c r="J33" s="166">
        <v>5</v>
      </c>
      <c r="K33" s="166">
        <v>9</v>
      </c>
      <c r="L33" s="166">
        <v>4</v>
      </c>
      <c r="M33" s="166">
        <v>10</v>
      </c>
      <c r="N33" s="119">
        <v>1.41129032258065E-2</v>
      </c>
      <c r="O33" s="119">
        <v>1.41557128412538E-2</v>
      </c>
      <c r="P33" s="116" t="s">
        <v>83</v>
      </c>
      <c r="Q33" s="119">
        <v>0</v>
      </c>
      <c r="R33" s="119">
        <v>0</v>
      </c>
      <c r="S33" s="119">
        <v>8.5178875638841599E-3</v>
      </c>
      <c r="T33" s="119">
        <v>1.7142857142857099E-2</v>
      </c>
      <c r="U33" s="119">
        <v>9.3240093240093205E-3</v>
      </c>
      <c r="V33" s="119">
        <v>2.4271844660194199E-2</v>
      </c>
      <c r="W33" s="40">
        <v>1834</v>
      </c>
      <c r="X33" s="40">
        <f t="shared" si="0"/>
        <v>1828</v>
      </c>
      <c r="Y33" s="40">
        <f t="shared" si="1"/>
        <v>1834</v>
      </c>
      <c r="Z33" s="105">
        <v>0.504</v>
      </c>
      <c r="AA33" s="105">
        <v>0.496</v>
      </c>
      <c r="AB33" s="106">
        <f>6/1834</f>
        <v>3.2715376226826608E-3</v>
      </c>
      <c r="AC33" s="106">
        <f>45/1834</f>
        <v>2.4536532170119956E-2</v>
      </c>
      <c r="AD33" s="106">
        <f>642/1834</f>
        <v>0.3500545256270447</v>
      </c>
      <c r="AE33" s="106">
        <f>112/1834</f>
        <v>6.1068702290076333E-2</v>
      </c>
      <c r="AF33" s="106">
        <f>3/1834</f>
        <v>1.6357688113413304E-3</v>
      </c>
      <c r="AG33" s="106">
        <f>1026/1834</f>
        <v>0.55943293347873502</v>
      </c>
      <c r="AH33" s="106">
        <v>0</v>
      </c>
      <c r="AI33" s="106">
        <f>808/1834</f>
        <v>0.44056706652126498</v>
      </c>
      <c r="AJ33" s="105">
        <v>0.41330425299890949</v>
      </c>
      <c r="AK33" s="105">
        <v>8.0000000000000002E-3</v>
      </c>
      <c r="AL33" s="12">
        <v>0</v>
      </c>
      <c r="AM33" s="12">
        <v>6</v>
      </c>
      <c r="AN33" s="12">
        <v>21</v>
      </c>
      <c r="AO33" s="12">
        <v>539</v>
      </c>
      <c r="AP33" s="12">
        <v>479</v>
      </c>
      <c r="AQ33" s="12">
        <v>402</v>
      </c>
      <c r="AR33" s="12">
        <v>387</v>
      </c>
      <c r="AS33" s="59">
        <v>3.7499999999999999E-2</v>
      </c>
      <c r="AT33" s="12">
        <v>8</v>
      </c>
      <c r="AU33" s="3">
        <v>6</v>
      </c>
      <c r="AV33" s="54">
        <v>39.775910364145659</v>
      </c>
      <c r="AW33" s="54">
        <v>22.549019607843139</v>
      </c>
      <c r="AX33" s="54">
        <v>34.033613445378151</v>
      </c>
      <c r="AY33" s="68">
        <v>3.6414565826330536</v>
      </c>
      <c r="AZ33" s="59">
        <v>0.18232605383443373</v>
      </c>
      <c r="BA33" s="59">
        <v>9.0909090909090912E-2</v>
      </c>
      <c r="BB33" s="77">
        <v>93.224561894969099</v>
      </c>
      <c r="BC33" s="84"/>
      <c r="BD33" s="90" t="s">
        <v>83</v>
      </c>
      <c r="BE33" s="90" t="s">
        <v>83</v>
      </c>
      <c r="BF33" s="49">
        <v>7.9</v>
      </c>
      <c r="BG33" s="49">
        <v>6.3</v>
      </c>
      <c r="BH33" s="49">
        <v>1</v>
      </c>
      <c r="BI33" s="49">
        <v>3.2</v>
      </c>
      <c r="BJ33" s="85">
        <v>20.399999999999999</v>
      </c>
      <c r="BK33" s="126">
        <v>8488</v>
      </c>
      <c r="BL33" s="126">
        <v>49911</v>
      </c>
      <c r="BM33" s="126">
        <v>52130</v>
      </c>
      <c r="BN33" s="126">
        <v>41390</v>
      </c>
      <c r="BO33" s="102">
        <v>0</v>
      </c>
      <c r="BP33" s="59">
        <v>0.35389999999999999</v>
      </c>
      <c r="BQ33" s="59">
        <v>0.25030000000000002</v>
      </c>
      <c r="BR33" s="59">
        <v>0</v>
      </c>
      <c r="BS33" s="59">
        <v>0</v>
      </c>
      <c r="BT33" s="138">
        <v>14.4</v>
      </c>
      <c r="BU33" s="59">
        <f t="shared" si="2"/>
        <v>0.60420000000000007</v>
      </c>
      <c r="BV33" s="59">
        <v>2.5700000000000001E-2</v>
      </c>
      <c r="BW33" s="59">
        <v>6.0000000000000001E-3</v>
      </c>
      <c r="BX33" s="59">
        <v>2.5700000000000001E-2</v>
      </c>
      <c r="BY33" s="59">
        <v>0</v>
      </c>
      <c r="BZ33" s="59">
        <v>0</v>
      </c>
      <c r="CA33" s="138">
        <v>16.399999999999999</v>
      </c>
      <c r="CB33" s="59">
        <f t="shared" si="3"/>
        <v>5.74E-2</v>
      </c>
      <c r="CC33" s="59">
        <v>0.29780000000000001</v>
      </c>
      <c r="CD33" s="125">
        <v>0.38140000000000002</v>
      </c>
      <c r="CE33" s="125">
        <v>0.31440000000000001</v>
      </c>
      <c r="CF33" s="125">
        <v>6.4000000000000003E-3</v>
      </c>
      <c r="CG33" s="125">
        <v>0</v>
      </c>
      <c r="CH33" s="85">
        <v>12.8</v>
      </c>
      <c r="CI33" s="39" t="s">
        <v>121</v>
      </c>
      <c r="CJ33" s="18" t="s">
        <v>80</v>
      </c>
      <c r="CK33" s="20"/>
    </row>
    <row r="34" spans="1:99" x14ac:dyDescent="0.25">
      <c r="A34" s="18" t="s">
        <v>80</v>
      </c>
      <c r="B34" s="19" t="s">
        <v>120</v>
      </c>
      <c r="C34" s="39" t="s">
        <v>122</v>
      </c>
      <c r="D34" s="40">
        <v>19</v>
      </c>
      <c r="E34" s="40" t="s">
        <v>83</v>
      </c>
      <c r="F34" s="40">
        <v>19</v>
      </c>
      <c r="G34" s="162" t="s">
        <v>83</v>
      </c>
      <c r="H34" s="162" t="s">
        <v>83</v>
      </c>
      <c r="I34" s="166">
        <v>0</v>
      </c>
      <c r="J34" s="166">
        <v>4</v>
      </c>
      <c r="K34" s="166">
        <v>7</v>
      </c>
      <c r="L34" s="166">
        <v>2</v>
      </c>
      <c r="M34" s="166">
        <v>6</v>
      </c>
      <c r="N34" s="119">
        <v>1.97505197505198E-2</v>
      </c>
      <c r="O34" s="119">
        <v>1.97505197505198E-2</v>
      </c>
      <c r="P34" s="116" t="s">
        <v>83</v>
      </c>
      <c r="Q34" s="116" t="s">
        <v>83</v>
      </c>
      <c r="R34" s="119">
        <v>0</v>
      </c>
      <c r="S34" s="119">
        <v>1.4705882352941201E-2</v>
      </c>
      <c r="T34" s="119">
        <v>2.69230769230769E-2</v>
      </c>
      <c r="U34" s="119">
        <v>1.01522842639594E-2</v>
      </c>
      <c r="V34" s="119">
        <v>2.6315789473684199E-2</v>
      </c>
      <c r="W34" s="40">
        <v>905</v>
      </c>
      <c r="X34" s="40">
        <f t="shared" si="0"/>
        <v>905</v>
      </c>
      <c r="Y34" s="40">
        <f t="shared" si="1"/>
        <v>905</v>
      </c>
      <c r="Z34" s="105">
        <v>0.46400000000000002</v>
      </c>
      <c r="AA34" s="105">
        <v>0.53600000000000003</v>
      </c>
      <c r="AB34" s="106">
        <f>8/905</f>
        <v>8.8397790055248626E-3</v>
      </c>
      <c r="AC34" s="106">
        <f>9/905</f>
        <v>9.9447513812154689E-3</v>
      </c>
      <c r="AD34" s="106">
        <f>134/905</f>
        <v>0.14806629834254142</v>
      </c>
      <c r="AE34" s="106">
        <f>23/905</f>
        <v>2.541436464088398E-2</v>
      </c>
      <c r="AF34" s="106">
        <v>0</v>
      </c>
      <c r="AG34" s="106">
        <f>731/905</f>
        <v>0.80773480662983421</v>
      </c>
      <c r="AH34" s="106">
        <v>0</v>
      </c>
      <c r="AI34" s="106">
        <f>174/905</f>
        <v>0.19226519337016573</v>
      </c>
      <c r="AJ34" s="105">
        <v>0.24861878453038674</v>
      </c>
      <c r="AK34" s="105">
        <v>3.0000000000000001E-3</v>
      </c>
      <c r="AL34" s="12">
        <v>0</v>
      </c>
      <c r="AM34" s="12">
        <v>0</v>
      </c>
      <c r="AN34" s="12">
        <v>2</v>
      </c>
      <c r="AO34" s="12">
        <v>253</v>
      </c>
      <c r="AP34" s="12">
        <v>242</v>
      </c>
      <c r="AQ34" s="12">
        <v>186</v>
      </c>
      <c r="AR34" s="12">
        <v>222</v>
      </c>
      <c r="AS34" s="59">
        <v>7.8431372549019607E-3</v>
      </c>
      <c r="AT34" s="12">
        <v>9</v>
      </c>
      <c r="AU34" s="3">
        <v>6</v>
      </c>
      <c r="AV34" s="54">
        <v>56.481481481481474</v>
      </c>
      <c r="AW34" s="54">
        <v>22.222222222222221</v>
      </c>
      <c r="AX34" s="54">
        <v>19.675925925925927</v>
      </c>
      <c r="AY34" s="68">
        <v>1.6203703703703702</v>
      </c>
      <c r="AZ34" s="59">
        <v>0.13270637408568442</v>
      </c>
      <c r="BA34" s="59">
        <v>4.9138156176547404E-2</v>
      </c>
      <c r="BB34" s="76">
        <v>92.400178765429004</v>
      </c>
      <c r="BC34" s="84"/>
      <c r="BD34" s="90" t="s">
        <v>83</v>
      </c>
      <c r="BE34" s="90" t="s">
        <v>83</v>
      </c>
      <c r="BF34" s="49">
        <v>6</v>
      </c>
      <c r="BG34" s="49">
        <v>7.9</v>
      </c>
      <c r="BH34" s="49">
        <v>2.2000000000000002</v>
      </c>
      <c r="BI34" s="49">
        <v>2.8</v>
      </c>
      <c r="BJ34" s="85">
        <v>20.9</v>
      </c>
      <c r="BK34" s="126">
        <v>9702</v>
      </c>
      <c r="BL34" s="126">
        <v>48641</v>
      </c>
      <c r="BM34" s="126">
        <v>54133</v>
      </c>
      <c r="BN34" s="126">
        <v>37111</v>
      </c>
      <c r="BO34" s="102">
        <v>0</v>
      </c>
      <c r="BP34" s="59">
        <v>0.307</v>
      </c>
      <c r="BQ34" s="59">
        <v>0.18820000000000001</v>
      </c>
      <c r="BR34" s="59">
        <v>0</v>
      </c>
      <c r="BS34" s="59">
        <v>0</v>
      </c>
      <c r="BT34" s="138">
        <v>11.8</v>
      </c>
      <c r="BU34" s="59">
        <f t="shared" si="2"/>
        <v>0.49519999999999997</v>
      </c>
      <c r="BV34" s="59">
        <v>2.9700000000000001E-2</v>
      </c>
      <c r="BW34" s="59">
        <v>0</v>
      </c>
      <c r="BX34" s="59">
        <v>2.9700000000000001E-2</v>
      </c>
      <c r="BY34" s="59">
        <v>0</v>
      </c>
      <c r="BZ34" s="59">
        <v>0</v>
      </c>
      <c r="CA34" s="138">
        <v>15.5</v>
      </c>
      <c r="CB34" s="59">
        <f t="shared" si="3"/>
        <v>5.9400000000000001E-2</v>
      </c>
      <c r="CC34" s="59">
        <v>0.40570000000000001</v>
      </c>
      <c r="CD34" s="125">
        <v>0.33679999999999999</v>
      </c>
      <c r="CE34" s="125">
        <v>0.25750000000000001</v>
      </c>
      <c r="CF34" s="125">
        <v>0</v>
      </c>
      <c r="CG34" s="125">
        <v>0</v>
      </c>
      <c r="CH34" s="85">
        <v>11.1</v>
      </c>
      <c r="CI34" s="39" t="s">
        <v>122</v>
      </c>
      <c r="CJ34" s="18" t="s">
        <v>80</v>
      </c>
      <c r="CK34" s="20"/>
    </row>
    <row r="35" spans="1:99" x14ac:dyDescent="0.25">
      <c r="A35" s="18" t="s">
        <v>80</v>
      </c>
      <c r="B35" s="19" t="s">
        <v>120</v>
      </c>
      <c r="C35" s="39" t="s">
        <v>123</v>
      </c>
      <c r="D35" s="40">
        <v>44</v>
      </c>
      <c r="E35" s="40">
        <v>0</v>
      </c>
      <c r="F35" s="40">
        <v>44</v>
      </c>
      <c r="G35" s="162" t="s">
        <v>83</v>
      </c>
      <c r="H35" s="166">
        <v>0</v>
      </c>
      <c r="I35" s="166">
        <v>0</v>
      </c>
      <c r="J35" s="166">
        <v>12</v>
      </c>
      <c r="K35" s="166">
        <v>16</v>
      </c>
      <c r="L35" s="166">
        <v>10</v>
      </c>
      <c r="M35" s="166">
        <v>6</v>
      </c>
      <c r="N35" s="119">
        <v>5.8355437665782502E-2</v>
      </c>
      <c r="O35" s="119">
        <v>5.8588548601864202E-2</v>
      </c>
      <c r="P35" s="116" t="s">
        <v>83</v>
      </c>
      <c r="Q35" s="119">
        <v>0</v>
      </c>
      <c r="R35" s="119">
        <v>0</v>
      </c>
      <c r="S35" s="119">
        <v>4.7619047619047603E-2</v>
      </c>
      <c r="T35" s="119">
        <v>8.5106382978723402E-2</v>
      </c>
      <c r="U35" s="119">
        <v>6.4516129032258104E-2</v>
      </c>
      <c r="V35" s="119">
        <v>4.5454545454545497E-2</v>
      </c>
      <c r="W35" s="40">
        <v>661</v>
      </c>
      <c r="X35" s="40">
        <f t="shared" si="0"/>
        <v>660</v>
      </c>
      <c r="Y35" s="40">
        <f t="shared" si="1"/>
        <v>661</v>
      </c>
      <c r="Z35" s="105">
        <v>0.504</v>
      </c>
      <c r="AA35" s="105">
        <v>0.496</v>
      </c>
      <c r="AB35" s="106">
        <f>2/661</f>
        <v>3.0257186081694403E-3</v>
      </c>
      <c r="AC35" s="106">
        <f>6/661</f>
        <v>9.0771558245083209E-3</v>
      </c>
      <c r="AD35" s="106">
        <f>410/661</f>
        <v>0.6202723146747352</v>
      </c>
      <c r="AE35" s="106">
        <f>79/661</f>
        <v>0.11951588502269289</v>
      </c>
      <c r="AF35" s="106">
        <f>2/661</f>
        <v>3.0257186081694403E-3</v>
      </c>
      <c r="AG35" s="106">
        <f>162/661</f>
        <v>0.24508320726172467</v>
      </c>
      <c r="AH35" s="106">
        <v>0</v>
      </c>
      <c r="AI35" s="106">
        <f>499/661</f>
        <v>0.75491679273827539</v>
      </c>
      <c r="AJ35" s="105">
        <v>0.78214826021180028</v>
      </c>
      <c r="AK35" s="105">
        <v>3.9E-2</v>
      </c>
      <c r="AL35" s="12">
        <v>0</v>
      </c>
      <c r="AM35" s="12">
        <v>1</v>
      </c>
      <c r="AN35" s="12">
        <v>25</v>
      </c>
      <c r="AO35" s="12">
        <v>216</v>
      </c>
      <c r="AP35" s="12">
        <v>155</v>
      </c>
      <c r="AQ35" s="12">
        <v>142</v>
      </c>
      <c r="AR35" s="12">
        <v>122</v>
      </c>
      <c r="AS35" s="59">
        <v>0.1037344398340249</v>
      </c>
      <c r="AT35" s="12">
        <v>8</v>
      </c>
      <c r="AU35" s="3">
        <v>6</v>
      </c>
      <c r="AV35" s="54">
        <v>69.88636363636364</v>
      </c>
      <c r="AW35" s="54">
        <v>15.625</v>
      </c>
      <c r="AX35" s="54">
        <v>13.920454545454545</v>
      </c>
      <c r="AY35" s="68">
        <v>0.56818181818181823</v>
      </c>
      <c r="AZ35" s="59">
        <v>0.15456989247311828</v>
      </c>
      <c r="BA35" s="59">
        <v>0.19354838709677419</v>
      </c>
      <c r="BB35" s="77">
        <v>89.450121834808101</v>
      </c>
      <c r="BC35" s="84"/>
      <c r="BD35" s="90" t="s">
        <v>83</v>
      </c>
      <c r="BE35" s="90" t="s">
        <v>83</v>
      </c>
      <c r="BF35" s="49">
        <v>8.6</v>
      </c>
      <c r="BG35" s="49">
        <v>10.7</v>
      </c>
      <c r="BH35" s="49">
        <v>3.7</v>
      </c>
      <c r="BI35" s="49">
        <v>5.4</v>
      </c>
      <c r="BJ35" s="85">
        <v>16.7</v>
      </c>
      <c r="BK35" s="126">
        <v>11360</v>
      </c>
      <c r="BL35" s="126">
        <v>48184</v>
      </c>
      <c r="BM35" s="126">
        <v>53667</v>
      </c>
      <c r="BN35" s="126">
        <v>39150</v>
      </c>
      <c r="BO35" s="102">
        <v>0</v>
      </c>
      <c r="BP35" s="59">
        <v>0.39900000000000002</v>
      </c>
      <c r="BQ35" s="59">
        <v>0.1368</v>
      </c>
      <c r="BR35" s="59">
        <v>0</v>
      </c>
      <c r="BS35" s="59">
        <v>0</v>
      </c>
      <c r="BT35" s="138">
        <v>9.9</v>
      </c>
      <c r="BU35" s="59">
        <f t="shared" si="2"/>
        <v>0.53580000000000005</v>
      </c>
      <c r="BV35" s="59">
        <v>3.61E-2</v>
      </c>
      <c r="BW35" s="59">
        <v>0</v>
      </c>
      <c r="BX35" s="59">
        <v>3.61E-2</v>
      </c>
      <c r="BY35" s="59">
        <v>0</v>
      </c>
      <c r="BZ35" s="59">
        <v>0</v>
      </c>
      <c r="CA35" s="138">
        <v>16.5</v>
      </c>
      <c r="CB35" s="59">
        <f t="shared" si="3"/>
        <v>7.22E-2</v>
      </c>
      <c r="CC35" s="59">
        <v>0.35599999999999998</v>
      </c>
      <c r="CD35" s="125">
        <v>0.42299999999999999</v>
      </c>
      <c r="CE35" s="125">
        <v>0.221</v>
      </c>
      <c r="CF35" s="125">
        <v>0</v>
      </c>
      <c r="CG35" s="125">
        <v>0</v>
      </c>
      <c r="CH35" s="85">
        <v>10.5</v>
      </c>
      <c r="CI35" s="39" t="s">
        <v>123</v>
      </c>
      <c r="CJ35" s="18" t="s">
        <v>80</v>
      </c>
      <c r="CK35" s="20"/>
    </row>
    <row r="36" spans="1:99" x14ac:dyDescent="0.25">
      <c r="A36" s="18" t="s">
        <v>80</v>
      </c>
      <c r="B36" s="19" t="s">
        <v>120</v>
      </c>
      <c r="C36" s="39" t="s">
        <v>124</v>
      </c>
      <c r="D36" s="40">
        <v>28</v>
      </c>
      <c r="E36" s="40">
        <v>0</v>
      </c>
      <c r="F36" s="40">
        <v>28</v>
      </c>
      <c r="G36" s="162" t="s">
        <v>83</v>
      </c>
      <c r="H36" s="166">
        <v>0</v>
      </c>
      <c r="I36" s="166">
        <v>0</v>
      </c>
      <c r="J36" s="166">
        <v>3</v>
      </c>
      <c r="K36" s="166">
        <v>11</v>
      </c>
      <c r="L36" s="166">
        <v>4</v>
      </c>
      <c r="M36" s="166">
        <v>10</v>
      </c>
      <c r="N36" s="119">
        <v>2.1439509954058199E-2</v>
      </c>
      <c r="O36" s="119">
        <v>2.14888718342287E-2</v>
      </c>
      <c r="P36" s="116" t="s">
        <v>83</v>
      </c>
      <c r="Q36" s="119">
        <v>0</v>
      </c>
      <c r="R36" s="119">
        <v>0</v>
      </c>
      <c r="S36" s="119">
        <v>7.0422535211267599E-3</v>
      </c>
      <c r="T36" s="119">
        <v>3.1518624641833803E-2</v>
      </c>
      <c r="U36" s="119">
        <v>1.58102766798419E-2</v>
      </c>
      <c r="V36" s="119">
        <v>3.7593984962405999E-2</v>
      </c>
      <c r="W36" s="40">
        <v>1228</v>
      </c>
      <c r="X36" s="40">
        <f t="shared" si="0"/>
        <v>1225</v>
      </c>
      <c r="Y36" s="40">
        <f t="shared" si="1"/>
        <v>1228</v>
      </c>
      <c r="Z36" s="105">
        <v>0.47699999999999998</v>
      </c>
      <c r="AA36" s="105">
        <v>0.52300000000000002</v>
      </c>
      <c r="AB36" s="106">
        <f>6/1228</f>
        <v>4.8859934853420191E-3</v>
      </c>
      <c r="AC36" s="106">
        <f>6/1228</f>
        <v>4.8859934853420191E-3</v>
      </c>
      <c r="AD36" s="106">
        <f>203/1228</f>
        <v>0.16530944625407165</v>
      </c>
      <c r="AE36" s="106">
        <f>64/1228</f>
        <v>5.2117263843648211E-2</v>
      </c>
      <c r="AF36" s="106">
        <f>3/1228</f>
        <v>2.4429967426710096E-3</v>
      </c>
      <c r="AG36" s="106">
        <f>946/1228</f>
        <v>0.77035830618892509</v>
      </c>
      <c r="AH36" s="106">
        <v>0</v>
      </c>
      <c r="AI36" s="106">
        <f>282/1228</f>
        <v>0.22964169381107491</v>
      </c>
      <c r="AJ36" s="105">
        <v>0.45195439739413679</v>
      </c>
      <c r="AK36" s="105">
        <v>0.01</v>
      </c>
      <c r="AL36" s="12">
        <v>0</v>
      </c>
      <c r="AM36" s="12">
        <v>3</v>
      </c>
      <c r="AN36" s="12">
        <v>9</v>
      </c>
      <c r="AO36" s="12">
        <v>396</v>
      </c>
      <c r="AP36" s="12">
        <v>321</v>
      </c>
      <c r="AQ36" s="12">
        <v>242</v>
      </c>
      <c r="AR36" s="12">
        <v>257</v>
      </c>
      <c r="AS36" s="59">
        <v>2.2222222222222223E-2</v>
      </c>
      <c r="AT36" s="12">
        <v>8</v>
      </c>
      <c r="AU36" s="3">
        <v>6</v>
      </c>
      <c r="AV36" s="54">
        <v>40.12605042016807</v>
      </c>
      <c r="AW36" s="54">
        <v>27.941176470588236</v>
      </c>
      <c r="AX36" s="54">
        <v>28.571428571428569</v>
      </c>
      <c r="AY36" s="68">
        <v>3.3613445378151261</v>
      </c>
      <c r="AZ36" s="59">
        <v>0.22411128284389489</v>
      </c>
      <c r="BA36" s="59">
        <v>0.10587326120556415</v>
      </c>
      <c r="BB36" s="76">
        <v>91.725315452992604</v>
      </c>
      <c r="BC36" s="84"/>
      <c r="BD36" s="90" t="s">
        <v>83</v>
      </c>
      <c r="BE36" s="90" t="s">
        <v>83</v>
      </c>
      <c r="BF36" s="49">
        <v>14</v>
      </c>
      <c r="BG36" s="49">
        <v>6.8</v>
      </c>
      <c r="BH36" s="49">
        <v>1.3</v>
      </c>
      <c r="BI36" s="49">
        <v>1.2</v>
      </c>
      <c r="BJ36" s="85">
        <v>19.8</v>
      </c>
      <c r="BK36" s="126">
        <v>9247</v>
      </c>
      <c r="BL36" s="126">
        <v>49658</v>
      </c>
      <c r="BM36" s="126">
        <v>53282</v>
      </c>
      <c r="BN36" s="126">
        <v>40715</v>
      </c>
      <c r="BO36" s="102">
        <v>0</v>
      </c>
      <c r="BP36" s="59">
        <v>0.36709999999999998</v>
      </c>
      <c r="BQ36" s="59">
        <v>0.20080000000000001</v>
      </c>
      <c r="BR36" s="59">
        <v>0</v>
      </c>
      <c r="BS36" s="59">
        <v>0</v>
      </c>
      <c r="BT36" s="138">
        <v>12.3</v>
      </c>
      <c r="BU36" s="59">
        <f t="shared" si="2"/>
        <v>0.56789999999999996</v>
      </c>
      <c r="BV36" s="59">
        <v>3.4200000000000001E-2</v>
      </c>
      <c r="BW36" s="59">
        <v>0</v>
      </c>
      <c r="BX36" s="59">
        <v>2.5600000000000001E-2</v>
      </c>
      <c r="BY36" s="59">
        <v>0</v>
      </c>
      <c r="BZ36" s="59">
        <v>0</v>
      </c>
      <c r="CA36" s="138">
        <v>23.7</v>
      </c>
      <c r="CB36" s="59">
        <f t="shared" si="3"/>
        <v>5.9800000000000006E-2</v>
      </c>
      <c r="CC36" s="59">
        <v>0.34670000000000001</v>
      </c>
      <c r="CD36" s="125">
        <v>0.36709999999999998</v>
      </c>
      <c r="CE36" s="125">
        <v>0.27760000000000001</v>
      </c>
      <c r="CF36" s="125">
        <v>0</v>
      </c>
      <c r="CG36" s="125">
        <v>8.5000000000000006E-3</v>
      </c>
      <c r="CH36" s="85">
        <v>13.5</v>
      </c>
      <c r="CI36" s="39" t="s">
        <v>124</v>
      </c>
      <c r="CJ36" s="18" t="s">
        <v>80</v>
      </c>
      <c r="CK36" s="20"/>
    </row>
    <row r="37" spans="1:99" x14ac:dyDescent="0.25">
      <c r="A37" s="18" t="s">
        <v>80</v>
      </c>
      <c r="B37" s="19" t="s">
        <v>120</v>
      </c>
      <c r="C37" s="39" t="s">
        <v>125</v>
      </c>
      <c r="D37" s="40">
        <v>21</v>
      </c>
      <c r="E37" s="40" t="s">
        <v>83</v>
      </c>
      <c r="F37" s="40">
        <v>21</v>
      </c>
      <c r="G37" s="162" t="s">
        <v>83</v>
      </c>
      <c r="H37" s="162" t="s">
        <v>83</v>
      </c>
      <c r="I37" s="166">
        <v>0</v>
      </c>
      <c r="J37" s="166">
        <v>3</v>
      </c>
      <c r="K37" s="166">
        <v>4</v>
      </c>
      <c r="L37" s="166">
        <v>2</v>
      </c>
      <c r="M37" s="166">
        <v>12</v>
      </c>
      <c r="N37" s="119">
        <v>1.53061224489796E-2</v>
      </c>
      <c r="O37" s="119">
        <v>1.53172866520788E-2</v>
      </c>
      <c r="P37" s="116" t="s">
        <v>83</v>
      </c>
      <c r="Q37" s="116" t="s">
        <v>83</v>
      </c>
      <c r="R37" s="119">
        <v>0</v>
      </c>
      <c r="S37" s="119">
        <v>7.2289156626506E-3</v>
      </c>
      <c r="T37" s="119">
        <v>1.16279069767442E-2</v>
      </c>
      <c r="U37" s="119">
        <v>6.6445182724252502E-3</v>
      </c>
      <c r="V37" s="119">
        <v>3.9603960396039598E-2</v>
      </c>
      <c r="W37" s="40">
        <v>1260</v>
      </c>
      <c r="X37" s="40">
        <f t="shared" si="0"/>
        <v>1260</v>
      </c>
      <c r="Y37" s="40">
        <f t="shared" si="1"/>
        <v>1260</v>
      </c>
      <c r="Z37" s="105">
        <v>0.47699999999999998</v>
      </c>
      <c r="AA37" s="105">
        <v>0.52300000000000002</v>
      </c>
      <c r="AB37" s="106">
        <f>13/1260</f>
        <v>1.0317460317460317E-2</v>
      </c>
      <c r="AC37" s="106">
        <f>30/1260</f>
        <v>2.3809523809523808E-2</v>
      </c>
      <c r="AD37" s="106">
        <f>282/1260</f>
        <v>0.22380952380952382</v>
      </c>
      <c r="AE37" s="106">
        <f>68/1260</f>
        <v>5.3968253968253971E-2</v>
      </c>
      <c r="AF37" s="106">
        <f>8/1260</f>
        <v>6.3492063492063492E-3</v>
      </c>
      <c r="AG37" s="106">
        <f>859/1260</f>
        <v>0.68174603174603177</v>
      </c>
      <c r="AH37" s="106">
        <v>0</v>
      </c>
      <c r="AI37" s="106">
        <f>401/1260</f>
        <v>0.31825396825396823</v>
      </c>
      <c r="AJ37" s="105">
        <v>0.31587301587301586</v>
      </c>
      <c r="AK37" s="105">
        <v>6.0000000000000001E-3</v>
      </c>
      <c r="AL37" s="12">
        <v>0</v>
      </c>
      <c r="AM37" s="12">
        <v>0</v>
      </c>
      <c r="AN37" s="12">
        <v>9</v>
      </c>
      <c r="AO37" s="12">
        <v>363</v>
      </c>
      <c r="AP37" s="12">
        <v>320</v>
      </c>
      <c r="AQ37" s="12">
        <v>276</v>
      </c>
      <c r="AR37" s="12">
        <v>292</v>
      </c>
      <c r="AS37" s="59">
        <v>2.4193548387096774E-2</v>
      </c>
      <c r="AT37" s="12">
        <v>9</v>
      </c>
      <c r="AU37" s="3">
        <v>6</v>
      </c>
      <c r="AV37" s="54">
        <v>41.004184100418414</v>
      </c>
      <c r="AW37" s="54">
        <v>25.523012552301257</v>
      </c>
      <c r="AX37" s="54">
        <v>32.00836820083682</v>
      </c>
      <c r="AY37" s="68">
        <v>1.4644351464435146</v>
      </c>
      <c r="AZ37" s="59">
        <v>0.21595900439238652</v>
      </c>
      <c r="BA37" s="59">
        <v>5.1244509516837483E-2</v>
      </c>
      <c r="BB37" s="77">
        <v>92.559318112924998</v>
      </c>
      <c r="BC37" s="84"/>
      <c r="BD37" s="90" t="s">
        <v>83</v>
      </c>
      <c r="BE37" s="90" t="s">
        <v>83</v>
      </c>
      <c r="BF37" s="49">
        <v>9.9</v>
      </c>
      <c r="BG37" s="49">
        <v>6.3</v>
      </c>
      <c r="BH37" s="49">
        <v>2.6</v>
      </c>
      <c r="BI37" s="49">
        <v>2.6</v>
      </c>
      <c r="BJ37" s="85">
        <v>20.3</v>
      </c>
      <c r="BK37" s="126">
        <v>8868</v>
      </c>
      <c r="BL37" s="126">
        <v>49989</v>
      </c>
      <c r="BM37" s="126">
        <v>56496</v>
      </c>
      <c r="BN37" s="126">
        <v>40832</v>
      </c>
      <c r="BO37" s="102">
        <v>0</v>
      </c>
      <c r="BP37" s="59">
        <v>0.35880000000000001</v>
      </c>
      <c r="BQ37" s="59">
        <v>0.21010000000000001</v>
      </c>
      <c r="BR37" s="59">
        <v>0</v>
      </c>
      <c r="BS37" s="59">
        <v>0</v>
      </c>
      <c r="BT37" s="138">
        <v>12.6</v>
      </c>
      <c r="BU37" s="59">
        <f t="shared" si="2"/>
        <v>0.56889999999999996</v>
      </c>
      <c r="BV37" s="59">
        <v>2.63E-2</v>
      </c>
      <c r="BW37" s="59">
        <v>0</v>
      </c>
      <c r="BX37" s="59">
        <v>1.7500000000000002E-2</v>
      </c>
      <c r="BY37" s="59">
        <v>0</v>
      </c>
      <c r="BZ37" s="59">
        <v>8.8000000000000005E-3</v>
      </c>
      <c r="CA37" s="138">
        <v>17.2</v>
      </c>
      <c r="CB37" s="59">
        <f t="shared" si="3"/>
        <v>5.2600000000000008E-2</v>
      </c>
      <c r="CC37" s="59">
        <v>0.3261</v>
      </c>
      <c r="CD37" s="125">
        <v>0.3851</v>
      </c>
      <c r="CE37" s="125">
        <v>0.28010000000000002</v>
      </c>
      <c r="CF37" s="125">
        <v>0</v>
      </c>
      <c r="CG37" s="125">
        <v>8.8000000000000005E-3</v>
      </c>
      <c r="CH37" s="85">
        <v>11.7</v>
      </c>
      <c r="CI37" s="39" t="s">
        <v>125</v>
      </c>
      <c r="CJ37" s="18" t="s">
        <v>80</v>
      </c>
      <c r="CK37" s="20"/>
    </row>
    <row r="38" spans="1:99" ht="15.75" thickBot="1" x14ac:dyDescent="0.3">
      <c r="A38" s="18" t="s">
        <v>80</v>
      </c>
      <c r="B38" s="19" t="s">
        <v>120</v>
      </c>
      <c r="C38" s="39" t="s">
        <v>126</v>
      </c>
      <c r="D38" s="40">
        <v>2</v>
      </c>
      <c r="E38" s="40">
        <v>0</v>
      </c>
      <c r="F38" s="40">
        <v>2</v>
      </c>
      <c r="G38" s="166">
        <v>0</v>
      </c>
      <c r="H38" s="166">
        <v>0</v>
      </c>
      <c r="I38" s="166">
        <v>0</v>
      </c>
      <c r="J38" s="166">
        <v>1</v>
      </c>
      <c r="K38" s="166">
        <v>1</v>
      </c>
      <c r="L38" s="166">
        <v>0</v>
      </c>
      <c r="M38" s="166">
        <v>0</v>
      </c>
      <c r="N38" s="119">
        <v>8.1300813008130107E-3</v>
      </c>
      <c r="O38" s="119">
        <v>1.2500000000000001E-2</v>
      </c>
      <c r="P38" s="119">
        <v>0</v>
      </c>
      <c r="Q38" s="119">
        <v>0</v>
      </c>
      <c r="R38" s="119">
        <v>0</v>
      </c>
      <c r="S38" s="119">
        <v>2.04081632653061E-2</v>
      </c>
      <c r="T38" s="119">
        <v>2.9411764705882401E-2</v>
      </c>
      <c r="U38" s="119">
        <v>0</v>
      </c>
      <c r="V38" s="119">
        <v>0</v>
      </c>
      <c r="W38" s="40">
        <v>250</v>
      </c>
      <c r="X38" s="40">
        <f t="shared" si="0"/>
        <v>140</v>
      </c>
      <c r="Y38" s="40">
        <f t="shared" si="1"/>
        <v>217</v>
      </c>
      <c r="Z38" s="105">
        <v>0.432</v>
      </c>
      <c r="AA38" s="105">
        <v>0.56799999999999995</v>
      </c>
      <c r="AB38" s="106">
        <v>0</v>
      </c>
      <c r="AC38" s="106">
        <f>1/250</f>
        <v>4.0000000000000001E-3</v>
      </c>
      <c r="AD38" s="106">
        <f>156/250</f>
        <v>0.624</v>
      </c>
      <c r="AE38" s="106">
        <v>0</v>
      </c>
      <c r="AF38" s="106">
        <f>1/250</f>
        <v>4.0000000000000001E-3</v>
      </c>
      <c r="AG38" s="106">
        <f>92/250</f>
        <v>0.36799999999999999</v>
      </c>
      <c r="AH38" s="106">
        <v>0</v>
      </c>
      <c r="AI38" s="106">
        <f>158/250</f>
        <v>0.63200000000000001</v>
      </c>
      <c r="AJ38" s="105">
        <v>0.77600000000000002</v>
      </c>
      <c r="AK38" s="105">
        <v>4.0000000000000001E-3</v>
      </c>
      <c r="AL38" s="12">
        <v>40</v>
      </c>
      <c r="AM38" s="12">
        <v>37</v>
      </c>
      <c r="AN38" s="12">
        <v>7</v>
      </c>
      <c r="AO38" s="12">
        <v>40</v>
      </c>
      <c r="AP38" s="12">
        <v>31</v>
      </c>
      <c r="AQ38" s="12">
        <v>33</v>
      </c>
      <c r="AR38" s="12">
        <v>29</v>
      </c>
      <c r="AS38" s="59">
        <v>0.14893617021276595</v>
      </c>
      <c r="AT38" s="12">
        <v>6</v>
      </c>
      <c r="AU38" s="3">
        <v>6</v>
      </c>
      <c r="AV38" s="54">
        <v>90.104166666666657</v>
      </c>
      <c r="AW38" s="54">
        <v>8.3333333333333321</v>
      </c>
      <c r="AX38" s="54">
        <v>1.5625</v>
      </c>
      <c r="AY38" s="68">
        <v>0</v>
      </c>
      <c r="AZ38" s="59">
        <v>0.33687943262411346</v>
      </c>
      <c r="BA38" s="59">
        <v>0.11702127659574468</v>
      </c>
      <c r="BB38" s="76">
        <v>91.944982278817605</v>
      </c>
      <c r="BC38" s="84"/>
      <c r="BD38" s="49">
        <v>2.4</v>
      </c>
      <c r="BE38" s="49">
        <v>0</v>
      </c>
      <c r="BF38" s="49">
        <v>2.2999999999999998</v>
      </c>
      <c r="BG38" s="49">
        <v>3.4</v>
      </c>
      <c r="BH38" s="49">
        <v>0</v>
      </c>
      <c r="BI38" s="49">
        <v>6.1</v>
      </c>
      <c r="BJ38" s="85">
        <v>16.600000000000001</v>
      </c>
      <c r="BK38" s="126">
        <v>17528</v>
      </c>
      <c r="BL38" s="126">
        <v>49710</v>
      </c>
      <c r="BM38" s="126">
        <v>51055</v>
      </c>
      <c r="BN38" s="126">
        <v>39807</v>
      </c>
      <c r="BO38" s="102">
        <v>0</v>
      </c>
      <c r="BP38" s="59">
        <v>0.32729999999999998</v>
      </c>
      <c r="BQ38" s="59">
        <v>0.1636</v>
      </c>
      <c r="BR38" s="59">
        <v>0</v>
      </c>
      <c r="BS38" s="59">
        <v>0</v>
      </c>
      <c r="BT38" s="138">
        <v>10.7</v>
      </c>
      <c r="BU38" s="59">
        <f t="shared" si="2"/>
        <v>0.4909</v>
      </c>
      <c r="BV38" s="59">
        <v>5.45E-2</v>
      </c>
      <c r="BW38" s="59">
        <v>0</v>
      </c>
      <c r="BX38" s="59">
        <v>3.6400000000000002E-2</v>
      </c>
      <c r="BY38" s="59">
        <v>0</v>
      </c>
      <c r="BZ38" s="59">
        <v>1.8200000000000001E-2</v>
      </c>
      <c r="CA38" s="138">
        <v>18.2</v>
      </c>
      <c r="CB38" s="59">
        <f t="shared" si="3"/>
        <v>0.1091</v>
      </c>
      <c r="CC38" s="59">
        <v>0.4</v>
      </c>
      <c r="CD38" s="125">
        <v>0.32729999999999998</v>
      </c>
      <c r="CE38" s="125">
        <v>0.2545</v>
      </c>
      <c r="CF38" s="125">
        <v>0</v>
      </c>
      <c r="CG38" s="125">
        <v>1.8200000000000001E-2</v>
      </c>
      <c r="CH38" s="85">
        <v>12.1</v>
      </c>
      <c r="CI38" s="39" t="s">
        <v>126</v>
      </c>
      <c r="CJ38" s="18" t="s">
        <v>80</v>
      </c>
      <c r="CK38" s="20"/>
    </row>
    <row r="39" spans="1:99" s="1" customFormat="1" ht="21" customHeight="1" x14ac:dyDescent="0.25">
      <c r="A39" s="21" t="s">
        <v>0</v>
      </c>
      <c r="B39" s="22" t="s">
        <v>1</v>
      </c>
      <c r="C39" s="22" t="s">
        <v>2</v>
      </c>
      <c r="D39" s="9" t="s">
        <v>3</v>
      </c>
      <c r="E39" s="9" t="s">
        <v>4</v>
      </c>
      <c r="F39" s="9" t="s">
        <v>5</v>
      </c>
      <c r="G39" s="161" t="s">
        <v>565</v>
      </c>
      <c r="H39" s="161" t="s">
        <v>566</v>
      </c>
      <c r="I39" s="161" t="s">
        <v>567</v>
      </c>
      <c r="J39" s="161" t="s">
        <v>568</v>
      </c>
      <c r="K39" s="161" t="s">
        <v>569</v>
      </c>
      <c r="L39" s="161" t="s">
        <v>570</v>
      </c>
      <c r="M39" s="161" t="s">
        <v>571</v>
      </c>
      <c r="N39" s="120" t="s">
        <v>6</v>
      </c>
      <c r="O39" s="120" t="s">
        <v>7</v>
      </c>
      <c r="P39" s="120" t="s">
        <v>8</v>
      </c>
      <c r="Q39" s="120" t="s">
        <v>9</v>
      </c>
      <c r="R39" s="120" t="s">
        <v>10</v>
      </c>
      <c r="S39" s="120" t="s">
        <v>11</v>
      </c>
      <c r="T39" s="120" t="s">
        <v>12</v>
      </c>
      <c r="U39" s="120" t="s">
        <v>13</v>
      </c>
      <c r="V39" s="120" t="s">
        <v>14</v>
      </c>
      <c r="W39" s="41" t="s">
        <v>15</v>
      </c>
      <c r="X39" s="41" t="s">
        <v>16</v>
      </c>
      <c r="Y39" s="41" t="s">
        <v>17</v>
      </c>
      <c r="Z39" s="107" t="s">
        <v>18</v>
      </c>
      <c r="AA39" s="107" t="s">
        <v>19</v>
      </c>
      <c r="AB39" s="95" t="s">
        <v>20</v>
      </c>
      <c r="AC39" s="95" t="s">
        <v>21</v>
      </c>
      <c r="AD39" s="95" t="s">
        <v>22</v>
      </c>
      <c r="AE39" s="95" t="s">
        <v>23</v>
      </c>
      <c r="AF39" s="95" t="s">
        <v>24</v>
      </c>
      <c r="AG39" s="95" t="s">
        <v>25</v>
      </c>
      <c r="AH39" s="95" t="s">
        <v>26</v>
      </c>
      <c r="AI39" s="95" t="s">
        <v>27</v>
      </c>
      <c r="AJ39" s="95" t="s">
        <v>28</v>
      </c>
      <c r="AK39" s="107" t="s">
        <v>29</v>
      </c>
      <c r="AL39" s="42" t="s">
        <v>30</v>
      </c>
      <c r="AM39" s="42" t="s">
        <v>31</v>
      </c>
      <c r="AN39" s="42" t="s">
        <v>32</v>
      </c>
      <c r="AO39" s="42" t="s">
        <v>33</v>
      </c>
      <c r="AP39" s="42" t="s">
        <v>34</v>
      </c>
      <c r="AQ39" s="42" t="s">
        <v>35</v>
      </c>
      <c r="AR39" s="42" t="s">
        <v>36</v>
      </c>
      <c r="AS39" s="100" t="s">
        <v>37</v>
      </c>
      <c r="AT39" s="41" t="s">
        <v>38</v>
      </c>
      <c r="AU39" s="23" t="s">
        <v>39</v>
      </c>
      <c r="AV39" s="51" t="s">
        <v>40</v>
      </c>
      <c r="AW39" s="51" t="s">
        <v>41</v>
      </c>
      <c r="AX39" s="51" t="s">
        <v>42</v>
      </c>
      <c r="AY39" s="66" t="s">
        <v>43</v>
      </c>
      <c r="AZ39" s="58" t="s">
        <v>44</v>
      </c>
      <c r="BA39" s="58" t="s">
        <v>45</v>
      </c>
      <c r="BB39" s="75" t="s">
        <v>46</v>
      </c>
      <c r="BC39" s="83" t="s">
        <v>47</v>
      </c>
      <c r="BD39" s="89" t="s">
        <v>48</v>
      </c>
      <c r="BE39" s="89" t="s">
        <v>49</v>
      </c>
      <c r="BF39" s="89" t="s">
        <v>50</v>
      </c>
      <c r="BG39" s="89" t="s">
        <v>51</v>
      </c>
      <c r="BH39" s="89" t="s">
        <v>52</v>
      </c>
      <c r="BI39" s="89" t="s">
        <v>53</v>
      </c>
      <c r="BJ39" s="86" t="s">
        <v>54</v>
      </c>
      <c r="BK39" s="123" t="s">
        <v>55</v>
      </c>
      <c r="BL39" s="123" t="s">
        <v>56</v>
      </c>
      <c r="BM39" s="123" t="s">
        <v>57</v>
      </c>
      <c r="BN39" s="123" t="s">
        <v>58</v>
      </c>
      <c r="BO39" s="131" t="s">
        <v>59</v>
      </c>
      <c r="BP39" s="131" t="s">
        <v>60</v>
      </c>
      <c r="BQ39" s="131" t="s">
        <v>61</v>
      </c>
      <c r="BR39" s="131" t="s">
        <v>62</v>
      </c>
      <c r="BS39" s="131" t="s">
        <v>63</v>
      </c>
      <c r="BT39" s="131" t="s">
        <v>64</v>
      </c>
      <c r="BU39" s="131" t="s">
        <v>65</v>
      </c>
      <c r="BV39" s="132" t="s">
        <v>66</v>
      </c>
      <c r="BW39" s="132" t="s">
        <v>67</v>
      </c>
      <c r="BX39" s="132" t="s">
        <v>68</v>
      </c>
      <c r="BY39" s="132" t="s">
        <v>69</v>
      </c>
      <c r="BZ39" s="132" t="s">
        <v>70</v>
      </c>
      <c r="CA39" s="132" t="s">
        <v>71</v>
      </c>
      <c r="CB39" s="132" t="s">
        <v>72</v>
      </c>
      <c r="CC39" s="123" t="s">
        <v>73</v>
      </c>
      <c r="CD39" s="123" t="s">
        <v>74</v>
      </c>
      <c r="CE39" s="123" t="s">
        <v>75</v>
      </c>
      <c r="CF39" s="123" t="s">
        <v>76</v>
      </c>
      <c r="CG39" s="123" t="s">
        <v>77</v>
      </c>
      <c r="CH39" s="123" t="s">
        <v>78</v>
      </c>
      <c r="CI39" s="22" t="s">
        <v>2</v>
      </c>
      <c r="CJ39" s="21" t="s">
        <v>0</v>
      </c>
      <c r="CK39" s="24" t="s">
        <v>79</v>
      </c>
      <c r="CL39"/>
      <c r="CM39"/>
      <c r="CN39"/>
      <c r="CO39"/>
      <c r="CP39"/>
      <c r="CQ39"/>
      <c r="CR39"/>
      <c r="CS39"/>
      <c r="CT39"/>
      <c r="CU39"/>
    </row>
    <row r="40" spans="1:99" x14ac:dyDescent="0.25">
      <c r="A40" s="18" t="s">
        <v>80</v>
      </c>
      <c r="B40" s="19" t="s">
        <v>127</v>
      </c>
      <c r="C40" s="39" t="s">
        <v>128</v>
      </c>
      <c r="D40" s="40">
        <v>56</v>
      </c>
      <c r="E40" s="40" t="s">
        <v>83</v>
      </c>
      <c r="F40" s="40">
        <v>56</v>
      </c>
      <c r="G40" s="162" t="s">
        <v>83</v>
      </c>
      <c r="H40" s="162" t="s">
        <v>83</v>
      </c>
      <c r="I40" s="166">
        <v>0</v>
      </c>
      <c r="J40" s="166">
        <v>13</v>
      </c>
      <c r="K40" s="166">
        <v>14</v>
      </c>
      <c r="L40" s="166">
        <v>9</v>
      </c>
      <c r="M40" s="166">
        <v>20</v>
      </c>
      <c r="N40" s="119">
        <v>2.3391812865497099E-2</v>
      </c>
      <c r="O40" s="119">
        <v>2.3391812865497099E-2</v>
      </c>
      <c r="P40" s="116" t="s">
        <v>83</v>
      </c>
      <c r="Q40" s="116" t="s">
        <v>83</v>
      </c>
      <c r="R40" s="119">
        <v>0</v>
      </c>
      <c r="S40" s="119">
        <v>2.18120805369128E-2</v>
      </c>
      <c r="T40" s="119">
        <v>2.26904376012966E-2</v>
      </c>
      <c r="U40" s="119">
        <v>1.59857904085258E-2</v>
      </c>
      <c r="V40" s="119">
        <v>3.5842293906809999E-2</v>
      </c>
      <c r="W40" s="40">
        <v>2229</v>
      </c>
      <c r="X40" s="40">
        <f t="shared" ref="X40:X76" si="4">SUM(AN40:AR40)</f>
        <v>2229</v>
      </c>
      <c r="Y40" s="40">
        <f t="shared" ref="Y40:Y105" si="5">SUM(AL40:AR40)</f>
        <v>2229</v>
      </c>
      <c r="Z40" s="105">
        <v>0.53900000000000003</v>
      </c>
      <c r="AA40" s="105">
        <v>0.46100000000000002</v>
      </c>
      <c r="AB40" s="106">
        <f>1/2229</f>
        <v>4.4863167339614175E-4</v>
      </c>
      <c r="AC40" s="106">
        <f>17/2229</f>
        <v>7.6267384477344104E-3</v>
      </c>
      <c r="AD40" s="106">
        <f>1004/2229</f>
        <v>0.45042620008972634</v>
      </c>
      <c r="AE40" s="106">
        <f>102/2229</f>
        <v>4.5760430686406457E-2</v>
      </c>
      <c r="AF40" s="106">
        <f>1/2229</f>
        <v>4.4863167339614175E-4</v>
      </c>
      <c r="AG40" s="106">
        <f>1065/2229</f>
        <v>0.477792732166891</v>
      </c>
      <c r="AH40" s="106">
        <f>39/2229</f>
        <v>1.7496635262449527E-2</v>
      </c>
      <c r="AI40" s="106">
        <f>1164/2229</f>
        <v>0.522207267833109</v>
      </c>
      <c r="AJ40" s="105">
        <v>0.45132346343651863</v>
      </c>
      <c r="AK40" s="105">
        <v>1.4999999999999999E-2</v>
      </c>
      <c r="AL40" s="12">
        <v>0</v>
      </c>
      <c r="AM40" s="12">
        <v>0</v>
      </c>
      <c r="AN40" s="12">
        <v>55</v>
      </c>
      <c r="AO40" s="12">
        <v>553</v>
      </c>
      <c r="AP40" s="12">
        <v>558</v>
      </c>
      <c r="AQ40" s="12">
        <v>532</v>
      </c>
      <c r="AR40" s="12">
        <v>531</v>
      </c>
      <c r="AS40" s="59">
        <v>9.0460526315789477E-2</v>
      </c>
      <c r="AT40" s="12">
        <v>9</v>
      </c>
      <c r="AU40" s="3">
        <v>6</v>
      </c>
      <c r="AV40" s="54">
        <v>54.573804573804573</v>
      </c>
      <c r="AW40" s="54">
        <v>12.681912681912683</v>
      </c>
      <c r="AX40" s="54">
        <v>28.690228690228693</v>
      </c>
      <c r="AY40" s="68">
        <v>4.0540540540540544</v>
      </c>
      <c r="AZ40" s="59">
        <v>0.17523167649536647</v>
      </c>
      <c r="BA40" s="59">
        <v>0.10025273799494525</v>
      </c>
      <c r="BB40" s="76">
        <v>93.982062494991794</v>
      </c>
      <c r="BC40" s="49">
        <v>32.4653506929861</v>
      </c>
      <c r="BD40" s="90" t="s">
        <v>83</v>
      </c>
      <c r="BE40" s="90" t="s">
        <v>83</v>
      </c>
      <c r="BF40" s="49">
        <v>0.8</v>
      </c>
      <c r="BG40" s="49">
        <v>0.7</v>
      </c>
      <c r="BH40" s="49">
        <v>1.4</v>
      </c>
      <c r="BI40" s="49">
        <v>1.2</v>
      </c>
      <c r="BJ40" s="85">
        <v>21.4</v>
      </c>
      <c r="BK40" s="126">
        <v>9505</v>
      </c>
      <c r="BL40" s="126">
        <v>52448</v>
      </c>
      <c r="BM40" s="126">
        <v>54381</v>
      </c>
      <c r="BN40" s="126">
        <v>46650</v>
      </c>
      <c r="BO40" s="59">
        <v>1.15E-2</v>
      </c>
      <c r="BP40" s="59">
        <v>0.40129999999999999</v>
      </c>
      <c r="BQ40" s="59">
        <v>0.22689999999999999</v>
      </c>
      <c r="BR40" s="59">
        <v>0</v>
      </c>
      <c r="BS40" s="59">
        <v>5.7000000000000002E-3</v>
      </c>
      <c r="BT40" s="49">
        <v>12.9</v>
      </c>
      <c r="BU40" s="59">
        <f t="shared" si="2"/>
        <v>0.64539999999999997</v>
      </c>
      <c r="BV40" s="59">
        <v>5.0900000000000001E-2</v>
      </c>
      <c r="BW40" s="59">
        <v>0</v>
      </c>
      <c r="BX40" s="59">
        <v>3.4299999999999997E-2</v>
      </c>
      <c r="BY40" s="59">
        <v>0</v>
      </c>
      <c r="BZ40" s="59">
        <v>0</v>
      </c>
      <c r="CA40" s="49">
        <v>20</v>
      </c>
      <c r="CB40" s="59">
        <f t="shared" si="3"/>
        <v>8.5199999999999998E-2</v>
      </c>
      <c r="CC40" s="59">
        <v>0.25829999999999997</v>
      </c>
      <c r="CD40" s="125">
        <v>0.4345</v>
      </c>
      <c r="CE40" s="125">
        <v>0.29580000000000001</v>
      </c>
      <c r="CF40" s="125">
        <v>5.7000000000000002E-3</v>
      </c>
      <c r="CG40" s="125">
        <v>5.7000000000000002E-3</v>
      </c>
      <c r="CH40" s="85">
        <v>13.4</v>
      </c>
      <c r="CI40" s="39" t="s">
        <v>128</v>
      </c>
      <c r="CJ40" s="18" t="s">
        <v>80</v>
      </c>
      <c r="CK40" s="20"/>
    </row>
    <row r="41" spans="1:99" x14ac:dyDescent="0.25">
      <c r="A41" s="18" t="s">
        <v>80</v>
      </c>
      <c r="B41" s="19" t="s">
        <v>127</v>
      </c>
      <c r="C41" s="39" t="s">
        <v>129</v>
      </c>
      <c r="D41" s="40">
        <v>2</v>
      </c>
      <c r="E41" s="40" t="s">
        <v>83</v>
      </c>
      <c r="F41" s="40">
        <v>2</v>
      </c>
      <c r="G41" s="162" t="s">
        <v>83</v>
      </c>
      <c r="H41" s="162" t="s">
        <v>83</v>
      </c>
      <c r="I41" s="162" t="s">
        <v>83</v>
      </c>
      <c r="J41" s="166">
        <v>0</v>
      </c>
      <c r="K41" s="166">
        <v>0</v>
      </c>
      <c r="L41" s="166">
        <v>0</v>
      </c>
      <c r="M41" s="166">
        <v>2</v>
      </c>
      <c r="N41" s="119">
        <v>1.7683465959327999E-3</v>
      </c>
      <c r="O41" s="119">
        <v>1.7683465959327999E-3</v>
      </c>
      <c r="P41" s="116" t="s">
        <v>83</v>
      </c>
      <c r="Q41" s="116" t="s">
        <v>83</v>
      </c>
      <c r="R41" s="116" t="s">
        <v>83</v>
      </c>
      <c r="S41" s="119">
        <v>0</v>
      </c>
      <c r="T41" s="119">
        <v>0</v>
      </c>
      <c r="U41" s="119">
        <v>0</v>
      </c>
      <c r="V41" s="119">
        <v>7.0175438596491203E-3</v>
      </c>
      <c r="W41" s="40">
        <v>1122</v>
      </c>
      <c r="X41" s="40">
        <f t="shared" si="4"/>
        <v>1122</v>
      </c>
      <c r="Y41" s="40">
        <f t="shared" si="5"/>
        <v>1122</v>
      </c>
      <c r="Z41" s="105">
        <v>0.61299999999999999</v>
      </c>
      <c r="AA41" s="105">
        <v>0.38700000000000001</v>
      </c>
      <c r="AB41" s="106">
        <f>5/1122</f>
        <v>4.4563279857397506E-3</v>
      </c>
      <c r="AC41" s="106">
        <f>90/1122</f>
        <v>8.0213903743315509E-2</v>
      </c>
      <c r="AD41" s="106">
        <f>252/1122</f>
        <v>0.22459893048128343</v>
      </c>
      <c r="AE41" s="106">
        <f>46/1122</f>
        <v>4.0998217468805706E-2</v>
      </c>
      <c r="AF41" s="106">
        <f>1/1122</f>
        <v>8.9126559714795004E-4</v>
      </c>
      <c r="AG41" s="106">
        <f>697/1122</f>
        <v>0.62121212121212122</v>
      </c>
      <c r="AH41" s="106">
        <f>31/1122</f>
        <v>2.7629233511586453E-2</v>
      </c>
      <c r="AI41" s="106">
        <f>425/1122</f>
        <v>0.37878787878787878</v>
      </c>
      <c r="AJ41" s="105">
        <v>0.23172905525846701</v>
      </c>
      <c r="AK41" s="105">
        <v>2E-3</v>
      </c>
      <c r="AL41" s="12">
        <v>0</v>
      </c>
      <c r="AM41" s="12">
        <v>0</v>
      </c>
      <c r="AN41" s="12">
        <v>0</v>
      </c>
      <c r="AO41" s="12">
        <v>263</v>
      </c>
      <c r="AP41" s="12">
        <v>283</v>
      </c>
      <c r="AQ41" s="12">
        <v>293</v>
      </c>
      <c r="AR41" s="12">
        <v>283</v>
      </c>
      <c r="AS41" s="59">
        <v>0</v>
      </c>
      <c r="AT41" s="12">
        <v>9</v>
      </c>
      <c r="AU41" s="3">
        <v>7</v>
      </c>
      <c r="AV41" s="54">
        <v>76.788553259141494</v>
      </c>
      <c r="AW41" s="54">
        <v>8.7440381558028619</v>
      </c>
      <c r="AX41" s="54">
        <v>13.831478537360889</v>
      </c>
      <c r="AY41" s="68">
        <v>0.63593004769475359</v>
      </c>
      <c r="AZ41" s="59">
        <v>1.1552826085239682E-2</v>
      </c>
      <c r="BA41" s="59">
        <v>1.8028696198207343E-2</v>
      </c>
      <c r="BB41" s="81">
        <v>96</v>
      </c>
      <c r="BC41" s="49">
        <v>12.8975265017668</v>
      </c>
      <c r="BD41" s="90" t="s">
        <v>83</v>
      </c>
      <c r="BE41" s="90" t="s">
        <v>83</v>
      </c>
      <c r="BF41" s="49">
        <v>0.4</v>
      </c>
      <c r="BG41" s="49">
        <v>0.4</v>
      </c>
      <c r="BH41" s="49">
        <v>0.3</v>
      </c>
      <c r="BI41" s="49">
        <v>0</v>
      </c>
      <c r="BJ41" s="85">
        <v>25.6</v>
      </c>
      <c r="BK41" s="126">
        <v>10940</v>
      </c>
      <c r="BL41" s="126">
        <v>54533</v>
      </c>
      <c r="BM41" s="126">
        <v>55470</v>
      </c>
      <c r="BN41" s="126">
        <v>48579</v>
      </c>
      <c r="BO41" s="59">
        <v>9.4999999999999998E-3</v>
      </c>
      <c r="BP41" s="59">
        <v>0.2606</v>
      </c>
      <c r="BQ41" s="59">
        <v>0.3498</v>
      </c>
      <c r="BR41" s="59">
        <v>0</v>
      </c>
      <c r="BS41" s="59">
        <v>1.89E-2</v>
      </c>
      <c r="BT41" s="49">
        <v>17.899999999999999</v>
      </c>
      <c r="BU41" s="59">
        <f t="shared" si="2"/>
        <v>0.63880000000000003</v>
      </c>
      <c r="BV41" s="59">
        <v>3.78E-2</v>
      </c>
      <c r="BW41" s="59">
        <v>9.4999999999999998E-3</v>
      </c>
      <c r="BX41" s="59">
        <v>3.78E-2</v>
      </c>
      <c r="BY41" s="59">
        <v>0</v>
      </c>
      <c r="BZ41" s="59">
        <v>0</v>
      </c>
      <c r="CA41" s="49">
        <v>23.4</v>
      </c>
      <c r="CB41" s="59">
        <f t="shared" si="3"/>
        <v>8.5100000000000009E-2</v>
      </c>
      <c r="CC41" s="59">
        <v>0.26929999999999998</v>
      </c>
      <c r="CD41" s="125">
        <v>0.27950000000000003</v>
      </c>
      <c r="CE41" s="125">
        <v>0.42759999999999998</v>
      </c>
      <c r="CF41" s="125">
        <v>0</v>
      </c>
      <c r="CG41" s="125">
        <v>2.3599999999999999E-2</v>
      </c>
      <c r="CH41" s="85">
        <v>17</v>
      </c>
      <c r="CI41" s="39" t="s">
        <v>129</v>
      </c>
      <c r="CJ41" s="18" t="s">
        <v>80</v>
      </c>
      <c r="CK41" s="20"/>
    </row>
    <row r="42" spans="1:99" x14ac:dyDescent="0.25">
      <c r="A42" s="18" t="s">
        <v>80</v>
      </c>
      <c r="B42" s="19" t="s">
        <v>127</v>
      </c>
      <c r="C42" s="39" t="s">
        <v>130</v>
      </c>
      <c r="D42" s="40">
        <v>19</v>
      </c>
      <c r="E42" s="40" t="s">
        <v>83</v>
      </c>
      <c r="F42" s="40">
        <v>19</v>
      </c>
      <c r="G42" s="162" t="s">
        <v>83</v>
      </c>
      <c r="H42" s="162" t="s">
        <v>83</v>
      </c>
      <c r="I42" s="166">
        <v>0</v>
      </c>
      <c r="J42" s="166">
        <v>3</v>
      </c>
      <c r="K42" s="166">
        <v>4</v>
      </c>
      <c r="L42" s="166">
        <v>2</v>
      </c>
      <c r="M42" s="166">
        <v>10</v>
      </c>
      <c r="N42" s="119">
        <v>1.3728323699422E-2</v>
      </c>
      <c r="O42" s="119">
        <v>1.3728323699422E-2</v>
      </c>
      <c r="P42" s="116" t="s">
        <v>83</v>
      </c>
      <c r="Q42" s="116" t="s">
        <v>83</v>
      </c>
      <c r="R42" s="119">
        <v>0</v>
      </c>
      <c r="S42" s="119">
        <v>6.6225165562913899E-3</v>
      </c>
      <c r="T42" s="119">
        <v>1.1904761904761901E-2</v>
      </c>
      <c r="U42" s="119">
        <v>7.2463768115942004E-3</v>
      </c>
      <c r="V42" s="119">
        <v>3.4129692832764499E-2</v>
      </c>
      <c r="W42" s="40">
        <v>1320</v>
      </c>
      <c r="X42" s="40">
        <f t="shared" si="4"/>
        <v>1320</v>
      </c>
      <c r="Y42" s="40">
        <f t="shared" si="5"/>
        <v>1320</v>
      </c>
      <c r="Z42" s="105">
        <v>0.5</v>
      </c>
      <c r="AA42" s="105">
        <v>0.5</v>
      </c>
      <c r="AB42" s="106">
        <f>3/1320</f>
        <v>2.2727272727272726E-3</v>
      </c>
      <c r="AC42" s="106">
        <f>27/1320</f>
        <v>2.0454545454545454E-2</v>
      </c>
      <c r="AD42" s="106">
        <f>620/1320</f>
        <v>0.46969696969696972</v>
      </c>
      <c r="AE42" s="106">
        <f>40/1320</f>
        <v>3.0303030303030304E-2</v>
      </c>
      <c r="AF42" s="106">
        <f>1/1320</f>
        <v>7.5757575757575758E-4</v>
      </c>
      <c r="AG42" s="106">
        <f>617/1320</f>
        <v>0.46742424242424241</v>
      </c>
      <c r="AH42" s="106">
        <f>12/1320</f>
        <v>9.0909090909090905E-3</v>
      </c>
      <c r="AI42" s="106">
        <f>703/1320</f>
        <v>0.53257575757575759</v>
      </c>
      <c r="AJ42" s="105">
        <v>0.47045454545454546</v>
      </c>
      <c r="AK42" s="105">
        <v>1.0999999999999999E-2</v>
      </c>
      <c r="AL42" s="12">
        <v>0</v>
      </c>
      <c r="AM42" s="12">
        <v>0</v>
      </c>
      <c r="AN42" s="12">
        <v>32</v>
      </c>
      <c r="AO42" s="12">
        <v>424</v>
      </c>
      <c r="AP42" s="12">
        <v>319</v>
      </c>
      <c r="AQ42" s="12">
        <v>267</v>
      </c>
      <c r="AR42" s="12">
        <v>278</v>
      </c>
      <c r="AS42" s="59">
        <v>7.0175438596491224E-2</v>
      </c>
      <c r="AT42" s="12">
        <v>9</v>
      </c>
      <c r="AU42" s="3">
        <v>6</v>
      </c>
      <c r="AV42" s="54">
        <v>69.634146341463406</v>
      </c>
      <c r="AW42" s="54">
        <v>10.365853658536585</v>
      </c>
      <c r="AX42" s="54">
        <v>16.219512195121951</v>
      </c>
      <c r="AY42" s="68">
        <v>3.7804878048780486</v>
      </c>
      <c r="AZ42" s="59">
        <v>0.12145454545454545</v>
      </c>
      <c r="BA42" s="59">
        <v>5.7454545454545453E-2</v>
      </c>
      <c r="BB42" s="81">
        <v>96</v>
      </c>
      <c r="BC42" s="49">
        <v>12.645348837209299</v>
      </c>
      <c r="BD42" s="90" t="s">
        <v>83</v>
      </c>
      <c r="BE42" s="90" t="s">
        <v>83</v>
      </c>
      <c r="BF42" s="49">
        <v>2</v>
      </c>
      <c r="BG42" s="49">
        <v>2.4</v>
      </c>
      <c r="BH42" s="49">
        <v>0.8</v>
      </c>
      <c r="BI42" s="49">
        <v>3.3</v>
      </c>
      <c r="BJ42" s="85">
        <v>20.2</v>
      </c>
      <c r="BK42" s="126">
        <v>10073</v>
      </c>
      <c r="BL42" s="126">
        <v>51391</v>
      </c>
      <c r="BM42" s="126">
        <v>55491</v>
      </c>
      <c r="BN42" s="126">
        <v>43592</v>
      </c>
      <c r="BO42" s="59">
        <v>1.6899999999999998E-2</v>
      </c>
      <c r="BP42" s="59">
        <v>0.3226</v>
      </c>
      <c r="BQ42" s="59">
        <v>0.20449999999999999</v>
      </c>
      <c r="BR42" s="59">
        <v>0</v>
      </c>
      <c r="BS42" s="59">
        <v>0</v>
      </c>
      <c r="BT42" s="49">
        <v>12</v>
      </c>
      <c r="BU42" s="59">
        <f t="shared" si="2"/>
        <v>0.54400000000000004</v>
      </c>
      <c r="BV42" s="59">
        <v>3.3099999999999997E-2</v>
      </c>
      <c r="BW42" s="59">
        <v>8.5000000000000006E-3</v>
      </c>
      <c r="BX42" s="59">
        <v>4.0500000000000001E-2</v>
      </c>
      <c r="BY42" s="59">
        <v>0</v>
      </c>
      <c r="BZ42" s="59">
        <v>8.5000000000000006E-3</v>
      </c>
      <c r="CA42" s="49">
        <v>19</v>
      </c>
      <c r="CB42" s="59">
        <f t="shared" si="3"/>
        <v>9.0600000000000014E-2</v>
      </c>
      <c r="CC42" s="59">
        <v>0.31790000000000002</v>
      </c>
      <c r="CD42" s="125">
        <v>0.38329999999999997</v>
      </c>
      <c r="CE42" s="125">
        <v>0.2903</v>
      </c>
      <c r="CF42" s="125">
        <v>0</v>
      </c>
      <c r="CG42" s="125">
        <v>8.5000000000000006E-3</v>
      </c>
      <c r="CH42" s="85">
        <v>12.7</v>
      </c>
      <c r="CI42" s="39" t="s">
        <v>130</v>
      </c>
      <c r="CJ42" s="18" t="s">
        <v>80</v>
      </c>
      <c r="CK42" s="20"/>
    </row>
    <row r="43" spans="1:99" x14ac:dyDescent="0.25">
      <c r="A43" s="18" t="s">
        <v>80</v>
      </c>
      <c r="B43" s="19" t="s">
        <v>127</v>
      </c>
      <c r="C43" s="39" t="s">
        <v>131</v>
      </c>
      <c r="D43" s="40">
        <v>71</v>
      </c>
      <c r="E43" s="40" t="s">
        <v>83</v>
      </c>
      <c r="F43" s="40">
        <v>71</v>
      </c>
      <c r="G43" s="162" t="s">
        <v>83</v>
      </c>
      <c r="H43" s="162" t="s">
        <v>83</v>
      </c>
      <c r="I43" s="166">
        <v>4</v>
      </c>
      <c r="J43" s="166">
        <v>18</v>
      </c>
      <c r="K43" s="166">
        <v>17</v>
      </c>
      <c r="L43" s="166">
        <v>12</v>
      </c>
      <c r="M43" s="166">
        <v>20</v>
      </c>
      <c r="N43" s="119">
        <v>7.3804573804573795E-2</v>
      </c>
      <c r="O43" s="119">
        <v>7.3804573804573795E-2</v>
      </c>
      <c r="P43" s="116" t="s">
        <v>83</v>
      </c>
      <c r="Q43" s="116" t="s">
        <v>83</v>
      </c>
      <c r="R43" s="119">
        <v>2.7972027972028E-2</v>
      </c>
      <c r="S43" s="119">
        <v>7.4688796680497896E-2</v>
      </c>
      <c r="T43" s="119">
        <v>7.7272727272727298E-2</v>
      </c>
      <c r="U43" s="119">
        <v>6.7415730337078705E-2</v>
      </c>
      <c r="V43" s="119">
        <v>0.11111111111111099</v>
      </c>
      <c r="W43" s="40">
        <v>783</v>
      </c>
      <c r="X43" s="40">
        <f t="shared" si="4"/>
        <v>783</v>
      </c>
      <c r="Y43" s="40">
        <f t="shared" si="5"/>
        <v>783</v>
      </c>
      <c r="Z43" s="105">
        <v>0.55400000000000005</v>
      </c>
      <c r="AA43" s="105">
        <v>0.44600000000000001</v>
      </c>
      <c r="AB43" s="106">
        <v>0</v>
      </c>
      <c r="AC43" s="106">
        <f>2/783</f>
        <v>2.554278416347382E-3</v>
      </c>
      <c r="AD43" s="106">
        <f>767/783</f>
        <v>0.97956577266922096</v>
      </c>
      <c r="AE43" s="106">
        <f>2/783</f>
        <v>2.554278416347382E-3</v>
      </c>
      <c r="AF43" s="106">
        <v>0</v>
      </c>
      <c r="AG43" s="106">
        <f>11/783</f>
        <v>1.40485312899106E-2</v>
      </c>
      <c r="AH43" s="106">
        <f>1/783</f>
        <v>1.277139208173691E-3</v>
      </c>
      <c r="AI43" s="106">
        <f>772/783</f>
        <v>0.98595146871008943</v>
      </c>
      <c r="AJ43" s="105">
        <v>0.93614303959131551</v>
      </c>
      <c r="AK43" s="105">
        <v>0</v>
      </c>
      <c r="AL43" s="12">
        <v>0</v>
      </c>
      <c r="AM43" s="12">
        <v>0</v>
      </c>
      <c r="AN43" s="12">
        <v>127</v>
      </c>
      <c r="AO43" s="12">
        <v>180</v>
      </c>
      <c r="AP43" s="12">
        <v>184</v>
      </c>
      <c r="AQ43" s="12">
        <v>151</v>
      </c>
      <c r="AR43" s="12">
        <v>141</v>
      </c>
      <c r="AS43" s="59">
        <v>0.41368078175895767</v>
      </c>
      <c r="AT43" s="12">
        <v>9</v>
      </c>
      <c r="AU43" s="3">
        <v>6</v>
      </c>
      <c r="AV43" s="54">
        <v>63.47150259067358</v>
      </c>
      <c r="AW43" s="54">
        <v>16.839378238341968</v>
      </c>
      <c r="AX43" s="54">
        <v>15.803108808290157</v>
      </c>
      <c r="AY43" s="68">
        <v>3.8860103626943006</v>
      </c>
      <c r="AZ43" s="59">
        <v>1.7237653297978123E-2</v>
      </c>
      <c r="BA43" s="59">
        <v>7.3672806067172261E-2</v>
      </c>
      <c r="BB43" s="77">
        <v>89.860473283151904</v>
      </c>
      <c r="BC43" s="49">
        <v>48.124330117899198</v>
      </c>
      <c r="BD43" s="90" t="s">
        <v>83</v>
      </c>
      <c r="BE43" s="90" t="s">
        <v>83</v>
      </c>
      <c r="BF43" s="49">
        <v>8.4</v>
      </c>
      <c r="BG43" s="49">
        <v>8.9</v>
      </c>
      <c r="BH43" s="49">
        <v>7.2</v>
      </c>
      <c r="BI43" s="49">
        <v>6.1</v>
      </c>
      <c r="BJ43" s="85">
        <v>15.4</v>
      </c>
      <c r="BK43" s="126">
        <v>14766</v>
      </c>
      <c r="BL43" s="126">
        <v>55650</v>
      </c>
      <c r="BM43" s="126">
        <v>60732</v>
      </c>
      <c r="BN43" s="126">
        <v>43982</v>
      </c>
      <c r="BO43" s="59">
        <v>0</v>
      </c>
      <c r="BP43" s="59">
        <v>0.29970000000000002</v>
      </c>
      <c r="BQ43" s="59">
        <v>0.1696</v>
      </c>
      <c r="BR43" s="59">
        <v>0</v>
      </c>
      <c r="BS43" s="59">
        <v>0</v>
      </c>
      <c r="BT43" s="49">
        <v>14.2</v>
      </c>
      <c r="BU43" s="59">
        <f t="shared" si="2"/>
        <v>0.46930000000000005</v>
      </c>
      <c r="BV43" s="59">
        <v>3.9600000000000003E-2</v>
      </c>
      <c r="BW43" s="59">
        <v>0.01</v>
      </c>
      <c r="BX43" s="59">
        <v>3.9899999999999998E-2</v>
      </c>
      <c r="BY43" s="59">
        <v>0</v>
      </c>
      <c r="BZ43" s="59">
        <v>0</v>
      </c>
      <c r="CA43" s="49">
        <v>18.899999999999999</v>
      </c>
      <c r="CB43" s="59">
        <f t="shared" si="3"/>
        <v>8.9499999999999996E-2</v>
      </c>
      <c r="CC43" s="59">
        <v>0.37409999999999999</v>
      </c>
      <c r="CD43" s="125">
        <v>0.36959999999999998</v>
      </c>
      <c r="CE43" s="125">
        <v>0.25629999999999997</v>
      </c>
      <c r="CF43" s="125">
        <v>0</v>
      </c>
      <c r="CG43" s="125">
        <v>0</v>
      </c>
      <c r="CH43" s="85">
        <v>14.3</v>
      </c>
      <c r="CI43" s="39" t="s">
        <v>131</v>
      </c>
      <c r="CJ43" s="18" t="s">
        <v>80</v>
      </c>
      <c r="CK43" s="20"/>
    </row>
    <row r="44" spans="1:99" x14ac:dyDescent="0.25">
      <c r="A44" s="18" t="s">
        <v>80</v>
      </c>
      <c r="B44" s="19" t="s">
        <v>127</v>
      </c>
      <c r="C44" s="39" t="s">
        <v>132</v>
      </c>
      <c r="D44" s="40">
        <v>19</v>
      </c>
      <c r="E44" s="40">
        <v>3</v>
      </c>
      <c r="F44" s="40">
        <v>16</v>
      </c>
      <c r="G44" s="166">
        <v>1</v>
      </c>
      <c r="H44" s="166">
        <v>2</v>
      </c>
      <c r="I44" s="166">
        <v>3</v>
      </c>
      <c r="J44" s="166">
        <v>3</v>
      </c>
      <c r="K44" s="166">
        <v>6</v>
      </c>
      <c r="L44" s="166">
        <v>3</v>
      </c>
      <c r="M44" s="166">
        <v>1</v>
      </c>
      <c r="N44" s="119">
        <v>2.1939953810623601E-2</v>
      </c>
      <c r="O44" s="119">
        <v>3.0360531309297899E-2</v>
      </c>
      <c r="P44" s="119">
        <v>5.74712643678161E-3</v>
      </c>
      <c r="Q44" s="119">
        <v>1.21212121212121E-2</v>
      </c>
      <c r="R44" s="119">
        <v>5.1724137931034503E-2</v>
      </c>
      <c r="S44" s="119">
        <v>2.0270270270270299E-2</v>
      </c>
      <c r="T44" s="119">
        <v>5.2631578947368397E-2</v>
      </c>
      <c r="U44" s="119">
        <v>3.1578947368421102E-2</v>
      </c>
      <c r="V44" s="119">
        <v>8.9285714285714298E-3</v>
      </c>
      <c r="W44" s="40">
        <v>739</v>
      </c>
      <c r="X44" s="40">
        <f t="shared" si="4"/>
        <v>463</v>
      </c>
      <c r="Y44" s="40">
        <f t="shared" si="5"/>
        <v>739</v>
      </c>
      <c r="Z44" s="105">
        <v>0.47799999999999998</v>
      </c>
      <c r="AA44" s="105">
        <v>0.52200000000000002</v>
      </c>
      <c r="AB44" s="106">
        <v>0</v>
      </c>
      <c r="AC44" s="106">
        <v>0</v>
      </c>
      <c r="AD44" s="106">
        <f>735/739</f>
        <v>0.99458728010825437</v>
      </c>
      <c r="AE44" s="106">
        <f>1/739</f>
        <v>1.3531799729364006E-3</v>
      </c>
      <c r="AF44" s="106">
        <v>0</v>
      </c>
      <c r="AG44" s="106">
        <f>1/739</f>
        <v>1.3531799729364006E-3</v>
      </c>
      <c r="AH44" s="106">
        <f>2/739</f>
        <v>2.7063599458728013E-3</v>
      </c>
      <c r="AI44" s="106">
        <f>738/739</f>
        <v>0.99864682002706362</v>
      </c>
      <c r="AJ44" s="105">
        <v>0.96075778078484442</v>
      </c>
      <c r="AK44" s="105">
        <v>0</v>
      </c>
      <c r="AL44" s="12">
        <v>139</v>
      </c>
      <c r="AM44" s="12">
        <v>137</v>
      </c>
      <c r="AN44" s="12">
        <v>48</v>
      </c>
      <c r="AO44" s="12">
        <v>125</v>
      </c>
      <c r="AP44" s="12">
        <v>99</v>
      </c>
      <c r="AQ44" s="12">
        <v>90</v>
      </c>
      <c r="AR44" s="12">
        <v>101</v>
      </c>
      <c r="AS44" s="59">
        <v>0.2774566473988439</v>
      </c>
      <c r="AT44" s="12">
        <v>7</v>
      </c>
      <c r="AU44" s="3">
        <v>6</v>
      </c>
      <c r="AV44" s="54">
        <v>57.993730407523515</v>
      </c>
      <c r="AW44" s="54">
        <v>29.153605015673982</v>
      </c>
      <c r="AX44" s="54">
        <v>11.598746081504702</v>
      </c>
      <c r="AY44" s="68">
        <v>1.2539184952978055</v>
      </c>
      <c r="AZ44" s="59">
        <v>0.32636469221835074</v>
      </c>
      <c r="BA44" s="59">
        <v>6.1556329849012777E-2</v>
      </c>
      <c r="BB44" s="76">
        <v>93.250134085116997</v>
      </c>
      <c r="BC44" s="49">
        <v>36.152954808806498</v>
      </c>
      <c r="BD44" s="49">
        <v>0.8</v>
      </c>
      <c r="BE44" s="49">
        <v>0</v>
      </c>
      <c r="BF44" s="49">
        <v>6.1</v>
      </c>
      <c r="BG44" s="49">
        <v>0</v>
      </c>
      <c r="BH44" s="49">
        <v>0</v>
      </c>
      <c r="BI44" s="49">
        <v>6.7</v>
      </c>
      <c r="BJ44" s="85">
        <v>17.2</v>
      </c>
      <c r="BK44" s="126">
        <v>13049</v>
      </c>
      <c r="BL44" s="126">
        <v>56535</v>
      </c>
      <c r="BM44" s="126">
        <v>71159</v>
      </c>
      <c r="BN44" s="126">
        <v>47398</v>
      </c>
      <c r="BO44" s="59">
        <v>2.4E-2</v>
      </c>
      <c r="BP44" s="59">
        <v>0.24879999999999999</v>
      </c>
      <c r="BQ44" s="59">
        <v>0.2467</v>
      </c>
      <c r="BR44" s="59">
        <v>1.2E-2</v>
      </c>
      <c r="BS44" s="59">
        <v>0</v>
      </c>
      <c r="BT44" s="49">
        <v>10.9</v>
      </c>
      <c r="BU44" s="59">
        <f t="shared" si="2"/>
        <v>0.53149999999999997</v>
      </c>
      <c r="BV44" s="59">
        <v>2.3400000000000001E-2</v>
      </c>
      <c r="BW44" s="59">
        <v>1.2E-2</v>
      </c>
      <c r="BX44" s="59">
        <v>4.8000000000000001E-2</v>
      </c>
      <c r="BY44" s="59">
        <v>0</v>
      </c>
      <c r="BZ44" s="59">
        <v>0</v>
      </c>
      <c r="CA44" s="49">
        <v>19.7</v>
      </c>
      <c r="CB44" s="59">
        <f t="shared" si="3"/>
        <v>8.3400000000000002E-2</v>
      </c>
      <c r="CC44" s="59">
        <v>0.34010000000000001</v>
      </c>
      <c r="CD44" s="125">
        <v>0.30280000000000001</v>
      </c>
      <c r="CE44" s="125">
        <v>0.33310000000000001</v>
      </c>
      <c r="CF44" s="125">
        <v>2.4E-2</v>
      </c>
      <c r="CG44" s="125">
        <v>0</v>
      </c>
      <c r="CH44" s="85">
        <v>11.6</v>
      </c>
      <c r="CI44" s="39" t="s">
        <v>132</v>
      </c>
      <c r="CJ44" s="18" t="s">
        <v>80</v>
      </c>
      <c r="CK44" s="20"/>
    </row>
    <row r="45" spans="1:99" x14ac:dyDescent="0.25">
      <c r="A45" s="18" t="s">
        <v>80</v>
      </c>
      <c r="B45" s="19" t="s">
        <v>127</v>
      </c>
      <c r="C45" s="39" t="s">
        <v>133</v>
      </c>
      <c r="D45" s="40">
        <v>49</v>
      </c>
      <c r="E45" s="40">
        <v>4</v>
      </c>
      <c r="F45" s="40">
        <v>45</v>
      </c>
      <c r="G45" s="166">
        <v>1</v>
      </c>
      <c r="H45" s="166">
        <v>3</v>
      </c>
      <c r="I45" s="166">
        <v>0</v>
      </c>
      <c r="J45" s="166">
        <v>8</v>
      </c>
      <c r="K45" s="166">
        <v>14</v>
      </c>
      <c r="L45" s="166">
        <v>7</v>
      </c>
      <c r="M45" s="166">
        <v>16</v>
      </c>
      <c r="N45" s="119">
        <v>3.60824742268041E-2</v>
      </c>
      <c r="O45" s="119">
        <v>4.6296296296296301E-2</v>
      </c>
      <c r="P45" s="119">
        <v>5.3763440860215101E-3</v>
      </c>
      <c r="Q45" s="119">
        <v>1.4999999999999999E-2</v>
      </c>
      <c r="R45" s="119">
        <v>0</v>
      </c>
      <c r="S45" s="119">
        <v>3.2000000000000001E-2</v>
      </c>
      <c r="T45" s="119">
        <v>5.62248995983936E-2</v>
      </c>
      <c r="U45" s="119">
        <v>3.7433155080213901E-2</v>
      </c>
      <c r="V45" s="119">
        <v>7.4074074074074098E-2</v>
      </c>
      <c r="W45" s="40">
        <v>1169</v>
      </c>
      <c r="X45" s="40">
        <f t="shared" si="4"/>
        <v>843</v>
      </c>
      <c r="Y45" s="40">
        <f t="shared" si="5"/>
        <v>1169</v>
      </c>
      <c r="Z45" s="105">
        <v>0.45900000000000002</v>
      </c>
      <c r="AA45" s="105">
        <v>0.54200000000000004</v>
      </c>
      <c r="AB45" s="106">
        <f>2/1169</f>
        <v>1.710863986313088E-3</v>
      </c>
      <c r="AC45" s="106">
        <f>2/1169</f>
        <v>1.710863986313088E-3</v>
      </c>
      <c r="AD45" s="106">
        <f>986/1169</f>
        <v>0.84345594525235246</v>
      </c>
      <c r="AE45" s="106">
        <f>33/1169</f>
        <v>2.8229255774165955E-2</v>
      </c>
      <c r="AF45" s="106">
        <v>0</v>
      </c>
      <c r="AG45" s="106">
        <f>142/1169</f>
        <v>0.12147134302822926</v>
      </c>
      <c r="AH45" s="106">
        <f>4/1169</f>
        <v>3.4217279726261761E-3</v>
      </c>
      <c r="AI45" s="106">
        <f>1027/1169</f>
        <v>0.87852865697177074</v>
      </c>
      <c r="AJ45" s="105">
        <v>0.81779298545765611</v>
      </c>
      <c r="AK45" s="105">
        <v>8.9999999999999993E-3</v>
      </c>
      <c r="AL45" s="12">
        <v>151</v>
      </c>
      <c r="AM45" s="12">
        <v>175</v>
      </c>
      <c r="AN45" s="12">
        <v>64</v>
      </c>
      <c r="AO45" s="12">
        <v>204</v>
      </c>
      <c r="AP45" s="12">
        <v>216</v>
      </c>
      <c r="AQ45" s="12">
        <v>165</v>
      </c>
      <c r="AR45" s="12">
        <v>194</v>
      </c>
      <c r="AS45" s="59">
        <v>0.23880597014925373</v>
      </c>
      <c r="AT45" s="12">
        <v>7</v>
      </c>
      <c r="AU45" s="3">
        <v>6</v>
      </c>
      <c r="AV45" s="54">
        <v>62.826420890937015</v>
      </c>
      <c r="AW45" s="54">
        <v>13.056835637480798</v>
      </c>
      <c r="AX45" s="54">
        <v>17.511520737327189</v>
      </c>
      <c r="AY45" s="68">
        <v>6.6052227342549923</v>
      </c>
      <c r="AZ45" s="59">
        <v>0.11564625850340136</v>
      </c>
      <c r="BA45" s="59">
        <v>9.3726379440665156E-2</v>
      </c>
      <c r="BB45" s="77">
        <v>92.224540095526095</v>
      </c>
      <c r="BC45" s="49">
        <v>63.114134542705997</v>
      </c>
      <c r="BD45" s="49">
        <v>0.7</v>
      </c>
      <c r="BE45" s="49">
        <v>0</v>
      </c>
      <c r="BF45" s="49">
        <v>8.6</v>
      </c>
      <c r="BG45" s="49">
        <v>8.5</v>
      </c>
      <c r="BH45" s="49">
        <v>0.7</v>
      </c>
      <c r="BI45" s="49">
        <v>7</v>
      </c>
      <c r="BJ45" s="85">
        <v>16.5</v>
      </c>
      <c r="BK45" s="126">
        <v>11901</v>
      </c>
      <c r="BL45" s="126">
        <v>52953</v>
      </c>
      <c r="BM45" s="126">
        <v>59797</v>
      </c>
      <c r="BN45" s="126">
        <v>42794</v>
      </c>
      <c r="BO45" s="59">
        <v>2.3199999999999998E-2</v>
      </c>
      <c r="BP45" s="59">
        <v>0.30570000000000003</v>
      </c>
      <c r="BQ45" s="59">
        <v>0.13109999999999999</v>
      </c>
      <c r="BR45" s="59">
        <v>0</v>
      </c>
      <c r="BS45" s="59">
        <v>0</v>
      </c>
      <c r="BT45" s="49">
        <v>15</v>
      </c>
      <c r="BU45" s="59">
        <f t="shared" si="2"/>
        <v>0.46</v>
      </c>
      <c r="BV45" s="59">
        <v>4.4699999999999997E-2</v>
      </c>
      <c r="BW45" s="59">
        <v>0</v>
      </c>
      <c r="BX45" s="59">
        <v>4.6399999999999997E-2</v>
      </c>
      <c r="BY45" s="59">
        <v>0</v>
      </c>
      <c r="BZ45" s="59">
        <v>0</v>
      </c>
      <c r="CA45" s="49">
        <v>20</v>
      </c>
      <c r="CB45" s="59">
        <f t="shared" si="3"/>
        <v>9.1099999999999987E-2</v>
      </c>
      <c r="CC45" s="59">
        <v>0.40600000000000003</v>
      </c>
      <c r="CD45" s="125">
        <v>0.37290000000000001</v>
      </c>
      <c r="CE45" s="125">
        <v>0.21340000000000001</v>
      </c>
      <c r="CF45" s="125">
        <v>0</v>
      </c>
      <c r="CG45" s="125">
        <v>7.7000000000000002E-3</v>
      </c>
      <c r="CH45" s="85">
        <v>14.4</v>
      </c>
      <c r="CI45" s="39" t="s">
        <v>133</v>
      </c>
      <c r="CJ45" s="18" t="s">
        <v>80</v>
      </c>
      <c r="CK45" s="20"/>
    </row>
    <row r="46" spans="1:99" x14ac:dyDescent="0.25">
      <c r="A46" s="18" t="s">
        <v>80</v>
      </c>
      <c r="B46" s="19" t="s">
        <v>127</v>
      </c>
      <c r="C46" s="39" t="s">
        <v>134</v>
      </c>
      <c r="D46" s="40">
        <v>18</v>
      </c>
      <c r="E46" s="40" t="s">
        <v>83</v>
      </c>
      <c r="F46" s="40">
        <v>18</v>
      </c>
      <c r="G46" s="162" t="s">
        <v>83</v>
      </c>
      <c r="H46" s="162" t="s">
        <v>83</v>
      </c>
      <c r="I46" s="166">
        <v>0</v>
      </c>
      <c r="J46" s="166">
        <v>2</v>
      </c>
      <c r="K46" s="166">
        <v>8</v>
      </c>
      <c r="L46" s="166">
        <v>2</v>
      </c>
      <c r="M46" s="166">
        <v>6</v>
      </c>
      <c r="N46" s="119">
        <v>4.7619047619047603E-2</v>
      </c>
      <c r="O46" s="119">
        <v>4.7619047619047603E-2</v>
      </c>
      <c r="P46" s="116" t="s">
        <v>83</v>
      </c>
      <c r="Q46" s="116" t="s">
        <v>83</v>
      </c>
      <c r="R46" s="119">
        <v>0</v>
      </c>
      <c r="S46" s="119">
        <v>2.02020202020202E-2</v>
      </c>
      <c r="T46" s="119">
        <v>7.3394495412843999E-2</v>
      </c>
      <c r="U46" s="119">
        <v>2.3529411764705899E-2</v>
      </c>
      <c r="V46" s="119">
        <v>8.4507042253521097E-2</v>
      </c>
      <c r="W46" s="40">
        <v>342</v>
      </c>
      <c r="X46" s="40">
        <f t="shared" si="4"/>
        <v>342</v>
      </c>
      <c r="Y46" s="40">
        <f t="shared" si="5"/>
        <v>342</v>
      </c>
      <c r="Z46" s="105">
        <v>0.5</v>
      </c>
      <c r="AA46" s="105">
        <v>0.5</v>
      </c>
      <c r="AB46" s="106">
        <f>2/342</f>
        <v>5.8479532163742687E-3</v>
      </c>
      <c r="AC46" s="106">
        <f>3/342</f>
        <v>8.771929824561403E-3</v>
      </c>
      <c r="AD46" s="106">
        <f>145/342</f>
        <v>0.42397660818713451</v>
      </c>
      <c r="AE46" s="106">
        <f>9/342</f>
        <v>2.6315789473684209E-2</v>
      </c>
      <c r="AF46" s="106">
        <v>0</v>
      </c>
      <c r="AG46" s="106">
        <f>178/342</f>
        <v>0.52046783625730997</v>
      </c>
      <c r="AH46" s="106">
        <f>5/342</f>
        <v>1.4619883040935672E-2</v>
      </c>
      <c r="AI46" s="106">
        <f>164/342</f>
        <v>0.47953216374269003</v>
      </c>
      <c r="AJ46" s="105">
        <v>0.69298245614035092</v>
      </c>
      <c r="AK46" s="105">
        <v>3.0000000000000001E-3</v>
      </c>
      <c r="AL46" s="12">
        <v>0</v>
      </c>
      <c r="AM46" s="12">
        <v>0</v>
      </c>
      <c r="AN46" s="12">
        <v>12</v>
      </c>
      <c r="AO46" s="12">
        <v>88</v>
      </c>
      <c r="AP46" s="12">
        <v>106</v>
      </c>
      <c r="AQ46" s="12">
        <v>72</v>
      </c>
      <c r="AR46" s="12">
        <v>64</v>
      </c>
      <c r="AS46" s="59">
        <v>0.12</v>
      </c>
      <c r="AT46" s="12">
        <v>9</v>
      </c>
      <c r="AU46" s="3">
        <v>6</v>
      </c>
      <c r="AV46" s="54">
        <v>79.583333333333329</v>
      </c>
      <c r="AW46" s="54">
        <v>12.5</v>
      </c>
      <c r="AX46" s="54">
        <v>7.083333333333333</v>
      </c>
      <c r="AY46" s="68">
        <v>0.83333333333333337</v>
      </c>
      <c r="AZ46" s="59">
        <v>0.112</v>
      </c>
      <c r="BA46" s="59">
        <v>0.08</v>
      </c>
      <c r="BB46" s="76">
        <v>90.687761108517094</v>
      </c>
      <c r="BC46" s="49">
        <v>37.2340425531915</v>
      </c>
      <c r="BD46" s="90" t="s">
        <v>83</v>
      </c>
      <c r="BE46" s="90" t="s">
        <v>83</v>
      </c>
      <c r="BF46" s="49">
        <v>7.3</v>
      </c>
      <c r="BG46" s="49">
        <v>2.2999999999999998</v>
      </c>
      <c r="BH46" s="49">
        <v>4.2</v>
      </c>
      <c r="BI46" s="49">
        <v>1.7</v>
      </c>
      <c r="BJ46" s="85">
        <v>19.5</v>
      </c>
      <c r="BK46" s="126">
        <v>16517</v>
      </c>
      <c r="BL46" s="126">
        <v>51969</v>
      </c>
      <c r="BM46" s="126">
        <v>59367</v>
      </c>
      <c r="BN46" s="126">
        <v>43029</v>
      </c>
      <c r="BO46" s="59">
        <v>3.5299999999999998E-2</v>
      </c>
      <c r="BP46" s="59">
        <v>0.27279999999999999</v>
      </c>
      <c r="BQ46" s="59">
        <v>0.218</v>
      </c>
      <c r="BR46" s="59">
        <v>0</v>
      </c>
      <c r="BS46" s="59">
        <v>0</v>
      </c>
      <c r="BT46" s="49">
        <v>11.7</v>
      </c>
      <c r="BU46" s="59">
        <f t="shared" si="2"/>
        <v>0.52610000000000001</v>
      </c>
      <c r="BV46" s="59">
        <v>4.9099999999999998E-2</v>
      </c>
      <c r="BW46" s="59">
        <v>0</v>
      </c>
      <c r="BX46" s="59">
        <v>3.3399999999999999E-2</v>
      </c>
      <c r="BY46" s="59">
        <v>0</v>
      </c>
      <c r="BZ46" s="59">
        <v>1.7600000000000001E-2</v>
      </c>
      <c r="CA46" s="49">
        <v>14.8</v>
      </c>
      <c r="CB46" s="59">
        <f t="shared" si="3"/>
        <v>0.10009999999999999</v>
      </c>
      <c r="CC46" s="59">
        <v>0.39</v>
      </c>
      <c r="CD46" s="125">
        <v>0.32329999999999998</v>
      </c>
      <c r="CE46" s="125">
        <v>0.26900000000000002</v>
      </c>
      <c r="CF46" s="125">
        <v>0</v>
      </c>
      <c r="CG46" s="125">
        <v>1.7600000000000001E-2</v>
      </c>
      <c r="CH46" s="85">
        <v>12.2</v>
      </c>
      <c r="CI46" s="39" t="s">
        <v>134</v>
      </c>
      <c r="CJ46" s="18" t="s">
        <v>80</v>
      </c>
      <c r="CK46" s="20"/>
    </row>
    <row r="47" spans="1:99" x14ac:dyDescent="0.25">
      <c r="A47" s="18" t="s">
        <v>80</v>
      </c>
      <c r="B47" s="19" t="s">
        <v>127</v>
      </c>
      <c r="C47" s="39" t="s">
        <v>135</v>
      </c>
      <c r="D47" s="40">
        <v>33</v>
      </c>
      <c r="E47" s="40" t="s">
        <v>83</v>
      </c>
      <c r="F47" s="40">
        <v>33</v>
      </c>
      <c r="G47" s="162" t="s">
        <v>83</v>
      </c>
      <c r="H47" s="162" t="s">
        <v>83</v>
      </c>
      <c r="I47" s="166">
        <v>1</v>
      </c>
      <c r="J47" s="166">
        <v>4</v>
      </c>
      <c r="K47" s="166">
        <v>9</v>
      </c>
      <c r="L47" s="166">
        <v>3</v>
      </c>
      <c r="M47" s="166">
        <v>16</v>
      </c>
      <c r="N47" s="119">
        <v>3.09278350515464E-2</v>
      </c>
      <c r="O47" s="119">
        <v>3.09278350515464E-2</v>
      </c>
      <c r="P47" s="116" t="s">
        <v>83</v>
      </c>
      <c r="Q47" s="116" t="s">
        <v>83</v>
      </c>
      <c r="R47" s="119">
        <v>3.8461538461538498E-2</v>
      </c>
      <c r="S47" s="119">
        <v>1.32013201320132E-2</v>
      </c>
      <c r="T47" s="119">
        <v>3.2142857142857098E-2</v>
      </c>
      <c r="U47" s="119">
        <v>1.1904761904761901E-2</v>
      </c>
      <c r="V47" s="119">
        <v>7.7669902912621394E-2</v>
      </c>
      <c r="W47" s="40">
        <v>955</v>
      </c>
      <c r="X47" s="40">
        <f t="shared" si="4"/>
        <v>955</v>
      </c>
      <c r="Y47" s="40">
        <f t="shared" si="5"/>
        <v>955</v>
      </c>
      <c r="Z47" s="105">
        <v>0.49099999999999999</v>
      </c>
      <c r="AA47" s="105">
        <v>0.50900000000000001</v>
      </c>
      <c r="AB47" s="106">
        <f>3/955</f>
        <v>3.1413612565445027E-3</v>
      </c>
      <c r="AC47" s="106">
        <v>0</v>
      </c>
      <c r="AD47" s="106">
        <f>319/955</f>
        <v>0.33403141361256544</v>
      </c>
      <c r="AE47" s="106">
        <f>22/955</f>
        <v>2.3036649214659685E-2</v>
      </c>
      <c r="AF47" s="106">
        <v>0</v>
      </c>
      <c r="AG47" s="106">
        <f>607/955</f>
        <v>0.63560209424083769</v>
      </c>
      <c r="AH47" s="106">
        <f>4/955</f>
        <v>4.1884816753926706E-3</v>
      </c>
      <c r="AI47" s="106">
        <f>348/955</f>
        <v>0.36439790575916231</v>
      </c>
      <c r="AJ47" s="105">
        <v>0.5570680628272251</v>
      </c>
      <c r="AK47" s="105">
        <v>1E-3</v>
      </c>
      <c r="AL47" s="12">
        <v>0</v>
      </c>
      <c r="AM47" s="12">
        <v>0</v>
      </c>
      <c r="AN47" s="12">
        <v>26</v>
      </c>
      <c r="AO47" s="12">
        <v>271</v>
      </c>
      <c r="AP47" s="12">
        <v>244</v>
      </c>
      <c r="AQ47" s="12">
        <v>233</v>
      </c>
      <c r="AR47" s="12">
        <v>181</v>
      </c>
      <c r="AS47" s="59">
        <v>8.7542087542087546E-2</v>
      </c>
      <c r="AT47" s="12">
        <v>9</v>
      </c>
      <c r="AU47" s="3">
        <v>6</v>
      </c>
      <c r="AV47" s="54">
        <v>59.227467811158796</v>
      </c>
      <c r="AW47" s="54">
        <v>17.167381974248926</v>
      </c>
      <c r="AX47" s="54">
        <v>21.030042918454935</v>
      </c>
      <c r="AY47" s="68">
        <v>2.5751072961373391</v>
      </c>
      <c r="AZ47" s="59">
        <v>0.10940499040307101</v>
      </c>
      <c r="BA47" s="59">
        <v>0.10268714011516315</v>
      </c>
      <c r="BB47" s="77">
        <v>93.834545947614899</v>
      </c>
      <c r="BC47" s="49">
        <v>33.3333333333333</v>
      </c>
      <c r="BD47" s="90" t="s">
        <v>83</v>
      </c>
      <c r="BE47" s="90" t="s">
        <v>83</v>
      </c>
      <c r="BF47" s="49">
        <v>3</v>
      </c>
      <c r="BG47" s="49">
        <v>4.2</v>
      </c>
      <c r="BH47" s="49">
        <v>1.9</v>
      </c>
      <c r="BI47" s="49">
        <v>4</v>
      </c>
      <c r="BJ47" s="85">
        <v>18.7</v>
      </c>
      <c r="BK47" s="126">
        <v>10933</v>
      </c>
      <c r="BL47" s="126">
        <v>50756</v>
      </c>
      <c r="BM47" s="126">
        <v>52167</v>
      </c>
      <c r="BN47" s="126">
        <v>41837</v>
      </c>
      <c r="BO47" s="59">
        <v>0</v>
      </c>
      <c r="BP47" s="59">
        <v>0.37819999999999998</v>
      </c>
      <c r="BQ47" s="59">
        <v>0.16009999999999999</v>
      </c>
      <c r="BR47" s="59">
        <v>0</v>
      </c>
      <c r="BS47" s="59">
        <v>0</v>
      </c>
      <c r="BT47" s="49">
        <v>10.5</v>
      </c>
      <c r="BU47" s="59">
        <f t="shared" si="2"/>
        <v>0.5383</v>
      </c>
      <c r="BV47" s="59">
        <v>5.0999999999999997E-2</v>
      </c>
      <c r="BW47" s="59">
        <v>0</v>
      </c>
      <c r="BX47" s="59">
        <v>4.0800000000000003E-2</v>
      </c>
      <c r="BY47" s="59">
        <v>0</v>
      </c>
      <c r="BZ47" s="59">
        <v>0</v>
      </c>
      <c r="CA47" s="49">
        <v>18.399999999999999</v>
      </c>
      <c r="CB47" s="59">
        <f t="shared" si="3"/>
        <v>9.1799999999999993E-2</v>
      </c>
      <c r="CC47" s="59">
        <v>0.34720000000000001</v>
      </c>
      <c r="CD47" s="125">
        <v>0.41110000000000002</v>
      </c>
      <c r="CE47" s="125">
        <v>0.2417</v>
      </c>
      <c r="CF47" s="125">
        <v>0</v>
      </c>
      <c r="CG47" s="125">
        <v>0</v>
      </c>
      <c r="CH47" s="85">
        <v>11.2</v>
      </c>
      <c r="CI47" s="39" t="s">
        <v>135</v>
      </c>
      <c r="CJ47" s="18" t="s">
        <v>80</v>
      </c>
      <c r="CK47" s="20"/>
    </row>
    <row r="48" spans="1:99" x14ac:dyDescent="0.25">
      <c r="A48" s="18" t="s">
        <v>80</v>
      </c>
      <c r="B48" s="19" t="s">
        <v>127</v>
      </c>
      <c r="C48" s="39" t="s">
        <v>136</v>
      </c>
      <c r="D48" s="40">
        <v>62</v>
      </c>
      <c r="E48" s="40" t="s">
        <v>83</v>
      </c>
      <c r="F48" s="40">
        <v>62</v>
      </c>
      <c r="G48" s="162" t="s">
        <v>83</v>
      </c>
      <c r="H48" s="162" t="s">
        <v>83</v>
      </c>
      <c r="I48" s="166">
        <v>1</v>
      </c>
      <c r="J48" s="166">
        <v>14</v>
      </c>
      <c r="K48" s="166">
        <v>7</v>
      </c>
      <c r="L48" s="166">
        <v>8</v>
      </c>
      <c r="M48" s="166">
        <v>32</v>
      </c>
      <c r="N48" s="119">
        <v>3.8993710691823898E-2</v>
      </c>
      <c r="O48" s="119">
        <v>3.8993710691823898E-2</v>
      </c>
      <c r="P48" s="116" t="s">
        <v>83</v>
      </c>
      <c r="Q48" s="116" t="s">
        <v>83</v>
      </c>
      <c r="R48" s="119">
        <v>1.6129032258064498E-2</v>
      </c>
      <c r="S48" s="119">
        <v>3.09734513274336E-2</v>
      </c>
      <c r="T48" s="119">
        <v>1.7766497461928901E-2</v>
      </c>
      <c r="U48" s="119">
        <v>2.2471910112359599E-2</v>
      </c>
      <c r="V48" s="119">
        <v>9.8159509202454004E-2</v>
      </c>
      <c r="W48" s="40">
        <v>1398</v>
      </c>
      <c r="X48" s="40">
        <f t="shared" si="4"/>
        <v>1398</v>
      </c>
      <c r="Y48" s="40">
        <f t="shared" si="5"/>
        <v>1398</v>
      </c>
      <c r="Z48" s="105">
        <v>0.51400000000000001</v>
      </c>
      <c r="AA48" s="105">
        <v>0.48599999999999999</v>
      </c>
      <c r="AB48" s="106">
        <f>3/1398</f>
        <v>2.1459227467811159E-3</v>
      </c>
      <c r="AC48" s="106">
        <f>3/1398</f>
        <v>2.1459227467811159E-3</v>
      </c>
      <c r="AD48" s="106">
        <f>954/1398</f>
        <v>0.68240343347639487</v>
      </c>
      <c r="AE48" s="106">
        <f>27/1398</f>
        <v>1.9313304721030045E-2</v>
      </c>
      <c r="AF48" s="106">
        <v>0</v>
      </c>
      <c r="AG48" s="106">
        <f>396/1398</f>
        <v>0.2832618025751073</v>
      </c>
      <c r="AH48" s="106">
        <f>15/1398</f>
        <v>1.0729613733905579E-2</v>
      </c>
      <c r="AI48" s="106">
        <f>1002/1398</f>
        <v>0.71673819742489275</v>
      </c>
      <c r="AJ48" s="105">
        <v>0.67453505007153081</v>
      </c>
      <c r="AK48" s="105">
        <v>6.0000000000000001E-3</v>
      </c>
      <c r="AL48" s="12">
        <v>0</v>
      </c>
      <c r="AM48" s="12">
        <v>0</v>
      </c>
      <c r="AN48" s="12">
        <v>59</v>
      </c>
      <c r="AO48" s="12">
        <v>388</v>
      </c>
      <c r="AP48" s="12">
        <v>342</v>
      </c>
      <c r="AQ48" s="12">
        <v>330</v>
      </c>
      <c r="AR48" s="12">
        <v>279</v>
      </c>
      <c r="AS48" s="59">
        <v>0.1319910514541387</v>
      </c>
      <c r="AT48" s="12">
        <v>9</v>
      </c>
      <c r="AU48" s="3">
        <v>6</v>
      </c>
      <c r="AV48" s="54">
        <v>41.425389755011139</v>
      </c>
      <c r="AW48" s="54">
        <v>11.804008908685969</v>
      </c>
      <c r="AX48" s="54">
        <v>38.084632516703785</v>
      </c>
      <c r="AY48" s="68">
        <v>8.6859688195991094</v>
      </c>
      <c r="AZ48" s="59">
        <v>0.14076433121019108</v>
      </c>
      <c r="BA48" s="59">
        <v>0.11910828025477707</v>
      </c>
      <c r="BB48" s="76">
        <v>91.736741682154104</v>
      </c>
      <c r="BC48" s="49">
        <v>36.259541984732799</v>
      </c>
      <c r="BD48" s="90" t="s">
        <v>83</v>
      </c>
      <c r="BE48" s="90" t="s">
        <v>83</v>
      </c>
      <c r="BF48" s="49">
        <v>4.2</v>
      </c>
      <c r="BG48" s="49">
        <v>3.4</v>
      </c>
      <c r="BH48" s="49">
        <v>3.1</v>
      </c>
      <c r="BI48" s="49">
        <v>2.8</v>
      </c>
      <c r="BJ48" s="85">
        <v>17</v>
      </c>
      <c r="BK48" s="126">
        <v>9628</v>
      </c>
      <c r="BL48" s="126">
        <v>50677</v>
      </c>
      <c r="BM48" s="126">
        <v>63852</v>
      </c>
      <c r="BN48" s="126">
        <v>44755</v>
      </c>
      <c r="BO48" s="59">
        <v>8.8000000000000005E-3</v>
      </c>
      <c r="BP48" s="59">
        <v>0.37580000000000002</v>
      </c>
      <c r="BQ48" s="59">
        <v>0.1686</v>
      </c>
      <c r="BR48" s="59">
        <v>0</v>
      </c>
      <c r="BS48" s="59">
        <v>8.8000000000000005E-3</v>
      </c>
      <c r="BT48" s="49">
        <v>12.1</v>
      </c>
      <c r="BU48" s="59">
        <f t="shared" si="2"/>
        <v>0.56200000000000006</v>
      </c>
      <c r="BV48" s="59">
        <v>4.1799999999999997E-2</v>
      </c>
      <c r="BW48" s="59">
        <v>0</v>
      </c>
      <c r="BX48" s="59">
        <v>5.2499999999999998E-2</v>
      </c>
      <c r="BY48" s="59">
        <v>0</v>
      </c>
      <c r="BZ48" s="59">
        <v>0</v>
      </c>
      <c r="CA48" s="49">
        <v>20</v>
      </c>
      <c r="CB48" s="59">
        <f t="shared" si="3"/>
        <v>9.4299999999999995E-2</v>
      </c>
      <c r="CC48" s="59">
        <v>0.30020000000000002</v>
      </c>
      <c r="CD48" s="125">
        <v>0.43619999999999998</v>
      </c>
      <c r="CE48" s="125">
        <v>0.25480000000000003</v>
      </c>
      <c r="CF48" s="125">
        <v>0</v>
      </c>
      <c r="CG48" s="125">
        <v>8.8000000000000005E-3</v>
      </c>
      <c r="CH48" s="85">
        <v>12.4</v>
      </c>
      <c r="CI48" s="39" t="s">
        <v>136</v>
      </c>
      <c r="CJ48" s="18" t="s">
        <v>80</v>
      </c>
      <c r="CK48" s="20"/>
    </row>
    <row r="49" spans="1:89" x14ac:dyDescent="0.25">
      <c r="A49" s="18" t="s">
        <v>80</v>
      </c>
      <c r="B49" s="19" t="s">
        <v>127</v>
      </c>
      <c r="C49" s="39" t="s">
        <v>137</v>
      </c>
      <c r="D49" s="40">
        <v>43</v>
      </c>
      <c r="E49" s="40">
        <v>6</v>
      </c>
      <c r="F49" s="40">
        <v>37</v>
      </c>
      <c r="G49" s="166">
        <v>1</v>
      </c>
      <c r="H49" s="166">
        <v>5</v>
      </c>
      <c r="I49" s="166">
        <v>0</v>
      </c>
      <c r="J49" s="166">
        <v>5</v>
      </c>
      <c r="K49" s="166">
        <v>9</v>
      </c>
      <c r="L49" s="166">
        <v>9</v>
      </c>
      <c r="M49" s="166">
        <v>14</v>
      </c>
      <c r="N49" s="119">
        <v>4.6789989118607198E-2</v>
      </c>
      <c r="O49" s="119">
        <v>5.8084772370486697E-2</v>
      </c>
      <c r="P49" s="119">
        <v>6.4935064935064896E-3</v>
      </c>
      <c r="Q49" s="119">
        <v>3.90625E-2</v>
      </c>
      <c r="R49" s="119">
        <v>0</v>
      </c>
      <c r="S49" s="119">
        <v>3.0120481927710802E-2</v>
      </c>
      <c r="T49" s="119">
        <v>5.0279329608938599E-2</v>
      </c>
      <c r="U49" s="119">
        <v>6.3829787234042507E-2</v>
      </c>
      <c r="V49" s="119">
        <v>0.12280701754386</v>
      </c>
      <c r="W49" s="40">
        <v>780</v>
      </c>
      <c r="X49" s="40">
        <f t="shared" si="4"/>
        <v>558</v>
      </c>
      <c r="Y49" s="40">
        <f t="shared" si="5"/>
        <v>780</v>
      </c>
      <c r="Z49" s="105">
        <v>0.47599999999999998</v>
      </c>
      <c r="AA49" s="105">
        <v>0.52400000000000002</v>
      </c>
      <c r="AB49" s="106">
        <v>0</v>
      </c>
      <c r="AC49" s="106">
        <v>0</v>
      </c>
      <c r="AD49" s="106">
        <f>776/780</f>
        <v>0.99487179487179489</v>
      </c>
      <c r="AE49" s="106">
        <v>0</v>
      </c>
      <c r="AF49" s="106">
        <v>0</v>
      </c>
      <c r="AG49" s="106">
        <f>3/780</f>
        <v>3.8461538461538464E-3</v>
      </c>
      <c r="AH49" s="106">
        <f>1/780</f>
        <v>1.2820512820512821E-3</v>
      </c>
      <c r="AI49" s="106">
        <f>777/780</f>
        <v>0.99615384615384617</v>
      </c>
      <c r="AJ49" s="105">
        <v>0.93974358974358974</v>
      </c>
      <c r="AK49" s="105">
        <v>0</v>
      </c>
      <c r="AL49" s="12">
        <v>118</v>
      </c>
      <c r="AM49" s="12">
        <v>104</v>
      </c>
      <c r="AN49" s="12">
        <v>34</v>
      </c>
      <c r="AO49" s="12">
        <v>140</v>
      </c>
      <c r="AP49" s="12">
        <v>163</v>
      </c>
      <c r="AQ49" s="12">
        <v>127</v>
      </c>
      <c r="AR49" s="12">
        <v>94</v>
      </c>
      <c r="AS49" s="59">
        <v>0.19540229885057472</v>
      </c>
      <c r="AT49" s="12">
        <v>7</v>
      </c>
      <c r="AU49" s="3">
        <v>6</v>
      </c>
      <c r="AV49" s="54">
        <v>61.643835616438359</v>
      </c>
      <c r="AW49" s="54">
        <v>20.273972602739725</v>
      </c>
      <c r="AX49" s="54">
        <v>17.260273972602739</v>
      </c>
      <c r="AY49" s="68">
        <v>0.82191780821917804</v>
      </c>
      <c r="AZ49" s="59">
        <v>5.0505050505050504E-2</v>
      </c>
      <c r="BA49" s="59">
        <v>0.11896745230078563</v>
      </c>
      <c r="BB49" s="77">
        <v>91.081070998590405</v>
      </c>
      <c r="BC49" s="49">
        <v>62.065095398428703</v>
      </c>
      <c r="BD49" s="49">
        <v>9.6</v>
      </c>
      <c r="BE49" s="49">
        <v>1.1000000000000001</v>
      </c>
      <c r="BF49" s="49">
        <v>4.2</v>
      </c>
      <c r="BG49" s="49">
        <v>6.6</v>
      </c>
      <c r="BH49" s="49">
        <v>6</v>
      </c>
      <c r="BI49" s="49">
        <v>12.2</v>
      </c>
      <c r="BJ49" s="85">
        <v>15.5</v>
      </c>
      <c r="BK49" s="126">
        <v>13771</v>
      </c>
      <c r="BL49" s="126">
        <v>56234</v>
      </c>
      <c r="BM49" s="126">
        <v>53463</v>
      </c>
      <c r="BN49" s="126">
        <v>44703</v>
      </c>
      <c r="BO49" s="59">
        <v>0.02</v>
      </c>
      <c r="BP49" s="59">
        <v>0.25340000000000001</v>
      </c>
      <c r="BQ49" s="59">
        <v>0.2374</v>
      </c>
      <c r="BR49" s="59">
        <v>0</v>
      </c>
      <c r="BS49" s="59">
        <v>0</v>
      </c>
      <c r="BT49" s="49">
        <v>13.5</v>
      </c>
      <c r="BU49" s="59">
        <f t="shared" si="2"/>
        <v>0.51080000000000003</v>
      </c>
      <c r="BV49" s="59">
        <v>2.76E-2</v>
      </c>
      <c r="BW49" s="59">
        <v>1.95E-2</v>
      </c>
      <c r="BX49" s="59">
        <v>6.7100000000000007E-2</v>
      </c>
      <c r="BY49" s="59">
        <v>0</v>
      </c>
      <c r="BZ49" s="59">
        <v>1.2999999999999999E-3</v>
      </c>
      <c r="CA49" s="49">
        <v>17.600000000000001</v>
      </c>
      <c r="CB49" s="59">
        <f t="shared" si="3"/>
        <v>0.11550000000000001</v>
      </c>
      <c r="CC49" s="59">
        <v>0.31190000000000001</v>
      </c>
      <c r="CD49" s="125">
        <v>0.31390000000000001</v>
      </c>
      <c r="CE49" s="125">
        <v>0.36299999999999999</v>
      </c>
      <c r="CF49" s="125">
        <v>0</v>
      </c>
      <c r="CG49" s="125">
        <v>1.1299999999999999E-2</v>
      </c>
      <c r="CH49" s="85">
        <v>12.8</v>
      </c>
      <c r="CI49" s="39" t="s">
        <v>137</v>
      </c>
      <c r="CJ49" s="18" t="s">
        <v>80</v>
      </c>
      <c r="CK49" s="20"/>
    </row>
    <row r="50" spans="1:89" x14ac:dyDescent="0.25">
      <c r="A50" s="18" t="s">
        <v>80</v>
      </c>
      <c r="B50" s="19" t="s">
        <v>127</v>
      </c>
      <c r="C50" s="39" t="s">
        <v>138</v>
      </c>
      <c r="D50" s="40">
        <v>92</v>
      </c>
      <c r="E50" s="40" t="s">
        <v>83</v>
      </c>
      <c r="F50" s="40">
        <v>92</v>
      </c>
      <c r="G50" s="162" t="s">
        <v>83</v>
      </c>
      <c r="H50" s="162" t="s">
        <v>83</v>
      </c>
      <c r="I50" s="166">
        <v>5</v>
      </c>
      <c r="J50" s="166">
        <v>27</v>
      </c>
      <c r="K50" s="166">
        <v>16</v>
      </c>
      <c r="L50" s="166">
        <v>12</v>
      </c>
      <c r="M50" s="166">
        <v>32</v>
      </c>
      <c r="N50" s="119">
        <v>9.9783080260303705E-2</v>
      </c>
      <c r="O50" s="119">
        <v>9.9783080260303705E-2</v>
      </c>
      <c r="P50" s="116" t="s">
        <v>83</v>
      </c>
      <c r="Q50" s="116" t="s">
        <v>83</v>
      </c>
      <c r="R50" s="119">
        <v>4.5871559633027498E-2</v>
      </c>
      <c r="S50" s="119">
        <v>0.104651162790698</v>
      </c>
      <c r="T50" s="119">
        <v>7.1111111111111097E-2</v>
      </c>
      <c r="U50" s="119">
        <v>7.3170731707317097E-2</v>
      </c>
      <c r="V50" s="119">
        <v>0.19277108433734899</v>
      </c>
      <c r="W50" s="40">
        <v>709</v>
      </c>
      <c r="X50" s="40">
        <f t="shared" si="4"/>
        <v>709</v>
      </c>
      <c r="Y50" s="40">
        <f t="shared" si="5"/>
        <v>709</v>
      </c>
      <c r="Z50" s="105">
        <v>0.502</v>
      </c>
      <c r="AA50" s="105">
        <v>0.498</v>
      </c>
      <c r="AB50" s="106">
        <v>0</v>
      </c>
      <c r="AC50" s="106">
        <v>0</v>
      </c>
      <c r="AD50" s="106">
        <f>695/709</f>
        <v>0.98025387870239777</v>
      </c>
      <c r="AE50" s="106">
        <f>6/709</f>
        <v>8.4626234132581107E-3</v>
      </c>
      <c r="AF50" s="106">
        <v>0</v>
      </c>
      <c r="AG50" s="106">
        <f>6/709</f>
        <v>8.4626234132581107E-3</v>
      </c>
      <c r="AH50" s="106">
        <f>2/709</f>
        <v>2.8208744710860366E-3</v>
      </c>
      <c r="AI50" s="106">
        <f>703/709</f>
        <v>0.9915373765867419</v>
      </c>
      <c r="AJ50" s="105">
        <v>0.92524682651622003</v>
      </c>
      <c r="AK50" s="105">
        <v>3.0000000000000001E-3</v>
      </c>
      <c r="AL50" s="12">
        <v>0</v>
      </c>
      <c r="AM50" s="12">
        <v>0</v>
      </c>
      <c r="AN50" s="12">
        <v>83</v>
      </c>
      <c r="AO50" s="12">
        <v>199</v>
      </c>
      <c r="AP50" s="12">
        <v>165</v>
      </c>
      <c r="AQ50" s="12">
        <v>134</v>
      </c>
      <c r="AR50" s="12">
        <v>128</v>
      </c>
      <c r="AS50" s="59">
        <v>0.29432624113475175</v>
      </c>
      <c r="AT50" s="12">
        <v>9</v>
      </c>
      <c r="AU50" s="3">
        <v>6</v>
      </c>
      <c r="AV50" s="54">
        <v>57.42574257425742</v>
      </c>
      <c r="AW50" s="54">
        <v>17.491749174917494</v>
      </c>
      <c r="AX50" s="54">
        <v>18.811881188118811</v>
      </c>
      <c r="AY50" s="68">
        <v>6.2706270627062706</v>
      </c>
      <c r="AZ50" s="59">
        <v>9.4003966518186405E-2</v>
      </c>
      <c r="BA50" s="59">
        <v>0.11962833914053426</v>
      </c>
      <c r="BB50" s="76">
        <v>89.891772051003201</v>
      </c>
      <c r="BC50" s="49">
        <v>46.440677966101703</v>
      </c>
      <c r="BD50" s="90" t="s">
        <v>83</v>
      </c>
      <c r="BE50" s="90" t="s">
        <v>83</v>
      </c>
      <c r="BF50" s="49">
        <v>5.0999999999999996</v>
      </c>
      <c r="BG50" s="49">
        <v>6.9</v>
      </c>
      <c r="BH50" s="49">
        <v>4</v>
      </c>
      <c r="BI50" s="49">
        <v>8.9</v>
      </c>
      <c r="BJ50" s="85">
        <v>15.5</v>
      </c>
      <c r="BK50" s="126">
        <v>15256</v>
      </c>
      <c r="BL50" s="126">
        <v>57712</v>
      </c>
      <c r="BM50" s="126">
        <v>45174</v>
      </c>
      <c r="BN50" s="126">
        <v>42070</v>
      </c>
      <c r="BO50" s="59">
        <v>3.2800000000000003E-2</v>
      </c>
      <c r="BP50" s="59">
        <v>0.1789</v>
      </c>
      <c r="BQ50" s="59">
        <v>0.20799999999999999</v>
      </c>
      <c r="BR50" s="59">
        <v>5.7999999999999996E-3</v>
      </c>
      <c r="BS50" s="59">
        <v>0</v>
      </c>
      <c r="BT50" s="49">
        <v>16.100000000000001</v>
      </c>
      <c r="BU50" s="59">
        <f t="shared" si="2"/>
        <v>0.42549999999999999</v>
      </c>
      <c r="BV50" s="59">
        <v>4.3799999999999999E-2</v>
      </c>
      <c r="BW50" s="59">
        <v>2.1899999999999999E-2</v>
      </c>
      <c r="BX50" s="59">
        <v>4.2299999999999997E-2</v>
      </c>
      <c r="BY50" s="59">
        <v>0</v>
      </c>
      <c r="BZ50" s="59">
        <v>1.09E-2</v>
      </c>
      <c r="CA50" s="49">
        <v>20.6</v>
      </c>
      <c r="CB50" s="59">
        <f t="shared" si="3"/>
        <v>0.11889999999999998</v>
      </c>
      <c r="CC50" s="59">
        <v>0.36969999999999997</v>
      </c>
      <c r="CD50" s="125">
        <v>0.28670000000000001</v>
      </c>
      <c r="CE50" s="125">
        <v>0.31590000000000001</v>
      </c>
      <c r="CF50" s="125">
        <v>1.6799999999999999E-2</v>
      </c>
      <c r="CG50" s="125">
        <v>1.09E-2</v>
      </c>
      <c r="CH50" s="85">
        <v>14.5</v>
      </c>
      <c r="CI50" s="39" t="s">
        <v>138</v>
      </c>
      <c r="CJ50" s="18" t="s">
        <v>80</v>
      </c>
      <c r="CK50" s="20"/>
    </row>
    <row r="51" spans="1:89" x14ac:dyDescent="0.25">
      <c r="A51" s="18" t="s">
        <v>80</v>
      </c>
      <c r="B51" s="19" t="s">
        <v>139</v>
      </c>
      <c r="C51" s="39" t="s">
        <v>140</v>
      </c>
      <c r="D51" s="40">
        <v>42</v>
      </c>
      <c r="E51" s="40" t="s">
        <v>83</v>
      </c>
      <c r="F51" s="40">
        <v>42</v>
      </c>
      <c r="G51" s="162" t="s">
        <v>83</v>
      </c>
      <c r="H51" s="162" t="s">
        <v>83</v>
      </c>
      <c r="I51" s="166">
        <v>0</v>
      </c>
      <c r="J51" s="166">
        <v>12</v>
      </c>
      <c r="K51" s="166">
        <v>7</v>
      </c>
      <c r="L51" s="166">
        <v>9</v>
      </c>
      <c r="M51" s="166">
        <v>14</v>
      </c>
      <c r="N51" s="119">
        <v>1.9867549668874201E-2</v>
      </c>
      <c r="O51" s="119">
        <v>1.9867549668874201E-2</v>
      </c>
      <c r="P51" s="116" t="s">
        <v>83</v>
      </c>
      <c r="Q51" s="116" t="s">
        <v>83</v>
      </c>
      <c r="R51" s="119">
        <v>0</v>
      </c>
      <c r="S51" s="119">
        <v>1.8927444794952699E-2</v>
      </c>
      <c r="T51" s="119">
        <v>1.31086142322097E-2</v>
      </c>
      <c r="U51" s="119">
        <v>1.88679245283019E-2</v>
      </c>
      <c r="V51" s="119">
        <v>3.2786885245901599E-2</v>
      </c>
      <c r="W51" s="40">
        <v>1967</v>
      </c>
      <c r="X51" s="40">
        <f t="shared" si="4"/>
        <v>1967</v>
      </c>
      <c r="Y51" s="40">
        <f t="shared" si="5"/>
        <v>1967</v>
      </c>
      <c r="Z51" s="105">
        <v>0.51900000000000002</v>
      </c>
      <c r="AA51" s="105">
        <v>0.48099999999999998</v>
      </c>
      <c r="AB51" s="106">
        <f>4/1967</f>
        <v>2.0335536349771225E-3</v>
      </c>
      <c r="AC51" s="106">
        <f>88/1967</f>
        <v>4.4738179969496694E-2</v>
      </c>
      <c r="AD51" s="106">
        <f>694/1967</f>
        <v>0.35282155566853074</v>
      </c>
      <c r="AE51" s="106">
        <f>52/1967</f>
        <v>2.6436197254702594E-2</v>
      </c>
      <c r="AF51" s="106">
        <v>0</v>
      </c>
      <c r="AG51" s="106">
        <f>1120/1967</f>
        <v>0.56939501779359436</v>
      </c>
      <c r="AH51" s="106">
        <f>9/1967</f>
        <v>4.5754956786985259E-3</v>
      </c>
      <c r="AI51" s="106">
        <f>847/1967</f>
        <v>0.4306049822064057</v>
      </c>
      <c r="AJ51" s="105">
        <v>0.4229791560752415</v>
      </c>
      <c r="AK51" s="105">
        <v>0.01</v>
      </c>
      <c r="AL51" s="12">
        <v>0</v>
      </c>
      <c r="AM51" s="12">
        <v>0</v>
      </c>
      <c r="AN51" s="12">
        <v>19</v>
      </c>
      <c r="AO51" s="12">
        <v>604</v>
      </c>
      <c r="AP51" s="12">
        <v>495</v>
      </c>
      <c r="AQ51" s="12">
        <v>446</v>
      </c>
      <c r="AR51" s="12">
        <v>403</v>
      </c>
      <c r="AS51" s="59">
        <v>3.0497592295345103E-2</v>
      </c>
      <c r="AT51" s="12">
        <v>9</v>
      </c>
      <c r="AU51" s="3">
        <v>6</v>
      </c>
      <c r="AV51" s="54">
        <v>54.749340369393138</v>
      </c>
      <c r="AW51" s="54">
        <v>18.337730870712402</v>
      </c>
      <c r="AX51" s="54">
        <v>22.955145118733508</v>
      </c>
      <c r="AY51" s="68">
        <v>3.9577836411609502</v>
      </c>
      <c r="AZ51" s="59">
        <v>0.2484472049689441</v>
      </c>
      <c r="BA51" s="59">
        <v>0.11849020544672718</v>
      </c>
      <c r="BB51" s="76">
        <v>94.102578394933303</v>
      </c>
      <c r="BC51" s="49">
        <v>13.116279069767399</v>
      </c>
      <c r="BD51" s="90" t="s">
        <v>83</v>
      </c>
      <c r="BE51" s="90" t="s">
        <v>83</v>
      </c>
      <c r="BF51" s="49">
        <v>10.8</v>
      </c>
      <c r="BG51" s="49">
        <v>4.7</v>
      </c>
      <c r="BH51" s="49">
        <v>4.8</v>
      </c>
      <c r="BI51" s="49">
        <v>2.7</v>
      </c>
      <c r="BJ51" s="85">
        <v>21</v>
      </c>
      <c r="BK51" s="126">
        <v>8574</v>
      </c>
      <c r="BL51" s="126">
        <v>49521</v>
      </c>
      <c r="BM51" s="126">
        <v>44418</v>
      </c>
      <c r="BN51" s="126">
        <v>43624</v>
      </c>
      <c r="BO51" s="59">
        <v>0</v>
      </c>
      <c r="BP51" s="59">
        <v>0.35120000000000001</v>
      </c>
      <c r="BQ51" s="59">
        <v>0.26179999999999998</v>
      </c>
      <c r="BR51" s="59">
        <v>1.2E-2</v>
      </c>
      <c r="BS51" s="59">
        <v>6.1000000000000004E-3</v>
      </c>
      <c r="BT51" s="49">
        <v>14</v>
      </c>
      <c r="BU51" s="59">
        <f t="shared" si="2"/>
        <v>0.63109999999999999</v>
      </c>
      <c r="BV51" s="59">
        <v>3.6700000000000003E-2</v>
      </c>
      <c r="BW51" s="59">
        <v>6.1999999999999998E-3</v>
      </c>
      <c r="BX51" s="59">
        <v>2.01E-2</v>
      </c>
      <c r="BY51" s="59">
        <v>0</v>
      </c>
      <c r="BZ51" s="59">
        <v>6.1999999999999998E-3</v>
      </c>
      <c r="CA51" s="49">
        <v>16.7</v>
      </c>
      <c r="CB51" s="59">
        <f t="shared" si="3"/>
        <v>6.9199999999999998E-2</v>
      </c>
      <c r="CC51" s="59">
        <v>0.24010000000000001</v>
      </c>
      <c r="CD51" s="125">
        <v>0.39489999999999997</v>
      </c>
      <c r="CE51" s="125">
        <v>0.32769999999999999</v>
      </c>
      <c r="CF51" s="125">
        <v>2.5000000000000001E-2</v>
      </c>
      <c r="CG51" s="125">
        <v>1.24E-2</v>
      </c>
      <c r="CH51" s="85">
        <v>12.8</v>
      </c>
      <c r="CI51" s="39" t="s">
        <v>140</v>
      </c>
      <c r="CJ51" s="18" t="s">
        <v>80</v>
      </c>
      <c r="CK51" s="20"/>
    </row>
    <row r="52" spans="1:89" x14ac:dyDescent="0.25">
      <c r="A52" s="18" t="s">
        <v>80</v>
      </c>
      <c r="B52" s="19" t="s">
        <v>139</v>
      </c>
      <c r="C52" s="39" t="s">
        <v>141</v>
      </c>
      <c r="D52" s="40">
        <v>1</v>
      </c>
      <c r="E52" s="40">
        <v>0</v>
      </c>
      <c r="F52" s="40">
        <v>1</v>
      </c>
      <c r="G52" s="166">
        <v>0</v>
      </c>
      <c r="H52" s="166">
        <v>0</v>
      </c>
      <c r="I52" s="166">
        <v>0</v>
      </c>
      <c r="J52" s="166">
        <v>0</v>
      </c>
      <c r="K52" s="166">
        <v>1</v>
      </c>
      <c r="L52" s="166">
        <v>0</v>
      </c>
      <c r="M52" s="166">
        <v>0</v>
      </c>
      <c r="N52" s="119">
        <v>3.2258064516129002E-3</v>
      </c>
      <c r="O52" s="119">
        <v>5.0761421319797002E-3</v>
      </c>
      <c r="P52" s="119">
        <v>0</v>
      </c>
      <c r="Q52" s="119">
        <v>0</v>
      </c>
      <c r="R52" s="119">
        <v>0</v>
      </c>
      <c r="S52" s="119">
        <v>0</v>
      </c>
      <c r="T52" s="119">
        <v>2.0833333333333301E-2</v>
      </c>
      <c r="U52" s="119">
        <v>0</v>
      </c>
      <c r="V52" s="119">
        <v>0</v>
      </c>
      <c r="W52" s="40">
        <v>685</v>
      </c>
      <c r="X52" s="40">
        <f t="shared" si="4"/>
        <v>193</v>
      </c>
      <c r="Y52" s="40">
        <f t="shared" si="5"/>
        <v>300</v>
      </c>
      <c r="Z52" s="105">
        <v>0.49099999999999999</v>
      </c>
      <c r="AA52" s="105">
        <v>0.51</v>
      </c>
      <c r="AB52" s="106">
        <f>4/685</f>
        <v>5.8394160583941602E-3</v>
      </c>
      <c r="AC52" s="106">
        <v>0</v>
      </c>
      <c r="AD52" s="106">
        <f>24/685</f>
        <v>3.5036496350364967E-2</v>
      </c>
      <c r="AE52" s="106">
        <f>31/685</f>
        <v>4.5255474452554748E-2</v>
      </c>
      <c r="AF52" s="106">
        <v>0</v>
      </c>
      <c r="AG52" s="106">
        <f>620/685</f>
        <v>0.9051094890510949</v>
      </c>
      <c r="AH52" s="106">
        <f>6/685</f>
        <v>8.7591240875912416E-3</v>
      </c>
      <c r="AI52" s="106">
        <f>65/685</f>
        <v>9.4890510948905105E-2</v>
      </c>
      <c r="AJ52" s="105">
        <v>0.43503649635036495</v>
      </c>
      <c r="AK52" s="105">
        <v>0.01</v>
      </c>
      <c r="AL52" s="12">
        <v>58</v>
      </c>
      <c r="AM52" s="12">
        <v>49</v>
      </c>
      <c r="AN52" s="12">
        <v>2</v>
      </c>
      <c r="AO52" s="12">
        <v>60</v>
      </c>
      <c r="AP52" s="12">
        <v>46</v>
      </c>
      <c r="AQ52" s="12">
        <v>35</v>
      </c>
      <c r="AR52" s="12">
        <v>50</v>
      </c>
      <c r="AS52" s="59">
        <v>3.2258064516129031E-2</v>
      </c>
      <c r="AT52" s="12">
        <v>1</v>
      </c>
      <c r="AU52" s="3">
        <v>6</v>
      </c>
      <c r="AV52" s="54">
        <v>75.087719298245617</v>
      </c>
      <c r="AW52" s="54">
        <v>20.350877192982455</v>
      </c>
      <c r="AX52" s="54">
        <v>3.8596491228070176</v>
      </c>
      <c r="AY52" s="68">
        <v>0.70175438596491224</v>
      </c>
      <c r="AZ52" s="59">
        <v>6.5096952908587261E-2</v>
      </c>
      <c r="BA52" s="59">
        <v>2.6222760841748904E-2</v>
      </c>
      <c r="BB52" s="77">
        <v>94.564383149196999</v>
      </c>
      <c r="BC52" s="49">
        <v>0.45317220543806702</v>
      </c>
      <c r="BD52" s="93">
        <v>0</v>
      </c>
      <c r="BE52" s="93">
        <v>0</v>
      </c>
      <c r="BF52" s="49">
        <v>0</v>
      </c>
      <c r="BG52" s="49">
        <v>0</v>
      </c>
      <c r="BH52" s="49">
        <v>0</v>
      </c>
      <c r="BI52" s="49">
        <v>0</v>
      </c>
      <c r="BJ52" s="85">
        <v>19.899999999999999</v>
      </c>
      <c r="BK52" s="126">
        <v>10698</v>
      </c>
      <c r="BL52" s="126">
        <v>48647</v>
      </c>
      <c r="BM52" s="126">
        <v>47296</v>
      </c>
      <c r="BN52" s="126">
        <v>38980</v>
      </c>
      <c r="BO52" s="59">
        <v>0</v>
      </c>
      <c r="BP52" s="59">
        <v>0.32829999999999998</v>
      </c>
      <c r="BQ52" s="59">
        <v>0.19639999999999999</v>
      </c>
      <c r="BR52" s="59">
        <v>1.14E-2</v>
      </c>
      <c r="BS52" s="59">
        <v>0</v>
      </c>
      <c r="BT52" s="49">
        <v>14.9</v>
      </c>
      <c r="BU52" s="59">
        <f t="shared" si="2"/>
        <v>0.53609999999999991</v>
      </c>
      <c r="BV52" s="59">
        <v>3.39E-2</v>
      </c>
      <c r="BW52" s="59">
        <v>2.9999999999999997E-4</v>
      </c>
      <c r="BX52" s="59">
        <v>3.4799999999999998E-2</v>
      </c>
      <c r="BY52" s="59">
        <v>0</v>
      </c>
      <c r="BZ52" s="59">
        <v>0</v>
      </c>
      <c r="CA52" s="49">
        <v>17.7</v>
      </c>
      <c r="CB52" s="59">
        <f t="shared" si="3"/>
        <v>6.9000000000000006E-2</v>
      </c>
      <c r="CC52" s="59">
        <v>0.36599999999999999</v>
      </c>
      <c r="CD52" s="125">
        <v>0.34620000000000001</v>
      </c>
      <c r="CE52" s="125">
        <v>0.27639999999999998</v>
      </c>
      <c r="CF52" s="125">
        <v>1.14E-2</v>
      </c>
      <c r="CG52" s="125">
        <v>0</v>
      </c>
      <c r="CH52" s="85">
        <v>13.2</v>
      </c>
      <c r="CI52" s="39" t="s">
        <v>141</v>
      </c>
      <c r="CJ52" s="18" t="s">
        <v>80</v>
      </c>
      <c r="CK52" s="20"/>
    </row>
    <row r="53" spans="1:89" x14ac:dyDescent="0.25">
      <c r="A53" s="18" t="s">
        <v>80</v>
      </c>
      <c r="B53" s="19" t="s">
        <v>139</v>
      </c>
      <c r="C53" s="39" t="s">
        <v>142</v>
      </c>
      <c r="D53" s="40">
        <v>5</v>
      </c>
      <c r="E53" s="40" t="s">
        <v>83</v>
      </c>
      <c r="F53" s="40">
        <v>5</v>
      </c>
      <c r="G53" s="162" t="s">
        <v>83</v>
      </c>
      <c r="H53" s="162" t="s">
        <v>83</v>
      </c>
      <c r="I53" s="166">
        <v>0</v>
      </c>
      <c r="J53" s="166">
        <v>2</v>
      </c>
      <c r="K53" s="166">
        <v>1</v>
      </c>
      <c r="L53" s="166">
        <v>0</v>
      </c>
      <c r="M53" s="166">
        <v>2</v>
      </c>
      <c r="N53" s="119">
        <v>1.22249388753056E-2</v>
      </c>
      <c r="O53" s="119">
        <v>1.22249388753056E-2</v>
      </c>
      <c r="P53" s="116" t="s">
        <v>83</v>
      </c>
      <c r="Q53" s="116" t="s">
        <v>83</v>
      </c>
      <c r="R53" s="119">
        <v>0</v>
      </c>
      <c r="S53" s="119">
        <v>1.5625E-2</v>
      </c>
      <c r="T53" s="119">
        <v>1.0638297872340399E-2</v>
      </c>
      <c r="U53" s="119">
        <v>0</v>
      </c>
      <c r="V53" s="119">
        <v>2.4691358024691398E-2</v>
      </c>
      <c r="W53" s="40">
        <v>388</v>
      </c>
      <c r="X53" s="40">
        <f t="shared" si="4"/>
        <v>388</v>
      </c>
      <c r="Y53" s="40">
        <f t="shared" si="5"/>
        <v>388</v>
      </c>
      <c r="Z53" s="105">
        <v>0.44600000000000001</v>
      </c>
      <c r="AA53" s="105">
        <v>0.55400000000000005</v>
      </c>
      <c r="AB53" s="106">
        <v>0</v>
      </c>
      <c r="AC53" s="106">
        <f>1/388</f>
        <v>2.5773195876288659E-3</v>
      </c>
      <c r="AD53" s="106">
        <f>70/388</f>
        <v>0.18041237113402062</v>
      </c>
      <c r="AE53" s="106">
        <f>1/388</f>
        <v>2.5773195876288659E-3</v>
      </c>
      <c r="AF53" s="106">
        <v>0</v>
      </c>
      <c r="AG53" s="106">
        <f>316/388</f>
        <v>0.81443298969072164</v>
      </c>
      <c r="AH53" s="106">
        <v>0</v>
      </c>
      <c r="AI53" s="106">
        <f>72/388</f>
        <v>0.18556701030927836</v>
      </c>
      <c r="AJ53" s="105">
        <v>0.52577319587628868</v>
      </c>
      <c r="AK53" s="105">
        <v>3.0000000000000001E-3</v>
      </c>
      <c r="AL53" s="12">
        <v>0</v>
      </c>
      <c r="AM53" s="12">
        <v>0</v>
      </c>
      <c r="AN53" s="12">
        <v>7</v>
      </c>
      <c r="AO53" s="12">
        <v>123</v>
      </c>
      <c r="AP53" s="12">
        <v>90</v>
      </c>
      <c r="AQ53" s="12">
        <v>92</v>
      </c>
      <c r="AR53" s="12">
        <v>76</v>
      </c>
      <c r="AS53" s="59">
        <v>5.3846153846153849E-2</v>
      </c>
      <c r="AT53" s="12">
        <v>9</v>
      </c>
      <c r="AU53" s="3">
        <v>6</v>
      </c>
      <c r="AV53" s="54">
        <v>77.40384615384616</v>
      </c>
      <c r="AW53" s="54">
        <v>20.673076923076923</v>
      </c>
      <c r="AX53" s="54">
        <v>1.4423076923076923</v>
      </c>
      <c r="AY53" s="68">
        <v>0.48076923076923078</v>
      </c>
      <c r="AZ53" s="59">
        <v>0.33578431372549017</v>
      </c>
      <c r="BA53" s="59">
        <v>0.15441176470588236</v>
      </c>
      <c r="BB53" s="76">
        <v>92.660486874453696</v>
      </c>
      <c r="BC53" s="49">
        <v>29.683698296837001</v>
      </c>
      <c r="BD53" s="90" t="s">
        <v>83</v>
      </c>
      <c r="BE53" s="90" t="s">
        <v>83</v>
      </c>
      <c r="BF53" s="49">
        <v>2.7</v>
      </c>
      <c r="BG53" s="49">
        <v>1.2</v>
      </c>
      <c r="BH53" s="49">
        <v>0</v>
      </c>
      <c r="BI53" s="49">
        <v>0</v>
      </c>
      <c r="BJ53" s="85">
        <v>18.899999999999999</v>
      </c>
      <c r="BK53" s="126">
        <v>11740</v>
      </c>
      <c r="BL53" s="126">
        <v>46986</v>
      </c>
      <c r="BM53" s="126">
        <v>37329</v>
      </c>
      <c r="BN53" s="126">
        <v>41639</v>
      </c>
      <c r="BO53" s="59">
        <v>2.0199999999999999E-2</v>
      </c>
      <c r="BP53" s="59">
        <v>0.4632</v>
      </c>
      <c r="BQ53" s="59">
        <v>0.15429999999999999</v>
      </c>
      <c r="BR53" s="59">
        <v>0</v>
      </c>
      <c r="BS53" s="59">
        <v>0</v>
      </c>
      <c r="BT53" s="49">
        <v>11.6</v>
      </c>
      <c r="BU53" s="59">
        <f t="shared" si="2"/>
        <v>0.63769999999999993</v>
      </c>
      <c r="BV53" s="59">
        <v>7.8799999999999995E-2</v>
      </c>
      <c r="BW53" s="59">
        <v>0</v>
      </c>
      <c r="BX53" s="59">
        <v>4.0300000000000002E-2</v>
      </c>
      <c r="BY53" s="59">
        <v>0</v>
      </c>
      <c r="BZ53" s="59">
        <v>0</v>
      </c>
      <c r="CA53" s="49">
        <v>10.6</v>
      </c>
      <c r="CB53" s="59">
        <f t="shared" si="3"/>
        <v>0.1191</v>
      </c>
      <c r="CC53" s="59">
        <v>0.28560000000000002</v>
      </c>
      <c r="CD53" s="125">
        <v>0.47510000000000002</v>
      </c>
      <c r="CE53" s="125">
        <v>0.21909999999999999</v>
      </c>
      <c r="CF53" s="125">
        <v>2.0199999999999999E-2</v>
      </c>
      <c r="CG53" s="125">
        <v>0</v>
      </c>
      <c r="CH53" s="85">
        <v>11.1</v>
      </c>
      <c r="CI53" s="39" t="s">
        <v>142</v>
      </c>
      <c r="CJ53" s="18" t="s">
        <v>80</v>
      </c>
      <c r="CK53" s="20"/>
    </row>
    <row r="54" spans="1:89" x14ac:dyDescent="0.25">
      <c r="A54" s="18" t="s">
        <v>80</v>
      </c>
      <c r="B54" s="19" t="s">
        <v>139</v>
      </c>
      <c r="C54" s="39" t="s">
        <v>143</v>
      </c>
      <c r="D54" s="40">
        <v>25</v>
      </c>
      <c r="E54" s="40" t="s">
        <v>83</v>
      </c>
      <c r="F54" s="40">
        <v>25</v>
      </c>
      <c r="G54" s="162" t="s">
        <v>83</v>
      </c>
      <c r="H54" s="162" t="s">
        <v>83</v>
      </c>
      <c r="I54" s="166">
        <v>2</v>
      </c>
      <c r="J54" s="166">
        <v>3</v>
      </c>
      <c r="K54" s="166">
        <v>10</v>
      </c>
      <c r="L54" s="166">
        <v>5</v>
      </c>
      <c r="M54" s="166">
        <v>5</v>
      </c>
      <c r="N54" s="119">
        <v>1.8670649738610899E-2</v>
      </c>
      <c r="O54" s="119">
        <v>1.8670649738610899E-2</v>
      </c>
      <c r="P54" s="116" t="s">
        <v>83</v>
      </c>
      <c r="Q54" s="116" t="s">
        <v>83</v>
      </c>
      <c r="R54" s="119">
        <v>0.18181818181818199</v>
      </c>
      <c r="S54" s="119">
        <v>7.4999999999999997E-3</v>
      </c>
      <c r="T54" s="119">
        <v>2.9498525073746298E-2</v>
      </c>
      <c r="U54" s="119">
        <v>1.74216027874564E-2</v>
      </c>
      <c r="V54" s="119">
        <v>1.6556291390728499E-2</v>
      </c>
      <c r="W54" s="40">
        <v>1223</v>
      </c>
      <c r="X54" s="40">
        <f t="shared" si="4"/>
        <v>1223</v>
      </c>
      <c r="Y54" s="40">
        <f t="shared" si="5"/>
        <v>1223</v>
      </c>
      <c r="Z54" s="105">
        <v>0.502</v>
      </c>
      <c r="AA54" s="105">
        <v>0.498</v>
      </c>
      <c r="AB54" s="106">
        <f>4/1223</f>
        <v>3.2706459525756338E-3</v>
      </c>
      <c r="AC54" s="106">
        <f>7/1223</f>
        <v>5.7236304170073587E-3</v>
      </c>
      <c r="AD54" s="106">
        <f>134/1223</f>
        <v>0.10956663941128372</v>
      </c>
      <c r="AE54" s="106">
        <f>32/1223</f>
        <v>2.616516762060507E-2</v>
      </c>
      <c r="AF54" s="106">
        <f>2/1223</f>
        <v>1.6353229762878169E-3</v>
      </c>
      <c r="AG54" s="106">
        <f>1038/1223</f>
        <v>0.84873262469337696</v>
      </c>
      <c r="AH54" s="106">
        <f>6/1223</f>
        <v>4.9059689288634507E-3</v>
      </c>
      <c r="AI54" s="106">
        <f>185/1223</f>
        <v>0.15126737530662307</v>
      </c>
      <c r="AJ54" s="105">
        <v>0.37040065412919049</v>
      </c>
      <c r="AK54" s="105">
        <v>6.0000000000000001E-3</v>
      </c>
      <c r="AL54" s="12">
        <v>0</v>
      </c>
      <c r="AM54" s="12">
        <v>0</v>
      </c>
      <c r="AN54" s="12">
        <v>8</v>
      </c>
      <c r="AO54" s="12">
        <v>361</v>
      </c>
      <c r="AP54" s="12">
        <v>308</v>
      </c>
      <c r="AQ54" s="12">
        <v>264</v>
      </c>
      <c r="AR54" s="12">
        <v>282</v>
      </c>
      <c r="AS54" s="59">
        <v>2.1680216802168022E-2</v>
      </c>
      <c r="AT54" s="12">
        <v>9</v>
      </c>
      <c r="AU54" s="3">
        <v>6</v>
      </c>
      <c r="AV54" s="54">
        <v>58.4942084942085</v>
      </c>
      <c r="AW54" s="54">
        <v>27.606177606177607</v>
      </c>
      <c r="AX54" s="54">
        <v>13.320463320463322</v>
      </c>
      <c r="AY54" s="68">
        <v>0.5791505791505791</v>
      </c>
      <c r="AZ54" s="59">
        <v>0.22781954887218045</v>
      </c>
      <c r="BA54" s="59">
        <v>8.7218045112781958E-2</v>
      </c>
      <c r="BB54" s="77">
        <v>92.061207534490507</v>
      </c>
      <c r="BC54" s="49">
        <v>15</v>
      </c>
      <c r="BD54" s="90" t="s">
        <v>83</v>
      </c>
      <c r="BE54" s="90" t="s">
        <v>83</v>
      </c>
      <c r="BF54" s="49">
        <v>10.7</v>
      </c>
      <c r="BG54" s="49">
        <v>7.8</v>
      </c>
      <c r="BH54" s="49">
        <v>3.2</v>
      </c>
      <c r="BI54" s="49">
        <v>3.5</v>
      </c>
      <c r="BJ54" s="85">
        <v>20.8</v>
      </c>
      <c r="BK54" s="126">
        <v>9121</v>
      </c>
      <c r="BL54" s="126">
        <v>49991</v>
      </c>
      <c r="BM54" s="126">
        <v>47635</v>
      </c>
      <c r="BN54" s="126">
        <v>44850</v>
      </c>
      <c r="BO54" s="59">
        <v>0</v>
      </c>
      <c r="BP54" s="59">
        <v>0.39879999999999999</v>
      </c>
      <c r="BQ54" s="59">
        <v>0.24529999999999999</v>
      </c>
      <c r="BR54" s="59">
        <v>2.5000000000000001E-3</v>
      </c>
      <c r="BS54" s="59">
        <v>5.5999999999999999E-3</v>
      </c>
      <c r="BT54" s="49">
        <v>15.1</v>
      </c>
      <c r="BU54" s="59">
        <f t="shared" si="2"/>
        <v>0.6522</v>
      </c>
      <c r="BV54" s="59">
        <v>4.6600000000000003E-2</v>
      </c>
      <c r="BW54" s="59">
        <v>0</v>
      </c>
      <c r="BX54" s="59">
        <v>2.3900000000000001E-2</v>
      </c>
      <c r="BY54" s="59">
        <v>9.1999999999999998E-3</v>
      </c>
      <c r="BZ54" s="59">
        <v>0</v>
      </c>
      <c r="CA54" s="49">
        <v>10.4</v>
      </c>
      <c r="CB54" s="59">
        <f t="shared" si="3"/>
        <v>7.9700000000000007E-2</v>
      </c>
      <c r="CC54" s="59">
        <v>0.2341</v>
      </c>
      <c r="CD54" s="125">
        <v>0.43919999999999998</v>
      </c>
      <c r="CE54" s="125">
        <v>0.30919999999999997</v>
      </c>
      <c r="CF54" s="125">
        <v>1.1900000000000001E-2</v>
      </c>
      <c r="CG54" s="125">
        <v>5.7000000000000002E-3</v>
      </c>
      <c r="CH54" s="85">
        <v>13.3</v>
      </c>
      <c r="CI54" s="39" t="s">
        <v>143</v>
      </c>
      <c r="CJ54" s="18" t="s">
        <v>80</v>
      </c>
      <c r="CK54" s="20"/>
    </row>
    <row r="55" spans="1:89" x14ac:dyDescent="0.25">
      <c r="A55" s="18" t="s">
        <v>80</v>
      </c>
      <c r="B55" s="19" t="s">
        <v>139</v>
      </c>
      <c r="C55" s="39" t="s">
        <v>144</v>
      </c>
      <c r="D55" s="40">
        <v>7</v>
      </c>
      <c r="E55" s="40" t="s">
        <v>83</v>
      </c>
      <c r="F55" s="40">
        <v>7</v>
      </c>
      <c r="G55" s="162" t="s">
        <v>83</v>
      </c>
      <c r="H55" s="162" t="s">
        <v>83</v>
      </c>
      <c r="I55" s="166">
        <v>1</v>
      </c>
      <c r="J55" s="166">
        <v>3</v>
      </c>
      <c r="K55" s="166">
        <v>1</v>
      </c>
      <c r="L55" s="166">
        <v>1</v>
      </c>
      <c r="M55" s="166">
        <v>1</v>
      </c>
      <c r="N55" s="119">
        <v>1.21107266435986E-2</v>
      </c>
      <c r="O55" s="119">
        <v>1.21107266435986E-2</v>
      </c>
      <c r="P55" s="116" t="s">
        <v>83</v>
      </c>
      <c r="Q55" s="116" t="s">
        <v>83</v>
      </c>
      <c r="R55" s="119">
        <v>7.1428571428571397E-2</v>
      </c>
      <c r="S55" s="119">
        <v>1.4218009478673001E-2</v>
      </c>
      <c r="T55" s="119">
        <v>8.0000000000000002E-3</v>
      </c>
      <c r="U55" s="119">
        <v>8.4033613445378096E-3</v>
      </c>
      <c r="V55" s="119">
        <v>9.1743119266055103E-3</v>
      </c>
      <c r="W55" s="40">
        <v>511</v>
      </c>
      <c r="X55" s="40">
        <f t="shared" si="4"/>
        <v>511</v>
      </c>
      <c r="Y55" s="40">
        <f t="shared" si="5"/>
        <v>511</v>
      </c>
      <c r="Z55" s="105">
        <v>0.45400000000000001</v>
      </c>
      <c r="AA55" s="105">
        <v>0.54600000000000004</v>
      </c>
      <c r="AB55" s="106">
        <f>1/511</f>
        <v>1.9569471624266144E-3</v>
      </c>
      <c r="AC55" s="106">
        <f>2/511</f>
        <v>3.9138943248532287E-3</v>
      </c>
      <c r="AD55" s="106">
        <f>162/511</f>
        <v>0.31702544031311153</v>
      </c>
      <c r="AE55" s="106">
        <f>12/511</f>
        <v>2.3483365949119372E-2</v>
      </c>
      <c r="AF55" s="106">
        <v>0</v>
      </c>
      <c r="AG55" s="106">
        <f>330/511</f>
        <v>0.64579256360078274</v>
      </c>
      <c r="AH55" s="106">
        <f>4/511</f>
        <v>7.8277886497064575E-3</v>
      </c>
      <c r="AI55" s="106">
        <f>181/511</f>
        <v>0.3542074363992172</v>
      </c>
      <c r="AJ55" s="105">
        <v>0.59099804305283754</v>
      </c>
      <c r="AK55" s="105">
        <v>4.0000000000000001E-3</v>
      </c>
      <c r="AL55" s="12">
        <v>0</v>
      </c>
      <c r="AM55" s="12">
        <v>0</v>
      </c>
      <c r="AN55" s="12">
        <v>6</v>
      </c>
      <c r="AO55" s="12">
        <v>183</v>
      </c>
      <c r="AP55" s="12">
        <v>110</v>
      </c>
      <c r="AQ55" s="12">
        <v>112</v>
      </c>
      <c r="AR55" s="12">
        <v>100</v>
      </c>
      <c r="AS55" s="59">
        <v>3.1746031746031744E-2</v>
      </c>
      <c r="AT55" s="12">
        <v>9</v>
      </c>
      <c r="AU55" s="3">
        <v>6</v>
      </c>
      <c r="AV55" s="54">
        <v>72.373540856031127</v>
      </c>
      <c r="AW55" s="54">
        <v>23.346303501945524</v>
      </c>
      <c r="AX55" s="54">
        <v>4.2801556420233462</v>
      </c>
      <c r="AY55" s="68">
        <v>0</v>
      </c>
      <c r="AZ55" s="59">
        <v>0.29842931937172773</v>
      </c>
      <c r="BA55" s="59">
        <v>0.13438045375218149</v>
      </c>
      <c r="BB55" s="76">
        <v>91.933713693541407</v>
      </c>
      <c r="BC55" s="49">
        <v>2.0869565217391299</v>
      </c>
      <c r="BD55" s="93"/>
      <c r="BE55" s="93"/>
      <c r="BF55" s="49">
        <v>9.8000000000000007</v>
      </c>
      <c r="BG55" s="49">
        <v>1.9</v>
      </c>
      <c r="BH55" s="49">
        <v>0</v>
      </c>
      <c r="BI55" s="49">
        <v>1</v>
      </c>
      <c r="BJ55" s="85">
        <v>19.3</v>
      </c>
      <c r="BK55" s="126">
        <v>10861</v>
      </c>
      <c r="BL55" s="126">
        <v>51246</v>
      </c>
      <c r="BM55" s="126">
        <v>47464</v>
      </c>
      <c r="BN55" s="126">
        <v>40925</v>
      </c>
      <c r="BO55" s="59">
        <v>0</v>
      </c>
      <c r="BP55" s="59">
        <v>0.30030000000000001</v>
      </c>
      <c r="BQ55" s="59">
        <v>0.22939999999999999</v>
      </c>
      <c r="BR55" s="59">
        <v>1.5800000000000002E-2</v>
      </c>
      <c r="BS55" s="59">
        <v>0</v>
      </c>
      <c r="BT55" s="49">
        <v>13.1</v>
      </c>
      <c r="BU55" s="59">
        <f t="shared" si="2"/>
        <v>0.5455000000000001</v>
      </c>
      <c r="BV55" s="59">
        <v>4.9000000000000002E-2</v>
      </c>
      <c r="BW55" s="59">
        <v>0</v>
      </c>
      <c r="BX55" s="59">
        <v>4.7899999999999998E-2</v>
      </c>
      <c r="BY55" s="59">
        <v>0</v>
      </c>
      <c r="BZ55" s="59">
        <v>0</v>
      </c>
      <c r="CA55" s="49">
        <v>19.2</v>
      </c>
      <c r="CB55" s="59">
        <f t="shared" si="3"/>
        <v>9.69E-2</v>
      </c>
      <c r="CC55" s="59">
        <v>0.34139999999999998</v>
      </c>
      <c r="CD55" s="125">
        <v>0.31740000000000002</v>
      </c>
      <c r="CE55" s="125">
        <v>0.32129999999999997</v>
      </c>
      <c r="CF55" s="125">
        <v>1.9900000000000001E-2</v>
      </c>
      <c r="CG55" s="125">
        <v>0</v>
      </c>
      <c r="CH55" s="85">
        <v>14.1</v>
      </c>
      <c r="CI55" s="39" t="s">
        <v>144</v>
      </c>
      <c r="CJ55" s="18" t="s">
        <v>80</v>
      </c>
      <c r="CK55" s="20"/>
    </row>
    <row r="56" spans="1:89" x14ac:dyDescent="0.25">
      <c r="A56" s="18" t="s">
        <v>80</v>
      </c>
      <c r="B56" s="19" t="s">
        <v>139</v>
      </c>
      <c r="C56" s="39" t="s">
        <v>145</v>
      </c>
      <c r="D56" s="40">
        <v>71</v>
      </c>
      <c r="E56" s="40" t="s">
        <v>83</v>
      </c>
      <c r="F56" s="40">
        <v>71</v>
      </c>
      <c r="G56" s="162" t="s">
        <v>83</v>
      </c>
      <c r="H56" s="162" t="s">
        <v>83</v>
      </c>
      <c r="I56" s="166">
        <v>4</v>
      </c>
      <c r="J56" s="166">
        <v>19</v>
      </c>
      <c r="K56" s="166">
        <v>17</v>
      </c>
      <c r="L56" s="166">
        <v>18</v>
      </c>
      <c r="M56" s="166">
        <v>13</v>
      </c>
      <c r="N56" s="119">
        <v>5.84843492586491E-2</v>
      </c>
      <c r="O56" s="119">
        <v>5.84843492586491E-2</v>
      </c>
      <c r="P56" s="116" t="s">
        <v>83</v>
      </c>
      <c r="Q56" s="116" t="s">
        <v>83</v>
      </c>
      <c r="R56" s="119">
        <v>5.63380281690141E-2</v>
      </c>
      <c r="S56" s="119">
        <v>5.06666666666667E-2</v>
      </c>
      <c r="T56" s="119">
        <v>5.7823129251700703E-2</v>
      </c>
      <c r="U56" s="119">
        <v>6.8181818181818205E-2</v>
      </c>
      <c r="V56" s="119">
        <v>6.19047619047619E-2</v>
      </c>
      <c r="W56" s="40">
        <v>1052</v>
      </c>
      <c r="X56" s="40">
        <f t="shared" si="4"/>
        <v>1052</v>
      </c>
      <c r="Y56" s="40">
        <f t="shared" si="5"/>
        <v>1052</v>
      </c>
      <c r="Z56" s="105">
        <v>0.499</v>
      </c>
      <c r="AA56" s="105">
        <v>0.501</v>
      </c>
      <c r="AB56" s="106">
        <f>1/1052</f>
        <v>9.5057034220532319E-4</v>
      </c>
      <c r="AC56" s="106">
        <f>4/1052</f>
        <v>3.8022813688212928E-3</v>
      </c>
      <c r="AD56" s="106">
        <f>896/1052</f>
        <v>0.85171102661596954</v>
      </c>
      <c r="AE56" s="106">
        <f>23/1052</f>
        <v>2.1863117870722433E-2</v>
      </c>
      <c r="AF56" s="106">
        <f>1/1052</f>
        <v>9.5057034220532319E-4</v>
      </c>
      <c r="AG56" s="106">
        <f>120/1052</f>
        <v>0.11406844106463879</v>
      </c>
      <c r="AH56" s="106">
        <f>7/1052</f>
        <v>6.653992395437262E-3</v>
      </c>
      <c r="AI56" s="106">
        <f>932/1052</f>
        <v>0.88593155893536124</v>
      </c>
      <c r="AJ56" s="105">
        <v>0.8098859315589354</v>
      </c>
      <c r="AK56" s="105">
        <v>7.0000000000000001E-3</v>
      </c>
      <c r="AL56" s="12">
        <v>0</v>
      </c>
      <c r="AM56" s="12">
        <v>0</v>
      </c>
      <c r="AN56" s="12">
        <v>32</v>
      </c>
      <c r="AO56" s="12">
        <v>347</v>
      </c>
      <c r="AP56" s="12">
        <v>251</v>
      </c>
      <c r="AQ56" s="12">
        <v>235</v>
      </c>
      <c r="AR56" s="12">
        <v>187</v>
      </c>
      <c r="AS56" s="59">
        <v>8.4432717678100261E-2</v>
      </c>
      <c r="AT56" s="12">
        <v>9</v>
      </c>
      <c r="AU56" s="3">
        <v>6</v>
      </c>
      <c r="AV56" s="54">
        <v>79.902755267423004</v>
      </c>
      <c r="AW56" s="54">
        <v>16.207455429497568</v>
      </c>
      <c r="AX56" s="54">
        <v>3.7277147487844409</v>
      </c>
      <c r="AY56" s="68">
        <v>0.16207455429497569</v>
      </c>
      <c r="AZ56" s="59">
        <v>0.16569525395503748</v>
      </c>
      <c r="BA56" s="59">
        <v>0.18900915903413823</v>
      </c>
      <c r="BB56" s="77">
        <v>86.4927922188417</v>
      </c>
      <c r="BC56" s="49">
        <v>41.726618705036003</v>
      </c>
      <c r="BD56" s="90" t="s">
        <v>83</v>
      </c>
      <c r="BE56" s="90" t="s">
        <v>83</v>
      </c>
      <c r="BF56" s="49">
        <v>18.899999999999999</v>
      </c>
      <c r="BG56" s="49">
        <v>4</v>
      </c>
      <c r="BH56" s="49">
        <v>8</v>
      </c>
      <c r="BI56" s="49">
        <v>1.6</v>
      </c>
      <c r="BJ56" s="85">
        <v>17.2</v>
      </c>
      <c r="BK56" s="126">
        <v>13071</v>
      </c>
      <c r="BL56" s="126">
        <v>51669</v>
      </c>
      <c r="BM56" s="126">
        <v>44185</v>
      </c>
      <c r="BN56" s="126">
        <v>40294</v>
      </c>
      <c r="BO56" s="59">
        <v>4.48E-2</v>
      </c>
      <c r="BP56" s="59">
        <v>0.28770000000000001</v>
      </c>
      <c r="BQ56" s="59">
        <v>0.19869999999999999</v>
      </c>
      <c r="BR56" s="59">
        <v>0</v>
      </c>
      <c r="BS56" s="59">
        <v>1.8499999999999999E-2</v>
      </c>
      <c r="BT56" s="49">
        <v>13.3</v>
      </c>
      <c r="BU56" s="59">
        <f t="shared" si="2"/>
        <v>0.54969999999999997</v>
      </c>
      <c r="BV56" s="59">
        <v>3.5799999999999998E-2</v>
      </c>
      <c r="BW56" s="59">
        <v>3.8E-3</v>
      </c>
      <c r="BX56" s="59">
        <v>1.12E-2</v>
      </c>
      <c r="BY56" s="59">
        <v>1.15E-2</v>
      </c>
      <c r="BZ56" s="59">
        <v>0</v>
      </c>
      <c r="CA56" s="49">
        <v>12.3</v>
      </c>
      <c r="CB56" s="59">
        <f t="shared" si="3"/>
        <v>6.2299999999999994E-2</v>
      </c>
      <c r="CC56" s="59">
        <v>0.39029999999999998</v>
      </c>
      <c r="CD56" s="125">
        <v>0.30790000000000001</v>
      </c>
      <c r="CE56" s="125">
        <v>0.26819999999999999</v>
      </c>
      <c r="CF56" s="125">
        <v>1.5100000000000001E-2</v>
      </c>
      <c r="CG56" s="125">
        <v>1.8499999999999999E-2</v>
      </c>
      <c r="CH56" s="85">
        <v>13.9</v>
      </c>
      <c r="CI56" s="39" t="s">
        <v>145</v>
      </c>
      <c r="CJ56" s="18" t="s">
        <v>80</v>
      </c>
      <c r="CK56" s="20"/>
    </row>
    <row r="57" spans="1:89" x14ac:dyDescent="0.25">
      <c r="A57" s="18" t="s">
        <v>80</v>
      </c>
      <c r="B57" s="19" t="s">
        <v>139</v>
      </c>
      <c r="C57" s="39" t="s">
        <v>146</v>
      </c>
      <c r="D57" s="40">
        <v>1</v>
      </c>
      <c r="E57" s="40">
        <v>1</v>
      </c>
      <c r="F57" s="40">
        <v>0</v>
      </c>
      <c r="G57" s="166">
        <v>0</v>
      </c>
      <c r="H57" s="166">
        <v>1</v>
      </c>
      <c r="I57" s="166">
        <v>0</v>
      </c>
      <c r="J57" s="166">
        <v>0</v>
      </c>
      <c r="K57" s="166">
        <v>0</v>
      </c>
      <c r="L57" s="166">
        <v>0</v>
      </c>
      <c r="M57" s="166">
        <v>0</v>
      </c>
      <c r="N57" s="119">
        <v>5.31914893617021E-3</v>
      </c>
      <c r="O57" s="119">
        <v>0</v>
      </c>
      <c r="P57" s="119">
        <v>0</v>
      </c>
      <c r="Q57" s="119">
        <v>2.8571428571428598E-2</v>
      </c>
      <c r="R57" s="119">
        <v>0</v>
      </c>
      <c r="S57" s="119">
        <v>0</v>
      </c>
      <c r="T57" s="119">
        <v>0</v>
      </c>
      <c r="U57" s="119">
        <v>0</v>
      </c>
      <c r="V57" s="119">
        <v>0</v>
      </c>
      <c r="W57" s="40">
        <v>363</v>
      </c>
      <c r="X57" s="40">
        <f t="shared" si="4"/>
        <v>105</v>
      </c>
      <c r="Y57" s="40">
        <f t="shared" si="5"/>
        <v>168</v>
      </c>
      <c r="Z57" s="105">
        <v>0.53400000000000003</v>
      </c>
      <c r="AA57" s="105">
        <v>0.46600000000000003</v>
      </c>
      <c r="AB57" s="106">
        <f>2/363</f>
        <v>5.5096418732782371E-3</v>
      </c>
      <c r="AC57" s="106">
        <v>0</v>
      </c>
      <c r="AD57" s="106">
        <f>6/363</f>
        <v>1.6528925619834711E-2</v>
      </c>
      <c r="AE57" s="106">
        <f>3/363</f>
        <v>8.2644628099173556E-3</v>
      </c>
      <c r="AF57" s="106">
        <v>0</v>
      </c>
      <c r="AG57" s="106">
        <f>348/363</f>
        <v>0.95867768595041325</v>
      </c>
      <c r="AH57" s="106">
        <f>4/363</f>
        <v>1.1019283746556474E-2</v>
      </c>
      <c r="AI57" s="106">
        <f>15/363</f>
        <v>4.1322314049586778E-2</v>
      </c>
      <c r="AJ57" s="105">
        <v>0.64462809917355368</v>
      </c>
      <c r="AK57" s="105">
        <v>0</v>
      </c>
      <c r="AL57" s="12">
        <v>31</v>
      </c>
      <c r="AM57" s="12">
        <v>32</v>
      </c>
      <c r="AN57" s="12">
        <v>3</v>
      </c>
      <c r="AO57" s="12">
        <v>29</v>
      </c>
      <c r="AP57" s="12">
        <v>26</v>
      </c>
      <c r="AQ57" s="12">
        <v>29</v>
      </c>
      <c r="AR57" s="12">
        <v>18</v>
      </c>
      <c r="AS57" s="59">
        <v>9.375E-2</v>
      </c>
      <c r="AT57" s="12">
        <v>1</v>
      </c>
      <c r="AU57" s="3">
        <v>6</v>
      </c>
      <c r="AV57" s="54">
        <v>90.217391304347828</v>
      </c>
      <c r="AW57" s="54">
        <v>8.695652173913043</v>
      </c>
      <c r="AX57" s="54">
        <v>1.0869565217391304</v>
      </c>
      <c r="AY57" s="68">
        <v>0</v>
      </c>
      <c r="AZ57" s="59">
        <v>0.15815085158150852</v>
      </c>
      <c r="BA57" s="59">
        <v>4.0877551872759703E-2</v>
      </c>
      <c r="BB57" s="76">
        <v>93.870324375789096</v>
      </c>
      <c r="BC57" s="49">
        <v>18.461538461538499</v>
      </c>
      <c r="BD57" s="49">
        <v>5.9</v>
      </c>
      <c r="BE57" s="93">
        <v>0</v>
      </c>
      <c r="BF57" s="49">
        <v>0</v>
      </c>
      <c r="BG57" s="49">
        <v>0</v>
      </c>
      <c r="BH57" s="49">
        <v>0</v>
      </c>
      <c r="BI57" s="49">
        <v>0</v>
      </c>
      <c r="BJ57" s="85">
        <v>18.2</v>
      </c>
      <c r="BK57" s="126">
        <v>12822</v>
      </c>
      <c r="BL57" s="126">
        <v>47293</v>
      </c>
      <c r="BM57" s="126">
        <v>51736</v>
      </c>
      <c r="BN57" s="126">
        <v>40950</v>
      </c>
      <c r="BO57" s="59">
        <v>1.67E-2</v>
      </c>
      <c r="BP57" s="59">
        <v>0.48720000000000002</v>
      </c>
      <c r="BQ57" s="59">
        <v>6.8099999999999994E-2</v>
      </c>
      <c r="BR57" s="59">
        <v>1.67E-2</v>
      </c>
      <c r="BS57" s="59">
        <v>0</v>
      </c>
      <c r="BT57" s="49">
        <v>11.5</v>
      </c>
      <c r="BU57" s="59">
        <f t="shared" si="2"/>
        <v>0.58870000000000011</v>
      </c>
      <c r="BV57" s="59">
        <v>3.1800000000000002E-2</v>
      </c>
      <c r="BW57" s="59">
        <v>0</v>
      </c>
      <c r="BX57" s="59">
        <v>3.15E-2</v>
      </c>
      <c r="BY57" s="59">
        <v>0</v>
      </c>
      <c r="BZ57" s="59">
        <v>0</v>
      </c>
      <c r="CA57" s="49">
        <v>12.6</v>
      </c>
      <c r="CB57" s="59">
        <f t="shared" si="3"/>
        <v>6.3299999999999995E-2</v>
      </c>
      <c r="CC57" s="59">
        <v>0.34739999999999999</v>
      </c>
      <c r="CD57" s="125">
        <v>0.51180000000000003</v>
      </c>
      <c r="CE57" s="125">
        <v>0.1242</v>
      </c>
      <c r="CF57" s="125">
        <v>1.67E-2</v>
      </c>
      <c r="CG57" s="125">
        <v>0</v>
      </c>
      <c r="CH57" s="85">
        <v>10.9</v>
      </c>
      <c r="CI57" s="39" t="s">
        <v>146</v>
      </c>
      <c r="CJ57" s="18" t="s">
        <v>80</v>
      </c>
      <c r="CK57" s="20"/>
    </row>
    <row r="58" spans="1:89" x14ac:dyDescent="0.25">
      <c r="A58" s="18" t="s">
        <v>80</v>
      </c>
      <c r="B58" s="19" t="s">
        <v>139</v>
      </c>
      <c r="C58" s="39" t="s">
        <v>147</v>
      </c>
      <c r="D58" s="40">
        <v>17</v>
      </c>
      <c r="E58" s="40" t="s">
        <v>83</v>
      </c>
      <c r="F58" s="40">
        <v>17</v>
      </c>
      <c r="G58" s="162" t="s">
        <v>83</v>
      </c>
      <c r="H58" s="162" t="s">
        <v>83</v>
      </c>
      <c r="I58" s="166">
        <v>0</v>
      </c>
      <c r="J58" s="166">
        <v>6</v>
      </c>
      <c r="K58" s="166">
        <v>5</v>
      </c>
      <c r="L58" s="166">
        <v>2</v>
      </c>
      <c r="M58" s="166">
        <v>4</v>
      </c>
      <c r="N58" s="119">
        <v>7.9699953117674596E-3</v>
      </c>
      <c r="O58" s="119">
        <v>7.9699953117674596E-3</v>
      </c>
      <c r="P58" s="116" t="s">
        <v>83</v>
      </c>
      <c r="Q58" s="116" t="s">
        <v>83</v>
      </c>
      <c r="R58" s="119">
        <v>0</v>
      </c>
      <c r="S58" s="119">
        <v>9.6930533117932094E-3</v>
      </c>
      <c r="T58" s="119">
        <v>8.3333333333333297E-3</v>
      </c>
      <c r="U58" s="119">
        <v>4.2194092827004199E-3</v>
      </c>
      <c r="V58" s="119">
        <v>9.8280098280098295E-3</v>
      </c>
      <c r="W58" s="40">
        <v>2003</v>
      </c>
      <c r="X58" s="40">
        <f t="shared" si="4"/>
        <v>2003</v>
      </c>
      <c r="Y58" s="40">
        <f t="shared" si="5"/>
        <v>2003</v>
      </c>
      <c r="Z58" s="105">
        <v>0.50600000000000001</v>
      </c>
      <c r="AA58" s="105">
        <v>0.49399999999999999</v>
      </c>
      <c r="AB58" s="106">
        <f>1/2003</f>
        <v>4.992511233150275E-4</v>
      </c>
      <c r="AC58" s="106">
        <f>14/2003</f>
        <v>6.9895157264103841E-3</v>
      </c>
      <c r="AD58" s="106">
        <f>220/2003</f>
        <v>0.10983524712930604</v>
      </c>
      <c r="AE58" s="106">
        <f>55/2003</f>
        <v>2.7458811782326509E-2</v>
      </c>
      <c r="AF58" s="106">
        <v>0</v>
      </c>
      <c r="AG58" s="106">
        <f>1687/2003</f>
        <v>0.84223664503245133</v>
      </c>
      <c r="AH58" s="106">
        <f>26/2003</f>
        <v>1.2980529206190713E-2</v>
      </c>
      <c r="AI58" s="106">
        <f>316/2003</f>
        <v>0.15776335496754867</v>
      </c>
      <c r="AJ58" s="105">
        <v>0.45032451323015477</v>
      </c>
      <c r="AK58" s="105">
        <v>5.0000000000000001E-3</v>
      </c>
      <c r="AL58" s="12">
        <v>0</v>
      </c>
      <c r="AM58" s="12">
        <v>0</v>
      </c>
      <c r="AN58" s="12">
        <v>15</v>
      </c>
      <c r="AO58" s="12">
        <v>579</v>
      </c>
      <c r="AP58" s="12">
        <v>565</v>
      </c>
      <c r="AQ58" s="12">
        <v>447</v>
      </c>
      <c r="AR58" s="12">
        <v>397</v>
      </c>
      <c r="AS58" s="59">
        <v>2.5252525252525252E-2</v>
      </c>
      <c r="AT58" s="12">
        <v>9</v>
      </c>
      <c r="AU58" s="3">
        <v>6</v>
      </c>
      <c r="AV58" s="54">
        <v>51.291989664082685</v>
      </c>
      <c r="AW58" s="54">
        <v>31.136950904392762</v>
      </c>
      <c r="AX58" s="54">
        <v>16.279069767441861</v>
      </c>
      <c r="AY58" s="68">
        <v>1.2919896640826873</v>
      </c>
      <c r="AZ58" s="59">
        <v>0.15782057303898545</v>
      </c>
      <c r="BA58" s="59">
        <v>7.3273837482386098E-2</v>
      </c>
      <c r="BB58" s="77">
        <v>92.364551679168997</v>
      </c>
      <c r="BC58" s="49">
        <v>14.844113541181899</v>
      </c>
      <c r="BD58" s="90" t="s">
        <v>83</v>
      </c>
      <c r="BE58" s="90" t="s">
        <v>83</v>
      </c>
      <c r="BF58" s="49">
        <v>9.6999999999999993</v>
      </c>
      <c r="BG58" s="49">
        <v>1.1000000000000001</v>
      </c>
      <c r="BH58" s="49">
        <v>2.2000000000000002</v>
      </c>
      <c r="BI58" s="49">
        <v>1.6</v>
      </c>
      <c r="BJ58" s="85">
        <v>20.3</v>
      </c>
      <c r="BK58" s="126">
        <v>9516</v>
      </c>
      <c r="BL58" s="126">
        <v>49002</v>
      </c>
      <c r="BM58" s="126">
        <v>41765</v>
      </c>
      <c r="BN58" s="126">
        <v>41734</v>
      </c>
      <c r="BO58" s="59">
        <v>1.4800000000000001E-2</v>
      </c>
      <c r="BP58" s="59">
        <v>0.36270000000000002</v>
      </c>
      <c r="BQ58" s="59">
        <v>0.2084</v>
      </c>
      <c r="BR58" s="59">
        <v>5.1999999999999998E-3</v>
      </c>
      <c r="BS58" s="59">
        <v>1.2699999999999999E-2</v>
      </c>
      <c r="BT58" s="49">
        <v>14.1</v>
      </c>
      <c r="BU58" s="59">
        <f t="shared" si="2"/>
        <v>0.6038</v>
      </c>
      <c r="BV58" s="59">
        <v>3.9300000000000002E-2</v>
      </c>
      <c r="BW58" s="59">
        <v>4.7000000000000002E-3</v>
      </c>
      <c r="BX58" s="59">
        <v>2.4199999999999999E-2</v>
      </c>
      <c r="BY58" s="59">
        <v>2.7000000000000001E-3</v>
      </c>
      <c r="BZ58" s="59">
        <v>2.5000000000000001E-3</v>
      </c>
      <c r="CA58" s="49">
        <v>16.899999999999999</v>
      </c>
      <c r="CB58" s="59">
        <f t="shared" si="3"/>
        <v>7.3400000000000007E-2</v>
      </c>
      <c r="CC58" s="59">
        <v>0.30230000000000001</v>
      </c>
      <c r="CD58" s="125">
        <v>0.39950000000000002</v>
      </c>
      <c r="CE58" s="125">
        <v>0.27239999999999998</v>
      </c>
      <c r="CF58" s="125">
        <v>1.06E-2</v>
      </c>
      <c r="CG58" s="125">
        <v>1.5299999999999999E-2</v>
      </c>
      <c r="CH58" s="85">
        <v>13.2</v>
      </c>
      <c r="CI58" s="39" t="s">
        <v>147</v>
      </c>
      <c r="CJ58" s="18" t="s">
        <v>80</v>
      </c>
      <c r="CK58" s="20"/>
    </row>
    <row r="59" spans="1:89" x14ac:dyDescent="0.25">
      <c r="A59" s="18" t="s">
        <v>80</v>
      </c>
      <c r="B59" s="19" t="s">
        <v>139</v>
      </c>
      <c r="C59" s="39" t="s">
        <v>148</v>
      </c>
      <c r="D59" s="40">
        <v>6</v>
      </c>
      <c r="E59" s="40" t="s">
        <v>83</v>
      </c>
      <c r="F59" s="40">
        <v>6</v>
      </c>
      <c r="G59" s="162" t="s">
        <v>83</v>
      </c>
      <c r="H59" s="162" t="s">
        <v>83</v>
      </c>
      <c r="I59" s="166">
        <v>0</v>
      </c>
      <c r="J59" s="166">
        <v>2</v>
      </c>
      <c r="K59" s="166">
        <v>0</v>
      </c>
      <c r="L59" s="166">
        <v>2</v>
      </c>
      <c r="M59" s="166">
        <v>2</v>
      </c>
      <c r="N59" s="119">
        <v>1.79640718562874E-2</v>
      </c>
      <c r="O59" s="119">
        <v>1.79640718562874E-2</v>
      </c>
      <c r="P59" s="116" t="s">
        <v>83</v>
      </c>
      <c r="Q59" s="116" t="s">
        <v>83</v>
      </c>
      <c r="R59" s="119">
        <v>0</v>
      </c>
      <c r="S59" s="119">
        <v>2.04081632653061E-2</v>
      </c>
      <c r="T59" s="119">
        <v>0</v>
      </c>
      <c r="U59" s="119">
        <v>2.7397260273972601E-2</v>
      </c>
      <c r="V59" s="119">
        <v>2.7777777777777801E-2</v>
      </c>
      <c r="W59" s="40">
        <v>308</v>
      </c>
      <c r="X59" s="40">
        <f t="shared" si="4"/>
        <v>308</v>
      </c>
      <c r="Y59" s="40">
        <f t="shared" si="5"/>
        <v>308</v>
      </c>
      <c r="Z59" s="105">
        <v>0.50700000000000001</v>
      </c>
      <c r="AA59" s="105">
        <v>0.49399999999999999</v>
      </c>
      <c r="AB59" s="106">
        <f>1/308</f>
        <v>3.246753246753247E-3</v>
      </c>
      <c r="AC59" s="106">
        <f>5/308</f>
        <v>1.6233766233766232E-2</v>
      </c>
      <c r="AD59" s="106">
        <f>53/308</f>
        <v>0.17207792207792208</v>
      </c>
      <c r="AE59" s="106">
        <f>17/308</f>
        <v>5.5194805194805192E-2</v>
      </c>
      <c r="AF59" s="106">
        <v>0</v>
      </c>
      <c r="AG59" s="106">
        <f>224/308</f>
        <v>0.72727272727272729</v>
      </c>
      <c r="AH59" s="106">
        <f>8/308</f>
        <v>2.5974025974025976E-2</v>
      </c>
      <c r="AI59" s="106">
        <f>84/308</f>
        <v>0.27272727272727271</v>
      </c>
      <c r="AJ59" s="105">
        <v>0.62337662337662336</v>
      </c>
      <c r="AK59" s="105">
        <v>2.5999999999999999E-2</v>
      </c>
      <c r="AL59" s="12">
        <v>0</v>
      </c>
      <c r="AM59" s="12">
        <v>0</v>
      </c>
      <c r="AN59" s="12">
        <v>4</v>
      </c>
      <c r="AO59" s="12">
        <v>99</v>
      </c>
      <c r="AP59" s="12">
        <v>72</v>
      </c>
      <c r="AQ59" s="12">
        <v>66</v>
      </c>
      <c r="AR59" s="12">
        <v>67</v>
      </c>
      <c r="AS59" s="59">
        <v>3.8834951456310676E-2</v>
      </c>
      <c r="AT59" s="12">
        <v>9</v>
      </c>
      <c r="AU59" s="3">
        <v>6</v>
      </c>
      <c r="AV59" s="54">
        <v>84.158415841584159</v>
      </c>
      <c r="AW59" s="54">
        <v>15.346534653465346</v>
      </c>
      <c r="AX59" s="54">
        <v>0.49504950495049505</v>
      </c>
      <c r="AY59" s="68">
        <v>0</v>
      </c>
      <c r="AZ59" s="59">
        <v>0.19879518072289157</v>
      </c>
      <c r="BA59" s="59">
        <v>0.12951807228915663</v>
      </c>
      <c r="BB59" s="76">
        <v>91.583274764891897</v>
      </c>
      <c r="BC59" s="49">
        <v>29.940119760479</v>
      </c>
      <c r="BD59" s="90" t="s">
        <v>83</v>
      </c>
      <c r="BE59" s="90" t="s">
        <v>83</v>
      </c>
      <c r="BF59" s="49">
        <v>6.3</v>
      </c>
      <c r="BG59" s="49">
        <v>1.5</v>
      </c>
      <c r="BH59" s="49">
        <v>0</v>
      </c>
      <c r="BI59" s="49">
        <v>1.6</v>
      </c>
      <c r="BJ59" s="85">
        <v>18.3</v>
      </c>
      <c r="BK59" s="126">
        <v>13765</v>
      </c>
      <c r="BL59" s="126">
        <v>50591</v>
      </c>
      <c r="BM59" s="126">
        <v>47110</v>
      </c>
      <c r="BN59" s="126">
        <v>40845</v>
      </c>
      <c r="BO59" s="59">
        <v>0</v>
      </c>
      <c r="BP59" s="59">
        <v>0.33529999999999999</v>
      </c>
      <c r="BQ59" s="59">
        <v>0.152</v>
      </c>
      <c r="BR59" s="59">
        <v>0</v>
      </c>
      <c r="BS59" s="59">
        <v>0</v>
      </c>
      <c r="BT59" s="49">
        <v>14.6</v>
      </c>
      <c r="BU59" s="59">
        <f t="shared" si="2"/>
        <v>0.48729999999999996</v>
      </c>
      <c r="BV59" s="59">
        <v>5.5599999999999997E-2</v>
      </c>
      <c r="BW59" s="59">
        <v>0</v>
      </c>
      <c r="BX59" s="59">
        <v>3.8699999999999998E-2</v>
      </c>
      <c r="BY59" s="59">
        <v>0</v>
      </c>
      <c r="BZ59" s="59">
        <v>0</v>
      </c>
      <c r="CA59" s="49">
        <v>14.4</v>
      </c>
      <c r="CB59" s="59">
        <f t="shared" si="3"/>
        <v>9.4299999999999995E-2</v>
      </c>
      <c r="CC59" s="59">
        <v>0.40889999999999999</v>
      </c>
      <c r="CD59" s="125">
        <v>0.37419999999999998</v>
      </c>
      <c r="CE59" s="125">
        <v>0.20430000000000001</v>
      </c>
      <c r="CF59" s="125">
        <v>1.26E-2</v>
      </c>
      <c r="CG59" s="125">
        <v>0</v>
      </c>
      <c r="CH59" s="85">
        <v>16</v>
      </c>
      <c r="CI59" s="39" t="s">
        <v>148</v>
      </c>
      <c r="CJ59" s="18" t="s">
        <v>80</v>
      </c>
      <c r="CK59" s="20"/>
    </row>
    <row r="60" spans="1:89" x14ac:dyDescent="0.25">
      <c r="A60" s="18" t="s">
        <v>80</v>
      </c>
      <c r="B60" s="19" t="s">
        <v>139</v>
      </c>
      <c r="C60" s="39" t="s">
        <v>149</v>
      </c>
      <c r="D60" s="40">
        <v>61</v>
      </c>
      <c r="E60" s="40" t="s">
        <v>83</v>
      </c>
      <c r="F60" s="40">
        <v>61</v>
      </c>
      <c r="G60" s="162" t="s">
        <v>83</v>
      </c>
      <c r="H60" s="162" t="s">
        <v>83</v>
      </c>
      <c r="I60" s="166">
        <v>2</v>
      </c>
      <c r="J60" s="166">
        <v>27</v>
      </c>
      <c r="K60" s="166">
        <v>18</v>
      </c>
      <c r="L60" s="166">
        <v>4</v>
      </c>
      <c r="M60" s="166">
        <v>10</v>
      </c>
      <c r="N60" s="119">
        <v>7.66331658291457E-2</v>
      </c>
      <c r="O60" s="119">
        <v>7.66331658291457E-2</v>
      </c>
      <c r="P60" s="116" t="s">
        <v>83</v>
      </c>
      <c r="Q60" s="116" t="s">
        <v>83</v>
      </c>
      <c r="R60" s="119">
        <v>4.2553191489361701E-2</v>
      </c>
      <c r="S60" s="119">
        <v>0.100371747211896</v>
      </c>
      <c r="T60" s="119">
        <v>9.3264248704663197E-2</v>
      </c>
      <c r="U60" s="119">
        <v>2.7027027027027001E-2</v>
      </c>
      <c r="V60" s="119">
        <v>7.1942446043165506E-2</v>
      </c>
      <c r="W60" s="40">
        <v>695</v>
      </c>
      <c r="X60" s="40">
        <f t="shared" si="4"/>
        <v>695</v>
      </c>
      <c r="Y60" s="40">
        <f t="shared" si="5"/>
        <v>695</v>
      </c>
      <c r="Z60" s="105">
        <v>0.53500000000000003</v>
      </c>
      <c r="AA60" s="105">
        <v>0.46500000000000002</v>
      </c>
      <c r="AB60" s="106">
        <v>0</v>
      </c>
      <c r="AC60" s="106">
        <v>0</v>
      </c>
      <c r="AD60" s="106">
        <f>679/695</f>
        <v>0.97697841726618706</v>
      </c>
      <c r="AE60" s="106">
        <f>3/695</f>
        <v>4.3165467625899279E-3</v>
      </c>
      <c r="AF60" s="106">
        <v>0</v>
      </c>
      <c r="AG60" s="106">
        <f>12/695</f>
        <v>1.7266187050359712E-2</v>
      </c>
      <c r="AH60" s="106">
        <f>1/695</f>
        <v>1.4388489208633094E-3</v>
      </c>
      <c r="AI60" s="106">
        <f>683/695</f>
        <v>0.98273381294964024</v>
      </c>
      <c r="AJ60" s="105">
        <v>0.88057553956834533</v>
      </c>
      <c r="AK60" s="105">
        <v>1E-3</v>
      </c>
      <c r="AL60" s="12">
        <v>0</v>
      </c>
      <c r="AM60" s="12">
        <v>0</v>
      </c>
      <c r="AN60" s="12">
        <v>33</v>
      </c>
      <c r="AO60" s="12">
        <v>238</v>
      </c>
      <c r="AP60" s="12">
        <v>162</v>
      </c>
      <c r="AQ60" s="12">
        <v>137</v>
      </c>
      <c r="AR60" s="12">
        <v>125</v>
      </c>
      <c r="AS60" s="59">
        <v>0.12177121771217712</v>
      </c>
      <c r="AT60" s="12">
        <v>9</v>
      </c>
      <c r="AU60" s="3">
        <v>6</v>
      </c>
      <c r="AV60" s="54">
        <v>70.121951219512198</v>
      </c>
      <c r="AW60" s="54">
        <v>17.987804878048781</v>
      </c>
      <c r="AX60" s="54">
        <v>11.280487804878049</v>
      </c>
      <c r="AY60" s="68">
        <v>0.6097560975609756</v>
      </c>
      <c r="AZ60" s="59">
        <v>0.48894668400520158</v>
      </c>
      <c r="BA60" s="59">
        <v>0.29128738621586475</v>
      </c>
      <c r="BB60" s="77">
        <v>86.906333726249201</v>
      </c>
      <c r="BC60" s="49">
        <v>38.527607361963199</v>
      </c>
      <c r="BD60" s="90" t="s">
        <v>83</v>
      </c>
      <c r="BE60" s="90" t="s">
        <v>83</v>
      </c>
      <c r="BF60" s="49">
        <v>33.1</v>
      </c>
      <c r="BG60" s="49">
        <v>28.9</v>
      </c>
      <c r="BH60" s="49">
        <v>17.7</v>
      </c>
      <c r="BI60" s="49">
        <v>0</v>
      </c>
      <c r="BJ60" s="85">
        <v>16.399999999999999</v>
      </c>
      <c r="BK60" s="126">
        <v>12391</v>
      </c>
      <c r="BL60" s="126">
        <v>49929</v>
      </c>
      <c r="BM60" s="126">
        <v>42019</v>
      </c>
      <c r="BN60" s="126">
        <v>38300</v>
      </c>
      <c r="BO60" s="59">
        <v>3.5999999999999997E-2</v>
      </c>
      <c r="BP60" s="59">
        <v>0.28139999999999998</v>
      </c>
      <c r="BQ60" s="59">
        <v>0.192</v>
      </c>
      <c r="BR60" s="59">
        <v>0</v>
      </c>
      <c r="BS60" s="59">
        <v>0</v>
      </c>
      <c r="BT60" s="49">
        <v>17.100000000000001</v>
      </c>
      <c r="BU60" s="59">
        <f t="shared" si="2"/>
        <v>0.50939999999999996</v>
      </c>
      <c r="BV60" s="59">
        <v>5.0799999999999998E-2</v>
      </c>
      <c r="BW60" s="59">
        <v>0</v>
      </c>
      <c r="BX60" s="59">
        <v>3.8600000000000002E-2</v>
      </c>
      <c r="BY60" s="59">
        <v>0</v>
      </c>
      <c r="BZ60" s="59">
        <v>0</v>
      </c>
      <c r="CA60" s="49">
        <v>15.3</v>
      </c>
      <c r="CB60" s="59">
        <f t="shared" si="3"/>
        <v>8.9400000000000007E-2</v>
      </c>
      <c r="CC60" s="59">
        <v>0.3911</v>
      </c>
      <c r="CD60" s="125">
        <v>0.31709999999999999</v>
      </c>
      <c r="CE60" s="125">
        <v>0.2853</v>
      </c>
      <c r="CF60" s="125">
        <v>6.4999999999999997E-3</v>
      </c>
      <c r="CG60" s="125">
        <v>0</v>
      </c>
      <c r="CH60" s="85">
        <v>14.7</v>
      </c>
      <c r="CI60" s="39" t="s">
        <v>149</v>
      </c>
      <c r="CJ60" s="18" t="s">
        <v>80</v>
      </c>
      <c r="CK60" s="20"/>
    </row>
    <row r="61" spans="1:89" x14ac:dyDescent="0.25">
      <c r="A61" s="18" t="s">
        <v>80</v>
      </c>
      <c r="B61" s="19" t="s">
        <v>139</v>
      </c>
      <c r="C61" s="39" t="s">
        <v>150</v>
      </c>
      <c r="D61" s="40">
        <v>13</v>
      </c>
      <c r="E61" s="40" t="s">
        <v>83</v>
      </c>
      <c r="F61" s="40">
        <v>13</v>
      </c>
      <c r="G61" s="162" t="s">
        <v>83</v>
      </c>
      <c r="H61" s="162" t="s">
        <v>83</v>
      </c>
      <c r="I61" s="166">
        <v>0</v>
      </c>
      <c r="J61" s="166">
        <v>1</v>
      </c>
      <c r="K61" s="166">
        <v>2</v>
      </c>
      <c r="L61" s="166">
        <v>5</v>
      </c>
      <c r="M61" s="166">
        <v>5</v>
      </c>
      <c r="N61" s="119">
        <v>2.1416803953871501E-2</v>
      </c>
      <c r="O61" s="119">
        <v>2.1416803953871501E-2</v>
      </c>
      <c r="P61" s="116" t="s">
        <v>83</v>
      </c>
      <c r="Q61" s="116" t="s">
        <v>83</v>
      </c>
      <c r="R61" s="119">
        <v>0</v>
      </c>
      <c r="S61" s="119">
        <v>5.2083333333333296E-3</v>
      </c>
      <c r="T61" s="119">
        <v>1.35135135135135E-2</v>
      </c>
      <c r="U61" s="119">
        <v>3.6764705882352901E-2</v>
      </c>
      <c r="V61" s="119">
        <v>4.1666666666666699E-2</v>
      </c>
      <c r="W61" s="40">
        <v>564</v>
      </c>
      <c r="X61" s="40">
        <f t="shared" si="4"/>
        <v>564</v>
      </c>
      <c r="Y61" s="40">
        <f t="shared" si="5"/>
        <v>564</v>
      </c>
      <c r="Z61" s="105">
        <v>0.47299999999999998</v>
      </c>
      <c r="AA61" s="105">
        <v>0.52700000000000002</v>
      </c>
      <c r="AB61" s="106">
        <f>1/564</f>
        <v>1.7730496453900709E-3</v>
      </c>
      <c r="AC61" s="106">
        <f>1/564</f>
        <v>1.7730496453900709E-3</v>
      </c>
      <c r="AD61" s="106">
        <f>140/564</f>
        <v>0.24822695035460993</v>
      </c>
      <c r="AE61" s="106">
        <f>12/564</f>
        <v>2.1276595744680851E-2</v>
      </c>
      <c r="AF61" s="106">
        <v>0</v>
      </c>
      <c r="AG61" s="106">
        <f>407/564</f>
        <v>0.72163120567375882</v>
      </c>
      <c r="AH61" s="106">
        <f>3/564</f>
        <v>5.3191489361702126E-3</v>
      </c>
      <c r="AI61" s="106">
        <f>157/564</f>
        <v>0.27836879432624112</v>
      </c>
      <c r="AJ61" s="105">
        <v>0.52659574468085102</v>
      </c>
      <c r="AK61" s="105">
        <v>0</v>
      </c>
      <c r="AL61" s="12">
        <v>0</v>
      </c>
      <c r="AM61" s="12">
        <v>0</v>
      </c>
      <c r="AN61" s="12">
        <v>2</v>
      </c>
      <c r="AO61" s="12">
        <v>183</v>
      </c>
      <c r="AP61" s="12">
        <v>140</v>
      </c>
      <c r="AQ61" s="12">
        <v>126</v>
      </c>
      <c r="AR61" s="12">
        <v>113</v>
      </c>
      <c r="AS61" s="59">
        <v>1.0810810810810811E-2</v>
      </c>
      <c r="AT61" s="12">
        <v>9</v>
      </c>
      <c r="AU61" s="3">
        <v>6</v>
      </c>
      <c r="AV61" s="54">
        <v>71.955719557195579</v>
      </c>
      <c r="AW61" s="54">
        <v>19.557195571955717</v>
      </c>
      <c r="AX61" s="54">
        <v>8.1180811808118083</v>
      </c>
      <c r="AY61" s="68">
        <v>0.36900369003690037</v>
      </c>
      <c r="AZ61" s="59">
        <v>0.15771812080536912</v>
      </c>
      <c r="BA61" s="59">
        <v>0.11241610738255034</v>
      </c>
      <c r="BB61" s="76">
        <v>92.650528481462999</v>
      </c>
      <c r="BC61" s="49">
        <v>2.8192371475953601</v>
      </c>
      <c r="BD61" s="90" t="s">
        <v>83</v>
      </c>
      <c r="BE61" s="90" t="s">
        <v>83</v>
      </c>
      <c r="BF61" s="49">
        <v>10.3</v>
      </c>
      <c r="BG61" s="49">
        <v>5.2</v>
      </c>
      <c r="BH61" s="49">
        <v>1.8</v>
      </c>
      <c r="BI61" s="49">
        <v>1.8</v>
      </c>
      <c r="BJ61" s="85">
        <v>19.100000000000001</v>
      </c>
      <c r="BK61" s="126">
        <v>10046</v>
      </c>
      <c r="BL61" s="126">
        <v>49410</v>
      </c>
      <c r="BM61" s="126">
        <v>45040</v>
      </c>
      <c r="BN61" s="126">
        <v>44290</v>
      </c>
      <c r="BO61" s="59">
        <v>5.33E-2</v>
      </c>
      <c r="BP61" s="59">
        <v>0.4299</v>
      </c>
      <c r="BQ61" s="59">
        <v>0.1615</v>
      </c>
      <c r="BR61" s="59">
        <v>0</v>
      </c>
      <c r="BS61" s="59">
        <v>0</v>
      </c>
      <c r="BT61" s="49">
        <v>12.9</v>
      </c>
      <c r="BU61" s="59">
        <f t="shared" si="2"/>
        <v>0.64470000000000005</v>
      </c>
      <c r="BV61" s="59">
        <v>6.2899999999999998E-2</v>
      </c>
      <c r="BW61" s="59">
        <v>0</v>
      </c>
      <c r="BX61" s="59">
        <v>3.3300000000000003E-2</v>
      </c>
      <c r="BY61" s="59">
        <v>8.3000000000000001E-3</v>
      </c>
      <c r="BZ61" s="59">
        <v>8.8999999999999999E-3</v>
      </c>
      <c r="CA61" s="49">
        <v>19</v>
      </c>
      <c r="CB61" s="59">
        <f t="shared" si="3"/>
        <v>0.11340000000000001</v>
      </c>
      <c r="CC61" s="59">
        <v>0.25419999999999998</v>
      </c>
      <c r="CD61" s="125">
        <v>0.50080000000000002</v>
      </c>
      <c r="CE61" s="125">
        <v>0.2278</v>
      </c>
      <c r="CF61" s="125">
        <v>8.3000000000000001E-3</v>
      </c>
      <c r="CG61" s="125">
        <v>8.8999999999999999E-3</v>
      </c>
      <c r="CH61" s="85">
        <v>13.2</v>
      </c>
      <c r="CI61" s="39" t="s">
        <v>150</v>
      </c>
      <c r="CJ61" s="18" t="s">
        <v>80</v>
      </c>
      <c r="CK61" s="20"/>
    </row>
    <row r="62" spans="1:89" x14ac:dyDescent="0.25">
      <c r="A62" s="18" t="s">
        <v>80</v>
      </c>
      <c r="B62" s="19" t="s">
        <v>151</v>
      </c>
      <c r="C62" s="39" t="s">
        <v>152</v>
      </c>
      <c r="D62" s="40">
        <v>2</v>
      </c>
      <c r="E62" s="40" t="s">
        <v>83</v>
      </c>
      <c r="F62" s="40">
        <v>2</v>
      </c>
      <c r="G62" s="162" t="s">
        <v>83</v>
      </c>
      <c r="H62" s="162" t="s">
        <v>83</v>
      </c>
      <c r="I62" s="166">
        <v>0</v>
      </c>
      <c r="J62" s="166">
        <v>0</v>
      </c>
      <c r="K62" s="166">
        <v>1</v>
      </c>
      <c r="L62" s="166">
        <v>0</v>
      </c>
      <c r="M62" s="166">
        <v>1</v>
      </c>
      <c r="N62" s="119">
        <v>4.3290043290043299E-3</v>
      </c>
      <c r="O62" s="119">
        <v>4.3290043290043299E-3</v>
      </c>
      <c r="P62" s="116" t="s">
        <v>83</v>
      </c>
      <c r="Q62" s="116" t="s">
        <v>83</v>
      </c>
      <c r="R62" s="119">
        <v>0</v>
      </c>
      <c r="S62" s="119">
        <v>0</v>
      </c>
      <c r="T62" s="119">
        <v>1.03092783505155E-2</v>
      </c>
      <c r="U62" s="119">
        <v>0</v>
      </c>
      <c r="V62" s="119">
        <v>8.2644628099173608E-3</v>
      </c>
      <c r="W62" s="40">
        <v>561</v>
      </c>
      <c r="X62" s="40">
        <f t="shared" si="4"/>
        <v>436</v>
      </c>
      <c r="Y62" s="40">
        <f t="shared" si="5"/>
        <v>436</v>
      </c>
      <c r="Z62" s="105">
        <v>0.50600000000000001</v>
      </c>
      <c r="AA62" s="105">
        <v>0.49399999999999999</v>
      </c>
      <c r="AB62" s="106">
        <v>0</v>
      </c>
      <c r="AC62" s="106">
        <f>5/561</f>
        <v>8.9126559714795012E-3</v>
      </c>
      <c r="AD62" s="106">
        <f>97/561</f>
        <v>0.17290552584670232</v>
      </c>
      <c r="AE62" s="106">
        <f>13/561</f>
        <v>2.3172905525846704E-2</v>
      </c>
      <c r="AF62" s="106">
        <f>1/561</f>
        <v>1.7825311942959001E-3</v>
      </c>
      <c r="AG62" s="106">
        <f>441/561</f>
        <v>0.78609625668449201</v>
      </c>
      <c r="AH62" s="106">
        <f>4/561</f>
        <v>7.1301247771836003E-3</v>
      </c>
      <c r="AI62" s="106">
        <f>120/561</f>
        <v>0.21390374331550802</v>
      </c>
      <c r="AJ62" s="105">
        <v>0.60071301247771836</v>
      </c>
      <c r="AK62" s="105">
        <v>2E-3</v>
      </c>
      <c r="AL62" s="12">
        <v>0</v>
      </c>
      <c r="AM62" s="12">
        <v>0</v>
      </c>
      <c r="AN62" s="12">
        <v>11</v>
      </c>
      <c r="AO62" s="12">
        <v>131</v>
      </c>
      <c r="AP62" s="12">
        <v>88</v>
      </c>
      <c r="AQ62" s="12">
        <v>91</v>
      </c>
      <c r="AR62" s="12">
        <v>115</v>
      </c>
      <c r="AS62" s="59">
        <v>7.746478873239436E-2</v>
      </c>
      <c r="AT62" s="12">
        <v>9</v>
      </c>
      <c r="AU62" s="3">
        <v>6</v>
      </c>
      <c r="AV62" s="54">
        <v>77.490774907749085</v>
      </c>
      <c r="AW62" s="54">
        <v>18.819188191881921</v>
      </c>
      <c r="AX62" s="54">
        <v>3.6900369003690034</v>
      </c>
      <c r="AY62" s="68">
        <v>0</v>
      </c>
      <c r="AZ62" s="59">
        <v>0.17252931323283083</v>
      </c>
      <c r="BA62" s="59">
        <v>4.8373717779335423E-3</v>
      </c>
      <c r="BB62" s="77">
        <v>93.717498950577806</v>
      </c>
      <c r="BC62" s="49">
        <v>18.478260869565201</v>
      </c>
      <c r="BD62" s="90" t="s">
        <v>83</v>
      </c>
      <c r="BE62" s="90" t="s">
        <v>83</v>
      </c>
      <c r="BF62" s="49">
        <v>4.2</v>
      </c>
      <c r="BG62" s="49">
        <v>5</v>
      </c>
      <c r="BH62" s="49">
        <v>3.5</v>
      </c>
      <c r="BI62" s="49">
        <v>3.8</v>
      </c>
      <c r="BJ62" s="85">
        <v>19.399999999999999</v>
      </c>
      <c r="BK62" s="126">
        <v>12377</v>
      </c>
      <c r="BL62" s="126">
        <v>46408</v>
      </c>
      <c r="BM62" s="126">
        <v>49939</v>
      </c>
      <c r="BN62" s="126">
        <v>37854</v>
      </c>
      <c r="BO62" s="59">
        <v>8.5000000000000006E-3</v>
      </c>
      <c r="BP62" s="59">
        <v>0.29099999999999998</v>
      </c>
      <c r="BQ62" s="59">
        <v>0.2387</v>
      </c>
      <c r="BR62" s="59">
        <v>0</v>
      </c>
      <c r="BS62" s="59">
        <v>0</v>
      </c>
      <c r="BT62" s="49">
        <v>13.8</v>
      </c>
      <c r="BU62" s="59">
        <f t="shared" si="2"/>
        <v>0.53820000000000001</v>
      </c>
      <c r="BV62" s="59">
        <v>2.63E-2</v>
      </c>
      <c r="BW62" s="59">
        <v>0</v>
      </c>
      <c r="BX62" s="59">
        <v>3.95E-2</v>
      </c>
      <c r="BY62" s="59">
        <v>0</v>
      </c>
      <c r="BZ62" s="59">
        <v>0</v>
      </c>
      <c r="CA62" s="49">
        <v>12.7</v>
      </c>
      <c r="CB62" s="59">
        <f t="shared" si="3"/>
        <v>6.5799999999999997E-2</v>
      </c>
      <c r="CC62" s="59">
        <v>0.33229999999999998</v>
      </c>
      <c r="CD62" s="125">
        <v>0.32890000000000003</v>
      </c>
      <c r="CE62" s="125">
        <v>0.33879999999999999</v>
      </c>
      <c r="CF62" s="125">
        <v>0</v>
      </c>
      <c r="CG62" s="125">
        <v>0</v>
      </c>
      <c r="CH62" s="85">
        <v>12.6</v>
      </c>
      <c r="CI62" s="39" t="s">
        <v>152</v>
      </c>
      <c r="CJ62" s="18" t="s">
        <v>80</v>
      </c>
      <c r="CK62" s="20"/>
    </row>
    <row r="63" spans="1:89" x14ac:dyDescent="0.25">
      <c r="A63" s="18" t="s">
        <v>80</v>
      </c>
      <c r="B63" s="19" t="s">
        <v>153</v>
      </c>
      <c r="C63" s="39" t="s">
        <v>154</v>
      </c>
      <c r="D63" s="40">
        <v>7</v>
      </c>
      <c r="E63" s="40">
        <v>1</v>
      </c>
      <c r="F63" s="40">
        <v>6</v>
      </c>
      <c r="G63" s="166">
        <v>0</v>
      </c>
      <c r="H63" s="166">
        <v>1</v>
      </c>
      <c r="I63" s="166">
        <v>0</v>
      </c>
      <c r="J63" s="166">
        <v>3</v>
      </c>
      <c r="K63" s="166">
        <v>1</v>
      </c>
      <c r="L63" s="166">
        <v>1</v>
      </c>
      <c r="M63" s="166">
        <v>1</v>
      </c>
      <c r="N63" s="119">
        <v>2.0895522388059699E-2</v>
      </c>
      <c r="O63" s="119">
        <v>2.8571428571428598E-2</v>
      </c>
      <c r="P63" s="119">
        <v>0</v>
      </c>
      <c r="Q63" s="119">
        <v>1.5625E-2</v>
      </c>
      <c r="R63" s="119">
        <v>0</v>
      </c>
      <c r="S63" s="119">
        <v>4.91803278688525E-2</v>
      </c>
      <c r="T63" s="119">
        <v>1.8181818181818198E-2</v>
      </c>
      <c r="U63" s="119">
        <v>2.2222222222222199E-2</v>
      </c>
      <c r="V63" s="119">
        <v>2.1276595744680899E-2</v>
      </c>
      <c r="W63" s="40">
        <v>749</v>
      </c>
      <c r="X63" s="40">
        <f t="shared" si="4"/>
        <v>194</v>
      </c>
      <c r="Y63" s="40">
        <f t="shared" si="5"/>
        <v>311</v>
      </c>
      <c r="Z63" s="105">
        <v>0.497</v>
      </c>
      <c r="AA63" s="105">
        <v>0.503</v>
      </c>
      <c r="AB63" s="106">
        <f>3/749</f>
        <v>4.0053404539385851E-3</v>
      </c>
      <c r="AC63" s="106">
        <f>3/749</f>
        <v>4.0053404539385851E-3</v>
      </c>
      <c r="AD63" s="106">
        <f>8/749</f>
        <v>1.0680907877169559E-2</v>
      </c>
      <c r="AE63" s="106">
        <f>54/749</f>
        <v>7.209612817089453E-2</v>
      </c>
      <c r="AF63" s="106">
        <v>0</v>
      </c>
      <c r="AG63" s="106">
        <f>672/749</f>
        <v>0.89719626168224298</v>
      </c>
      <c r="AH63" s="106">
        <f>9/749</f>
        <v>1.2016021361815754E-2</v>
      </c>
      <c r="AI63" s="106">
        <f>77/749</f>
        <v>0.10280373831775701</v>
      </c>
      <c r="AJ63" s="105">
        <v>0.46328437917222964</v>
      </c>
      <c r="AK63" s="105">
        <v>0.04</v>
      </c>
      <c r="AL63" s="12">
        <v>57</v>
      </c>
      <c r="AM63" s="12">
        <v>60</v>
      </c>
      <c r="AN63" s="12">
        <v>2</v>
      </c>
      <c r="AO63" s="12">
        <v>52</v>
      </c>
      <c r="AP63" s="12">
        <v>50</v>
      </c>
      <c r="AQ63" s="12">
        <v>44</v>
      </c>
      <c r="AR63" s="12">
        <v>46</v>
      </c>
      <c r="AS63" s="59">
        <v>3.7037037037037035E-2</v>
      </c>
      <c r="AT63" s="12">
        <v>1</v>
      </c>
      <c r="AU63" s="3">
        <v>6</v>
      </c>
      <c r="AV63" s="54">
        <v>90.818858560794041</v>
      </c>
      <c r="AW63" s="54">
        <v>8.1885856079404462</v>
      </c>
      <c r="AX63" s="54">
        <v>0.49627791563275436</v>
      </c>
      <c r="AY63" s="68">
        <v>0.49627791563275436</v>
      </c>
      <c r="AZ63" s="59">
        <v>5.3987730061349694E-2</v>
      </c>
      <c r="BA63" s="59">
        <v>1.5193339100462415E-2</v>
      </c>
      <c r="BB63" s="77">
        <v>93.916218051542401</v>
      </c>
      <c r="BC63" s="49">
        <v>18.4453227931489</v>
      </c>
      <c r="BD63" s="49">
        <v>3.6</v>
      </c>
      <c r="BE63" s="49">
        <v>0</v>
      </c>
      <c r="BF63" s="49">
        <v>1.9</v>
      </c>
      <c r="BG63" s="49">
        <v>4</v>
      </c>
      <c r="BH63" s="49">
        <v>0</v>
      </c>
      <c r="BI63" s="49">
        <v>4.3</v>
      </c>
      <c r="BJ63" s="85">
        <v>21.3</v>
      </c>
      <c r="BK63" s="126">
        <v>16415</v>
      </c>
      <c r="BL63" s="126">
        <v>49825</v>
      </c>
      <c r="BM63" s="126">
        <v>45086</v>
      </c>
      <c r="BN63" s="126">
        <v>41486</v>
      </c>
      <c r="BO63" s="59">
        <v>0</v>
      </c>
      <c r="BP63" s="59">
        <v>0.41349999999999998</v>
      </c>
      <c r="BQ63" s="59">
        <v>0.1186</v>
      </c>
      <c r="BR63" s="59">
        <v>0</v>
      </c>
      <c r="BS63" s="59">
        <v>2.2000000000000001E-3</v>
      </c>
      <c r="BT63" s="49">
        <v>12.9</v>
      </c>
      <c r="BU63" s="59">
        <f t="shared" si="2"/>
        <v>0.5343</v>
      </c>
      <c r="BV63" s="59">
        <v>3.5999999999999997E-2</v>
      </c>
      <c r="BW63" s="59">
        <v>0</v>
      </c>
      <c r="BX63" s="59">
        <v>2.7E-2</v>
      </c>
      <c r="BY63" s="59">
        <v>0</v>
      </c>
      <c r="BZ63" s="59">
        <v>0</v>
      </c>
      <c r="CA63" s="49">
        <v>21.1</v>
      </c>
      <c r="CB63" s="59">
        <f t="shared" si="3"/>
        <v>6.3E-2</v>
      </c>
      <c r="CC63" s="59">
        <v>0.36840000000000001</v>
      </c>
      <c r="CD63" s="125">
        <v>0.4405</v>
      </c>
      <c r="CE63" s="125">
        <v>0.18890000000000001</v>
      </c>
      <c r="CF63" s="125">
        <v>0</v>
      </c>
      <c r="CG63" s="125">
        <v>2.2000000000000001E-3</v>
      </c>
      <c r="CH63" s="85">
        <v>12.9</v>
      </c>
      <c r="CI63" s="39" t="s">
        <v>154</v>
      </c>
      <c r="CJ63" s="18" t="s">
        <v>80</v>
      </c>
      <c r="CK63" s="20"/>
    </row>
    <row r="64" spans="1:89" x14ac:dyDescent="0.25">
      <c r="A64" s="18" t="s">
        <v>80</v>
      </c>
      <c r="B64" s="19" t="s">
        <v>153</v>
      </c>
      <c r="C64" s="39" t="s">
        <v>155</v>
      </c>
      <c r="D64" s="40">
        <v>0</v>
      </c>
      <c r="E64" s="40">
        <v>0</v>
      </c>
      <c r="F64" s="40">
        <v>0</v>
      </c>
      <c r="G64" s="166">
        <v>0</v>
      </c>
      <c r="H64" s="166">
        <v>0</v>
      </c>
      <c r="I64" s="166">
        <v>0</v>
      </c>
      <c r="J64" s="166">
        <v>0</v>
      </c>
      <c r="K64" s="166">
        <v>0</v>
      </c>
      <c r="L64" s="166">
        <v>0</v>
      </c>
      <c r="M64" s="166">
        <v>0</v>
      </c>
      <c r="N64" s="119">
        <v>0</v>
      </c>
      <c r="O64" s="119">
        <v>0</v>
      </c>
      <c r="P64" s="119">
        <v>0</v>
      </c>
      <c r="Q64" s="119">
        <v>0</v>
      </c>
      <c r="R64" s="119">
        <v>0</v>
      </c>
      <c r="S64" s="119">
        <v>0</v>
      </c>
      <c r="T64" s="119">
        <v>0</v>
      </c>
      <c r="U64" s="119">
        <v>0</v>
      </c>
      <c r="V64" s="119">
        <v>0</v>
      </c>
      <c r="W64" s="40">
        <v>194</v>
      </c>
      <c r="X64" s="40">
        <f t="shared" si="4"/>
        <v>66</v>
      </c>
      <c r="Y64" s="40">
        <f t="shared" si="5"/>
        <v>100</v>
      </c>
      <c r="Z64" s="105">
        <v>0.40200000000000002</v>
      </c>
      <c r="AA64" s="105">
        <v>0.59799999999999998</v>
      </c>
      <c r="AB64" s="106">
        <f>1/194</f>
        <v>5.1546391752577319E-3</v>
      </c>
      <c r="AC64" s="106">
        <v>0</v>
      </c>
      <c r="AD64" s="106">
        <v>0</v>
      </c>
      <c r="AE64" s="106">
        <v>0</v>
      </c>
      <c r="AF64" s="106">
        <v>0</v>
      </c>
      <c r="AG64" s="106">
        <f>193/194</f>
        <v>0.99484536082474229</v>
      </c>
      <c r="AH64" s="106">
        <v>0</v>
      </c>
      <c r="AI64" s="106">
        <f>1/194</f>
        <v>5.1546391752577319E-3</v>
      </c>
      <c r="AJ64" s="105">
        <v>0.52061855670103097</v>
      </c>
      <c r="AK64" s="105">
        <v>0</v>
      </c>
      <c r="AL64" s="12">
        <v>13</v>
      </c>
      <c r="AM64" s="12">
        <v>21</v>
      </c>
      <c r="AN64" s="12">
        <v>1</v>
      </c>
      <c r="AO64" s="12">
        <v>13</v>
      </c>
      <c r="AP64" s="12">
        <v>22</v>
      </c>
      <c r="AQ64" s="12">
        <v>21</v>
      </c>
      <c r="AR64" s="12">
        <v>9</v>
      </c>
      <c r="AS64" s="59">
        <v>7.1428571428571425E-2</v>
      </c>
      <c r="AT64" s="12">
        <v>1</v>
      </c>
      <c r="AU64" s="3">
        <v>6</v>
      </c>
      <c r="AV64" s="54">
        <v>97.368421052631575</v>
      </c>
      <c r="AW64" s="54">
        <v>2.6315789473684208</v>
      </c>
      <c r="AX64" s="54">
        <v>0</v>
      </c>
      <c r="AY64" s="68">
        <v>0</v>
      </c>
      <c r="AZ64" s="59">
        <v>0.11818181818181818</v>
      </c>
      <c r="BA64" s="59">
        <v>3.9253226191993645E-2</v>
      </c>
      <c r="BB64" s="81">
        <v>96</v>
      </c>
      <c r="BC64" s="49">
        <v>19.7044334975369</v>
      </c>
      <c r="BD64" s="49">
        <v>7.1</v>
      </c>
      <c r="BE64" s="49">
        <v>0</v>
      </c>
      <c r="BF64" s="49">
        <v>7.7</v>
      </c>
      <c r="BG64" s="49">
        <v>4.8</v>
      </c>
      <c r="BH64" s="49">
        <v>0</v>
      </c>
      <c r="BI64" s="49">
        <v>0</v>
      </c>
      <c r="BJ64" s="85"/>
      <c r="BK64" s="126">
        <v>22241</v>
      </c>
      <c r="BL64" s="126">
        <v>51325</v>
      </c>
      <c r="BM64" s="126">
        <v>45123</v>
      </c>
      <c r="BN64" s="126">
        <v>41875</v>
      </c>
      <c r="BO64" s="59">
        <v>0</v>
      </c>
      <c r="BP64" s="59">
        <v>0.42720000000000002</v>
      </c>
      <c r="BQ64" s="59">
        <v>8.5999999999999993E-2</v>
      </c>
      <c r="BR64" s="59">
        <v>0</v>
      </c>
      <c r="BS64" s="59">
        <v>0</v>
      </c>
      <c r="BT64" s="49">
        <v>17.3</v>
      </c>
      <c r="BU64" s="59">
        <f t="shared" si="2"/>
        <v>0.51319999999999999</v>
      </c>
      <c r="BV64" s="59">
        <v>2.1999999999999999E-2</v>
      </c>
      <c r="BW64" s="59">
        <v>0</v>
      </c>
      <c r="BX64" s="59">
        <v>5.96E-2</v>
      </c>
      <c r="BY64" s="59">
        <v>0</v>
      </c>
      <c r="BZ64" s="59">
        <v>0</v>
      </c>
      <c r="CA64" s="49">
        <v>33.9</v>
      </c>
      <c r="CB64" s="59">
        <f t="shared" si="3"/>
        <v>8.1600000000000006E-2</v>
      </c>
      <c r="CC64" s="59">
        <v>0.3211</v>
      </c>
      <c r="CD64" s="125">
        <v>0.50349999999999995</v>
      </c>
      <c r="CE64" s="125">
        <v>0.15459999999999999</v>
      </c>
      <c r="CF64" s="125">
        <v>2.0899999999999998E-2</v>
      </c>
      <c r="CG64" s="125">
        <v>0</v>
      </c>
      <c r="CH64" s="85">
        <v>18.3</v>
      </c>
      <c r="CI64" s="39" t="s">
        <v>155</v>
      </c>
      <c r="CJ64" s="18" t="s">
        <v>80</v>
      </c>
      <c r="CK64" s="20"/>
    </row>
    <row r="65" spans="1:99" x14ac:dyDescent="0.25">
      <c r="A65" s="18" t="s">
        <v>80</v>
      </c>
      <c r="B65" s="19" t="s">
        <v>153</v>
      </c>
      <c r="C65" s="39" t="s">
        <v>156</v>
      </c>
      <c r="D65" s="40">
        <v>0</v>
      </c>
      <c r="E65" s="40">
        <v>0</v>
      </c>
      <c r="F65" s="40">
        <v>0</v>
      </c>
      <c r="G65" s="166">
        <v>0</v>
      </c>
      <c r="H65" s="166">
        <v>0</v>
      </c>
      <c r="I65" s="162" t="s">
        <v>83</v>
      </c>
      <c r="J65" s="166">
        <v>0</v>
      </c>
      <c r="K65" s="166">
        <v>0</v>
      </c>
      <c r="L65" s="166">
        <v>0</v>
      </c>
      <c r="M65" s="166">
        <v>0</v>
      </c>
      <c r="N65" s="119">
        <v>0</v>
      </c>
      <c r="O65" s="119">
        <v>0</v>
      </c>
      <c r="P65" s="119">
        <v>0</v>
      </c>
      <c r="Q65" s="119">
        <v>0</v>
      </c>
      <c r="R65" s="116" t="s">
        <v>83</v>
      </c>
      <c r="S65" s="119">
        <v>0</v>
      </c>
      <c r="T65" s="119">
        <v>0</v>
      </c>
      <c r="U65" s="119">
        <v>0</v>
      </c>
      <c r="V65" s="119">
        <v>0</v>
      </c>
      <c r="W65" s="40">
        <v>88</v>
      </c>
      <c r="X65" s="40">
        <f t="shared" si="4"/>
        <v>29</v>
      </c>
      <c r="Y65" s="40">
        <f t="shared" si="5"/>
        <v>40</v>
      </c>
      <c r="Z65" s="105">
        <v>0.34100000000000003</v>
      </c>
      <c r="AA65" s="105">
        <v>0.65900000000000003</v>
      </c>
      <c r="AB65" s="106">
        <v>0</v>
      </c>
      <c r="AC65" s="106">
        <v>0</v>
      </c>
      <c r="AD65" s="106">
        <f>1/88</f>
        <v>1.1363636363636364E-2</v>
      </c>
      <c r="AE65" s="106">
        <f>13/88</f>
        <v>0.14772727272727273</v>
      </c>
      <c r="AF65" s="106">
        <v>0</v>
      </c>
      <c r="AG65" s="106">
        <f>70/88</f>
        <v>0.79545454545454541</v>
      </c>
      <c r="AH65" s="106">
        <f>4/88</f>
        <v>4.5454545454545456E-2</v>
      </c>
      <c r="AI65" s="106">
        <f>18/88</f>
        <v>0.20454545454545456</v>
      </c>
      <c r="AJ65" s="105">
        <v>0.32954545454545453</v>
      </c>
      <c r="AK65" s="105">
        <v>0</v>
      </c>
      <c r="AL65" s="12">
        <v>5</v>
      </c>
      <c r="AM65" s="12">
        <v>6</v>
      </c>
      <c r="AN65" s="12">
        <v>0</v>
      </c>
      <c r="AO65" s="12">
        <v>7</v>
      </c>
      <c r="AP65" s="12">
        <v>6</v>
      </c>
      <c r="AQ65" s="12">
        <v>5</v>
      </c>
      <c r="AR65" s="12">
        <v>11</v>
      </c>
      <c r="AS65" s="59">
        <v>0</v>
      </c>
      <c r="AT65" s="12">
        <v>1</v>
      </c>
      <c r="AU65" s="3">
        <v>6</v>
      </c>
      <c r="AV65" s="54">
        <v>100</v>
      </c>
      <c r="AW65" s="54">
        <v>0</v>
      </c>
      <c r="AX65" s="54">
        <v>0</v>
      </c>
      <c r="AY65" s="68">
        <v>0</v>
      </c>
      <c r="AZ65" s="59">
        <v>4.2080022475438635E-2</v>
      </c>
      <c r="BA65" s="59">
        <v>4.7050070028011289E-3</v>
      </c>
      <c r="BB65" s="77">
        <v>94.7860896979752</v>
      </c>
      <c r="BC65" s="49">
        <v>33</v>
      </c>
      <c r="BD65" s="93">
        <v>0</v>
      </c>
      <c r="BE65" s="93">
        <v>0</v>
      </c>
      <c r="BF65" s="49">
        <v>0</v>
      </c>
      <c r="BG65" s="49">
        <v>0</v>
      </c>
      <c r="BH65" s="49">
        <v>0</v>
      </c>
      <c r="BI65" s="49">
        <v>0</v>
      </c>
      <c r="BJ65" s="85">
        <v>19.3</v>
      </c>
      <c r="BK65" s="126">
        <v>34188</v>
      </c>
      <c r="BL65" s="126">
        <v>48200</v>
      </c>
      <c r="BM65" s="126">
        <v>55916</v>
      </c>
      <c r="BN65" s="126">
        <v>43147</v>
      </c>
      <c r="BO65" s="59">
        <v>0</v>
      </c>
      <c r="BP65" s="59">
        <v>0.41720000000000002</v>
      </c>
      <c r="BQ65" s="59">
        <v>0.17630000000000001</v>
      </c>
      <c r="BR65" s="59">
        <v>0</v>
      </c>
      <c r="BS65" s="59">
        <v>0</v>
      </c>
      <c r="BT65" s="49">
        <v>17.899999999999999</v>
      </c>
      <c r="BU65" s="59">
        <f t="shared" si="2"/>
        <v>0.59350000000000003</v>
      </c>
      <c r="BV65" s="59">
        <v>2.8500000000000001E-2</v>
      </c>
      <c r="BW65" s="59">
        <v>0</v>
      </c>
      <c r="BX65" s="59">
        <v>4.1399999999999999E-2</v>
      </c>
      <c r="BY65" s="59">
        <v>0</v>
      </c>
      <c r="BZ65" s="59">
        <v>0</v>
      </c>
      <c r="CA65" s="49">
        <v>27.2</v>
      </c>
      <c r="CB65" s="59">
        <f t="shared" si="3"/>
        <v>6.9900000000000004E-2</v>
      </c>
      <c r="CC65" s="59">
        <v>0.26769999999999999</v>
      </c>
      <c r="CD65" s="59">
        <v>0.4476</v>
      </c>
      <c r="CE65" s="59">
        <v>0.25629999999999997</v>
      </c>
      <c r="CF65" s="59">
        <v>2.8500000000000001E-2</v>
      </c>
      <c r="CG65" s="59">
        <v>0</v>
      </c>
      <c r="CH65" s="85">
        <v>17.2</v>
      </c>
      <c r="CI65" s="39" t="s">
        <v>156</v>
      </c>
      <c r="CJ65" s="18" t="s">
        <v>80</v>
      </c>
      <c r="CK65" s="20"/>
    </row>
    <row r="66" spans="1:99" x14ac:dyDescent="0.25">
      <c r="A66" s="18" t="s">
        <v>80</v>
      </c>
      <c r="B66" s="19" t="s">
        <v>153</v>
      </c>
      <c r="C66" s="39" t="s">
        <v>157</v>
      </c>
      <c r="D66" s="40">
        <v>2</v>
      </c>
      <c r="E66" s="40">
        <v>0</v>
      </c>
      <c r="F66" s="40">
        <v>2</v>
      </c>
      <c r="G66" s="166">
        <v>0</v>
      </c>
      <c r="H66" s="166">
        <v>0</v>
      </c>
      <c r="I66" s="166">
        <v>0</v>
      </c>
      <c r="J66" s="166">
        <v>0</v>
      </c>
      <c r="K66" s="166">
        <v>2</v>
      </c>
      <c r="L66" s="166">
        <v>0</v>
      </c>
      <c r="M66" s="166">
        <v>0</v>
      </c>
      <c r="N66" s="119">
        <v>1.3245033112582801E-2</v>
      </c>
      <c r="O66" s="119">
        <v>0.02</v>
      </c>
      <c r="P66" s="119">
        <v>0</v>
      </c>
      <c r="Q66" s="119">
        <v>0</v>
      </c>
      <c r="R66" s="119">
        <v>0</v>
      </c>
      <c r="S66" s="119">
        <v>0</v>
      </c>
      <c r="T66" s="119">
        <v>7.1428571428571397E-2</v>
      </c>
      <c r="U66" s="119">
        <v>0</v>
      </c>
      <c r="V66" s="119">
        <v>0</v>
      </c>
      <c r="W66" s="40">
        <v>275</v>
      </c>
      <c r="X66" s="40">
        <f t="shared" si="4"/>
        <v>95</v>
      </c>
      <c r="Y66" s="40">
        <f t="shared" si="5"/>
        <v>145</v>
      </c>
      <c r="Z66" s="105">
        <v>0.47599999999999998</v>
      </c>
      <c r="AA66" s="105">
        <v>0.52400000000000002</v>
      </c>
      <c r="AB66" s="106">
        <v>0</v>
      </c>
      <c r="AC66" s="106">
        <v>0</v>
      </c>
      <c r="AD66" s="106">
        <f>8/275</f>
        <v>2.9090909090909091E-2</v>
      </c>
      <c r="AE66" s="106">
        <f>14/275</f>
        <v>5.0909090909090911E-2</v>
      </c>
      <c r="AF66" s="106">
        <v>0</v>
      </c>
      <c r="AG66" s="106">
        <f>247/275</f>
        <v>0.89818181818181819</v>
      </c>
      <c r="AH66" s="106">
        <f>6/275</f>
        <v>2.181818181818182E-2</v>
      </c>
      <c r="AI66" s="106">
        <f>28/275</f>
        <v>0.10181818181818182</v>
      </c>
      <c r="AJ66" s="105">
        <v>0.44727272727272727</v>
      </c>
      <c r="AK66" s="105">
        <v>1.4999999999999999E-2</v>
      </c>
      <c r="AL66" s="12">
        <v>20</v>
      </c>
      <c r="AM66" s="12">
        <v>30</v>
      </c>
      <c r="AN66" s="12">
        <v>2</v>
      </c>
      <c r="AO66" s="12">
        <v>20</v>
      </c>
      <c r="AP66" s="12">
        <v>28</v>
      </c>
      <c r="AQ66" s="12">
        <v>30</v>
      </c>
      <c r="AR66" s="12">
        <v>15</v>
      </c>
      <c r="AS66" s="59">
        <v>9.0909090909090912E-2</v>
      </c>
      <c r="AT66" s="12">
        <v>1</v>
      </c>
      <c r="AU66" s="3">
        <v>6</v>
      </c>
      <c r="AV66" s="54">
        <v>92.349726775956285</v>
      </c>
      <c r="AW66" s="54">
        <v>6.557377049180328</v>
      </c>
      <c r="AX66" s="54">
        <v>1.0928961748633881</v>
      </c>
      <c r="AY66" s="68">
        <v>0</v>
      </c>
      <c r="AZ66" s="59">
        <v>0.12457912457912458</v>
      </c>
      <c r="BA66" s="59">
        <v>3.5590224243518334E-2</v>
      </c>
      <c r="BB66" s="76">
        <v>93.125339972956596</v>
      </c>
      <c r="BC66" s="49">
        <v>25.714285714285701</v>
      </c>
      <c r="BD66" s="49">
        <v>10</v>
      </c>
      <c r="BE66" s="93">
        <v>0</v>
      </c>
      <c r="BF66" s="49">
        <v>0</v>
      </c>
      <c r="BG66" s="49">
        <v>0</v>
      </c>
      <c r="BH66" s="49">
        <v>0</v>
      </c>
      <c r="BI66" s="49">
        <v>0</v>
      </c>
      <c r="BJ66" s="85">
        <v>19.100000000000001</v>
      </c>
      <c r="BK66" s="126">
        <v>20980</v>
      </c>
      <c r="BL66" s="126">
        <v>51670</v>
      </c>
      <c r="BM66" s="126">
        <v>48418</v>
      </c>
      <c r="BN66" s="126">
        <v>40399</v>
      </c>
      <c r="BO66" s="59">
        <v>0</v>
      </c>
      <c r="BP66" s="59">
        <v>0.3599</v>
      </c>
      <c r="BQ66" s="59">
        <v>0.1298</v>
      </c>
      <c r="BR66" s="59">
        <v>0</v>
      </c>
      <c r="BS66" s="59">
        <v>4.1000000000000003E-3</v>
      </c>
      <c r="BT66" s="49">
        <v>16.600000000000001</v>
      </c>
      <c r="BU66" s="59">
        <f t="shared" si="2"/>
        <v>0.49380000000000002</v>
      </c>
      <c r="BV66" s="59">
        <v>3.3000000000000002E-2</v>
      </c>
      <c r="BW66" s="59">
        <v>0</v>
      </c>
      <c r="BX66" s="59">
        <v>3.3000000000000002E-2</v>
      </c>
      <c r="BY66" s="59">
        <v>0</v>
      </c>
      <c r="BZ66" s="59">
        <v>0</v>
      </c>
      <c r="CA66" s="49">
        <v>20.8</v>
      </c>
      <c r="CB66" s="59">
        <f t="shared" si="3"/>
        <v>6.6000000000000003E-2</v>
      </c>
      <c r="CC66" s="59">
        <v>0.40350000000000003</v>
      </c>
      <c r="CD66" s="125">
        <v>0.41199999999999998</v>
      </c>
      <c r="CE66" s="125">
        <v>0.1804</v>
      </c>
      <c r="CF66" s="125">
        <v>0</v>
      </c>
      <c r="CG66" s="125">
        <v>4.1000000000000003E-3</v>
      </c>
      <c r="CH66" s="85">
        <v>16.7</v>
      </c>
      <c r="CI66" s="39" t="s">
        <v>157</v>
      </c>
      <c r="CJ66" s="18" t="s">
        <v>80</v>
      </c>
      <c r="CK66" s="20"/>
    </row>
    <row r="67" spans="1:99" x14ac:dyDescent="0.25">
      <c r="A67" s="18" t="s">
        <v>80</v>
      </c>
      <c r="B67" s="19" t="s">
        <v>158</v>
      </c>
      <c r="C67" s="39" t="s">
        <v>159</v>
      </c>
      <c r="D67" s="40">
        <v>7</v>
      </c>
      <c r="E67" s="40">
        <v>2</v>
      </c>
      <c r="F67" s="40">
        <v>5</v>
      </c>
      <c r="G67" s="162" t="s">
        <v>83</v>
      </c>
      <c r="H67" s="166">
        <v>2</v>
      </c>
      <c r="I67" s="166">
        <v>0</v>
      </c>
      <c r="J67" s="166">
        <v>3</v>
      </c>
      <c r="K67" s="166">
        <v>2</v>
      </c>
      <c r="L67" s="166">
        <v>0</v>
      </c>
      <c r="M67" s="166">
        <v>0</v>
      </c>
      <c r="N67" s="119">
        <v>2.41379310344828E-2</v>
      </c>
      <c r="O67" s="119">
        <v>2.3041474654377898E-2</v>
      </c>
      <c r="P67" s="116" t="s">
        <v>83</v>
      </c>
      <c r="Q67" s="119">
        <v>2.7397260273972601E-2</v>
      </c>
      <c r="R67" s="119">
        <v>0</v>
      </c>
      <c r="S67" s="119">
        <v>5.0847457627118599E-2</v>
      </c>
      <c r="T67" s="119">
        <v>3.03030303030303E-2</v>
      </c>
      <c r="U67" s="119">
        <v>0</v>
      </c>
      <c r="V67" s="119">
        <v>0</v>
      </c>
      <c r="W67" s="40">
        <v>272</v>
      </c>
      <c r="X67" s="40">
        <f t="shared" si="4"/>
        <v>203</v>
      </c>
      <c r="Y67" s="40">
        <f t="shared" si="5"/>
        <v>272</v>
      </c>
      <c r="Z67" s="105">
        <v>0.52200000000000002</v>
      </c>
      <c r="AA67" s="105">
        <v>0.47799999999999998</v>
      </c>
      <c r="AB67" s="106">
        <v>0</v>
      </c>
      <c r="AC67" s="106">
        <f>4/272</f>
        <v>1.4705882352941176E-2</v>
      </c>
      <c r="AD67" s="106">
        <f>158/272</f>
        <v>0.58088235294117652</v>
      </c>
      <c r="AE67" s="106">
        <f>2/272</f>
        <v>7.3529411764705881E-3</v>
      </c>
      <c r="AF67" s="106">
        <v>0</v>
      </c>
      <c r="AG67" s="106">
        <f>107/272</f>
        <v>0.39338235294117646</v>
      </c>
      <c r="AH67" s="106">
        <f>1/272</f>
        <v>3.6764705882352941E-3</v>
      </c>
      <c r="AI67" s="106">
        <f>165/272</f>
        <v>0.60661764705882348</v>
      </c>
      <c r="AJ67" s="105">
        <v>0.7904411764705882</v>
      </c>
      <c r="AK67" s="105">
        <v>0</v>
      </c>
      <c r="AL67" s="12">
        <v>0</v>
      </c>
      <c r="AM67" s="12">
        <v>69</v>
      </c>
      <c r="AN67" s="12">
        <v>4</v>
      </c>
      <c r="AO67" s="12">
        <v>49</v>
      </c>
      <c r="AP67" s="12">
        <v>64</v>
      </c>
      <c r="AQ67" s="12">
        <v>54</v>
      </c>
      <c r="AR67" s="12">
        <v>32</v>
      </c>
      <c r="AS67" s="59">
        <v>7.5471698113207544E-2</v>
      </c>
      <c r="AT67" s="12">
        <v>8</v>
      </c>
      <c r="AU67" s="3">
        <v>6</v>
      </c>
      <c r="AV67" s="54">
        <v>87.640449438202253</v>
      </c>
      <c r="AW67" s="54">
        <v>12.359550561797752</v>
      </c>
      <c r="AX67" s="54">
        <v>0</v>
      </c>
      <c r="AY67" s="68">
        <v>0</v>
      </c>
      <c r="AZ67" s="59">
        <v>4.5365007224537547E-2</v>
      </c>
      <c r="BA67" s="59">
        <v>0.30281690140845069</v>
      </c>
      <c r="BB67" s="77">
        <v>90.278105275271997</v>
      </c>
      <c r="BC67" s="84"/>
      <c r="BD67" s="90" t="s">
        <v>83</v>
      </c>
      <c r="BE67" s="93">
        <v>0</v>
      </c>
      <c r="BF67" s="49">
        <v>0</v>
      </c>
      <c r="BG67" s="49">
        <v>0</v>
      </c>
      <c r="BH67" s="49">
        <v>2.1</v>
      </c>
      <c r="BI67" s="49">
        <v>0</v>
      </c>
      <c r="BJ67" s="85">
        <v>18.100000000000001</v>
      </c>
      <c r="BK67" s="126">
        <v>11945</v>
      </c>
      <c r="BL67" s="126">
        <v>41475</v>
      </c>
      <c r="BM67" s="126">
        <v>47456</v>
      </c>
      <c r="BN67" s="126">
        <v>36105</v>
      </c>
      <c r="BO67" s="59">
        <v>0</v>
      </c>
      <c r="BP67" s="59">
        <v>0.49980000000000002</v>
      </c>
      <c r="BQ67" s="59">
        <v>8.4099999999999994E-2</v>
      </c>
      <c r="BR67" s="59">
        <v>0</v>
      </c>
      <c r="BS67" s="59">
        <v>9.1000000000000004E-3</v>
      </c>
      <c r="BT67" s="49">
        <v>12.1</v>
      </c>
      <c r="BU67" s="59">
        <f t="shared" ref="BU67:BU130" si="6">SUM(BO67:BS67)</f>
        <v>0.59299999999999997</v>
      </c>
      <c r="BV67" s="59">
        <v>2.7E-2</v>
      </c>
      <c r="BW67" s="59">
        <v>0</v>
      </c>
      <c r="BX67" s="59">
        <v>2.2200000000000001E-2</v>
      </c>
      <c r="BY67" s="59">
        <v>0</v>
      </c>
      <c r="BZ67" s="59">
        <v>1.52E-2</v>
      </c>
      <c r="CA67" s="49">
        <v>12.3</v>
      </c>
      <c r="CB67" s="59">
        <f t="shared" ref="CB67:CB130" si="7">SUM(BV67:BZ67)</f>
        <v>6.4399999999999999E-2</v>
      </c>
      <c r="CC67" s="59">
        <v>0.3155</v>
      </c>
      <c r="CD67" s="125">
        <v>0.52680000000000005</v>
      </c>
      <c r="CE67" s="125">
        <v>0.13339999999999999</v>
      </c>
      <c r="CF67" s="125">
        <v>0</v>
      </c>
      <c r="CG67" s="125">
        <v>2.4299999999999999E-2</v>
      </c>
      <c r="CH67" s="85">
        <v>9.5</v>
      </c>
      <c r="CI67" s="39" t="s">
        <v>159</v>
      </c>
      <c r="CJ67" s="18" t="s">
        <v>80</v>
      </c>
      <c r="CK67" s="20"/>
    </row>
    <row r="68" spans="1:99" x14ac:dyDescent="0.25">
      <c r="A68" s="18" t="s">
        <v>80</v>
      </c>
      <c r="B68" s="19" t="s">
        <v>158</v>
      </c>
      <c r="C68" s="39" t="s">
        <v>160</v>
      </c>
      <c r="D68" s="40">
        <v>1</v>
      </c>
      <c r="E68" s="40">
        <v>0</v>
      </c>
      <c r="F68" s="40">
        <v>1</v>
      </c>
      <c r="G68" s="166">
        <v>0</v>
      </c>
      <c r="H68" s="166">
        <v>0</v>
      </c>
      <c r="I68" s="162" t="s">
        <v>83</v>
      </c>
      <c r="J68" s="166">
        <v>0</v>
      </c>
      <c r="K68" s="166">
        <v>0</v>
      </c>
      <c r="L68" s="166">
        <v>0</v>
      </c>
      <c r="M68" s="162">
        <v>1</v>
      </c>
      <c r="N68" s="119">
        <v>3.3333333333333298E-2</v>
      </c>
      <c r="O68" s="119">
        <v>0.05</v>
      </c>
      <c r="P68" s="119">
        <v>0</v>
      </c>
      <c r="Q68" s="119">
        <v>0</v>
      </c>
      <c r="R68" s="116" t="s">
        <v>83</v>
      </c>
      <c r="S68" s="119">
        <v>0</v>
      </c>
      <c r="T68" s="119">
        <v>0</v>
      </c>
      <c r="U68" s="119">
        <v>0</v>
      </c>
      <c r="V68" s="116">
        <v>1</v>
      </c>
      <c r="W68" s="40">
        <v>73</v>
      </c>
      <c r="X68" s="40">
        <f t="shared" si="4"/>
        <v>14</v>
      </c>
      <c r="Y68" s="40">
        <f t="shared" si="5"/>
        <v>23</v>
      </c>
      <c r="Z68" s="105">
        <v>0.48</v>
      </c>
      <c r="AA68" s="105">
        <v>0.52100000000000002</v>
      </c>
      <c r="AB68" s="106">
        <v>0</v>
      </c>
      <c r="AC68" s="106">
        <v>0</v>
      </c>
      <c r="AD68" s="106">
        <f>1/73</f>
        <v>1.3698630136986301E-2</v>
      </c>
      <c r="AE68" s="106">
        <v>0</v>
      </c>
      <c r="AF68" s="106">
        <v>0</v>
      </c>
      <c r="AG68" s="106">
        <f>70/73</f>
        <v>0.95890410958904104</v>
      </c>
      <c r="AH68" s="106">
        <f>2/73</f>
        <v>2.7397260273972601E-2</v>
      </c>
      <c r="AI68" s="106">
        <f>3/73</f>
        <v>4.1095890410958902E-2</v>
      </c>
      <c r="AJ68" s="105">
        <v>0.69863013698630139</v>
      </c>
      <c r="AK68" s="105">
        <v>0</v>
      </c>
      <c r="AL68" s="12">
        <v>7</v>
      </c>
      <c r="AM68" s="12">
        <v>2</v>
      </c>
      <c r="AN68" s="12">
        <v>0</v>
      </c>
      <c r="AO68" s="12">
        <v>8</v>
      </c>
      <c r="AP68" s="12">
        <v>3</v>
      </c>
      <c r="AQ68" s="12">
        <v>3</v>
      </c>
      <c r="AR68" s="12">
        <v>0</v>
      </c>
      <c r="AS68" s="59">
        <v>0</v>
      </c>
      <c r="AT68" s="12">
        <v>1</v>
      </c>
      <c r="AU68" s="3">
        <v>6</v>
      </c>
      <c r="AV68" s="54">
        <v>100</v>
      </c>
      <c r="AW68" s="54">
        <v>0</v>
      </c>
      <c r="AX68" s="54">
        <v>0</v>
      </c>
      <c r="AY68" s="68">
        <v>0</v>
      </c>
      <c r="AZ68" s="59">
        <v>5.6803757298806799E-3</v>
      </c>
      <c r="BA68" s="59">
        <v>5.2217310529351343E-2</v>
      </c>
      <c r="BB68" s="76">
        <v>92.622244339284805</v>
      </c>
      <c r="BC68" s="49">
        <v>34.042553191489397</v>
      </c>
      <c r="BD68" s="93">
        <v>0</v>
      </c>
      <c r="BE68" s="49">
        <v>50</v>
      </c>
      <c r="BF68" s="49">
        <v>0</v>
      </c>
      <c r="BG68" s="49">
        <v>0</v>
      </c>
      <c r="BH68" s="49">
        <v>0</v>
      </c>
      <c r="BI68" s="49"/>
      <c r="BJ68" s="85"/>
      <c r="BK68" s="126">
        <v>15297</v>
      </c>
      <c r="BL68" s="126">
        <v>43162</v>
      </c>
      <c r="BM68" s="126">
        <v>35563</v>
      </c>
      <c r="BN68" s="126">
        <v>34183</v>
      </c>
      <c r="BO68" s="59">
        <v>0</v>
      </c>
      <c r="BP68" s="59">
        <v>0.5</v>
      </c>
      <c r="BQ68" s="59">
        <v>8.3099999999999993E-2</v>
      </c>
      <c r="BR68" s="59">
        <v>0</v>
      </c>
      <c r="BS68" s="59">
        <v>0</v>
      </c>
      <c r="BT68" s="49">
        <v>20.100000000000001</v>
      </c>
      <c r="BU68" s="59">
        <f t="shared" si="6"/>
        <v>0.58309999999999995</v>
      </c>
      <c r="BV68" s="59">
        <v>6.25E-2</v>
      </c>
      <c r="BW68" s="59">
        <v>0</v>
      </c>
      <c r="BX68" s="59">
        <v>4.19E-2</v>
      </c>
      <c r="BY68" s="59">
        <v>0</v>
      </c>
      <c r="BZ68" s="59">
        <v>0</v>
      </c>
      <c r="CA68" s="49">
        <v>7.4</v>
      </c>
      <c r="CB68" s="59">
        <f t="shared" si="7"/>
        <v>0.10439999999999999</v>
      </c>
      <c r="CC68" s="59">
        <v>0.375</v>
      </c>
      <c r="CD68" s="125">
        <v>0.5</v>
      </c>
      <c r="CE68" s="125">
        <v>0.125</v>
      </c>
      <c r="CF68" s="125">
        <v>0</v>
      </c>
      <c r="CG68" s="125">
        <v>0</v>
      </c>
      <c r="CH68" s="85">
        <v>13.4</v>
      </c>
      <c r="CI68" s="39" t="s">
        <v>160</v>
      </c>
      <c r="CJ68" s="18" t="s">
        <v>80</v>
      </c>
      <c r="CK68" s="20"/>
    </row>
    <row r="69" spans="1:99" x14ac:dyDescent="0.25">
      <c r="A69" s="18" t="s">
        <v>80</v>
      </c>
      <c r="B69" s="19" t="s">
        <v>158</v>
      </c>
      <c r="C69" s="39" t="s">
        <v>161</v>
      </c>
      <c r="D69" s="40">
        <v>2</v>
      </c>
      <c r="E69" s="40">
        <v>2</v>
      </c>
      <c r="F69" s="40">
        <v>0</v>
      </c>
      <c r="G69" s="166">
        <v>0</v>
      </c>
      <c r="H69" s="166">
        <v>2</v>
      </c>
      <c r="I69" s="166">
        <v>0</v>
      </c>
      <c r="J69" s="166">
        <v>0</v>
      </c>
      <c r="K69" s="166">
        <v>0</v>
      </c>
      <c r="L69" s="166">
        <v>0</v>
      </c>
      <c r="M69" s="166">
        <v>0</v>
      </c>
      <c r="N69" s="119">
        <v>1.4084507042253501E-2</v>
      </c>
      <c r="O69" s="119">
        <v>0</v>
      </c>
      <c r="P69" s="119">
        <v>0</v>
      </c>
      <c r="Q69" s="119">
        <v>0.08</v>
      </c>
      <c r="R69" s="119">
        <v>0</v>
      </c>
      <c r="S69" s="119">
        <v>0</v>
      </c>
      <c r="T69" s="119">
        <v>0</v>
      </c>
      <c r="U69" s="119">
        <v>0</v>
      </c>
      <c r="V69" s="119">
        <v>0</v>
      </c>
      <c r="W69" s="40">
        <v>295</v>
      </c>
      <c r="X69" s="40">
        <f t="shared" si="4"/>
        <v>80</v>
      </c>
      <c r="Y69" s="40">
        <f t="shared" si="5"/>
        <v>131</v>
      </c>
      <c r="Z69" s="105">
        <v>0.45800000000000002</v>
      </c>
      <c r="AA69" s="105">
        <v>0.54200000000000004</v>
      </c>
      <c r="AB69" s="106">
        <f>1/295</f>
        <v>3.3898305084745762E-3</v>
      </c>
      <c r="AC69" s="106">
        <f>2/295</f>
        <v>6.7796610169491523E-3</v>
      </c>
      <c r="AD69" s="106">
        <f>24/295</f>
        <v>8.1355932203389825E-2</v>
      </c>
      <c r="AE69" s="106">
        <f>6/295</f>
        <v>2.0338983050847456E-2</v>
      </c>
      <c r="AF69" s="106">
        <v>0</v>
      </c>
      <c r="AG69" s="106">
        <f>259/295</f>
        <v>0.87796610169491529</v>
      </c>
      <c r="AH69" s="106">
        <f>3/295</f>
        <v>1.0169491525423728E-2</v>
      </c>
      <c r="AI69" s="106">
        <f>36/295</f>
        <v>0.12203389830508475</v>
      </c>
      <c r="AJ69" s="105">
        <v>0.53898305084745768</v>
      </c>
      <c r="AK69" s="105">
        <v>0</v>
      </c>
      <c r="AL69" s="12">
        <v>28</v>
      </c>
      <c r="AM69" s="12">
        <v>23</v>
      </c>
      <c r="AN69" s="12">
        <v>1</v>
      </c>
      <c r="AO69" s="12">
        <v>24</v>
      </c>
      <c r="AP69" s="12">
        <v>12</v>
      </c>
      <c r="AQ69" s="12">
        <v>28</v>
      </c>
      <c r="AR69" s="12">
        <v>15</v>
      </c>
      <c r="AS69" s="59">
        <v>0.04</v>
      </c>
      <c r="AT69" s="12">
        <v>1</v>
      </c>
      <c r="AU69" s="3">
        <v>6</v>
      </c>
      <c r="AV69" s="54">
        <v>63.970588235294116</v>
      </c>
      <c r="AW69" s="54">
        <v>28.676470588235293</v>
      </c>
      <c r="AX69" s="54">
        <v>6.6176470588235299</v>
      </c>
      <c r="AY69" s="68">
        <v>0.73529411764705876</v>
      </c>
      <c r="AZ69" s="59">
        <v>1.4228432203522504E-2</v>
      </c>
      <c r="BA69" s="59">
        <v>7.2784810126582278E-2</v>
      </c>
      <c r="BB69" s="77">
        <v>93.728064088802498</v>
      </c>
      <c r="BC69" s="49">
        <v>37.383177570093501</v>
      </c>
      <c r="BD69" s="93">
        <v>0</v>
      </c>
      <c r="BE69" s="93">
        <v>0</v>
      </c>
      <c r="BF69" s="49">
        <v>0</v>
      </c>
      <c r="BG69" s="49">
        <v>0</v>
      </c>
      <c r="BH69" s="49">
        <v>0</v>
      </c>
      <c r="BI69" s="49">
        <v>5</v>
      </c>
      <c r="BJ69" s="85">
        <v>20.3</v>
      </c>
      <c r="BK69" s="126">
        <v>11242</v>
      </c>
      <c r="BL69" s="126">
        <v>41003</v>
      </c>
      <c r="BM69" s="126">
        <v>35754</v>
      </c>
      <c r="BN69" s="126">
        <v>32991</v>
      </c>
      <c r="BO69" s="59">
        <v>0</v>
      </c>
      <c r="BP69" s="59">
        <v>0.44869999999999999</v>
      </c>
      <c r="BQ69" s="59">
        <v>0.115</v>
      </c>
      <c r="BR69" s="59">
        <v>0</v>
      </c>
      <c r="BS69" s="59">
        <v>0</v>
      </c>
      <c r="BT69" s="49">
        <v>17.5</v>
      </c>
      <c r="BU69" s="59">
        <f t="shared" si="6"/>
        <v>0.56369999999999998</v>
      </c>
      <c r="BV69" s="59">
        <v>5.1200000000000002E-2</v>
      </c>
      <c r="BW69" s="59">
        <v>0</v>
      </c>
      <c r="BX69" s="59">
        <v>3.8300000000000001E-2</v>
      </c>
      <c r="BY69" s="59">
        <v>0</v>
      </c>
      <c r="BZ69" s="59">
        <v>0</v>
      </c>
      <c r="CA69" s="49">
        <v>12.3</v>
      </c>
      <c r="CB69" s="59">
        <f t="shared" si="7"/>
        <v>8.9499999999999996E-2</v>
      </c>
      <c r="CC69" s="59">
        <v>0.39119999999999999</v>
      </c>
      <c r="CD69" s="125">
        <v>0.45550000000000002</v>
      </c>
      <c r="CE69" s="125">
        <v>0.15329999999999999</v>
      </c>
      <c r="CF69" s="125">
        <v>0</v>
      </c>
      <c r="CG69" s="125">
        <v>0</v>
      </c>
      <c r="CH69" s="85">
        <v>11.4</v>
      </c>
      <c r="CI69" s="39" t="s">
        <v>161</v>
      </c>
      <c r="CJ69" s="18" t="s">
        <v>80</v>
      </c>
      <c r="CK69" s="20"/>
    </row>
    <row r="70" spans="1:99" x14ac:dyDescent="0.25">
      <c r="A70" s="18" t="s">
        <v>80</v>
      </c>
      <c r="B70" s="19" t="s">
        <v>158</v>
      </c>
      <c r="C70" s="39" t="s">
        <v>162</v>
      </c>
      <c r="D70" s="40">
        <v>1</v>
      </c>
      <c r="E70" s="40">
        <v>1</v>
      </c>
      <c r="F70" s="40">
        <v>0</v>
      </c>
      <c r="G70" s="166">
        <v>1</v>
      </c>
      <c r="H70" s="166">
        <v>0</v>
      </c>
      <c r="I70" s="166">
        <v>0</v>
      </c>
      <c r="J70" s="166">
        <v>0</v>
      </c>
      <c r="K70" s="166">
        <v>0</v>
      </c>
      <c r="L70" s="166">
        <v>0</v>
      </c>
      <c r="M70" s="166">
        <v>0</v>
      </c>
      <c r="N70" s="119">
        <v>8.7719298245613996E-3</v>
      </c>
      <c r="O70" s="119">
        <v>0</v>
      </c>
      <c r="P70" s="119">
        <v>0.05</v>
      </c>
      <c r="Q70" s="119">
        <v>0</v>
      </c>
      <c r="R70" s="119">
        <v>0</v>
      </c>
      <c r="S70" s="119">
        <v>0</v>
      </c>
      <c r="T70" s="119">
        <v>0</v>
      </c>
      <c r="U70" s="119">
        <v>0</v>
      </c>
      <c r="V70" s="119">
        <v>0</v>
      </c>
      <c r="W70" s="40">
        <v>282</v>
      </c>
      <c r="X70" s="40">
        <f t="shared" si="4"/>
        <v>67</v>
      </c>
      <c r="Y70" s="40">
        <f t="shared" si="5"/>
        <v>105</v>
      </c>
      <c r="Z70" s="105">
        <v>0.47499999999999998</v>
      </c>
      <c r="AA70" s="105">
        <v>0.52500000000000002</v>
      </c>
      <c r="AB70" s="106">
        <f>1/282</f>
        <v>3.5460992907801418E-3</v>
      </c>
      <c r="AC70" s="106">
        <v>0</v>
      </c>
      <c r="AD70" s="106">
        <f>154/282</f>
        <v>0.54609929078014185</v>
      </c>
      <c r="AE70" s="106">
        <f>6/282</f>
        <v>2.1276595744680851E-2</v>
      </c>
      <c r="AF70" s="106">
        <v>0</v>
      </c>
      <c r="AG70" s="106">
        <f>119/282</f>
        <v>0.42198581560283688</v>
      </c>
      <c r="AH70" s="106">
        <f>2/282</f>
        <v>7.0921985815602835E-3</v>
      </c>
      <c r="AI70" s="106">
        <f>163/282</f>
        <v>0.57801418439716312</v>
      </c>
      <c r="AJ70" s="105">
        <v>0.87588652482269502</v>
      </c>
      <c r="AK70" s="105">
        <v>0</v>
      </c>
      <c r="AL70" s="12">
        <v>17</v>
      </c>
      <c r="AM70" s="12">
        <v>21</v>
      </c>
      <c r="AN70" s="12">
        <v>1</v>
      </c>
      <c r="AO70" s="12">
        <v>18</v>
      </c>
      <c r="AP70" s="12">
        <v>19</v>
      </c>
      <c r="AQ70" s="12">
        <v>16</v>
      </c>
      <c r="AR70" s="12">
        <v>13</v>
      </c>
      <c r="AS70" s="59">
        <v>5.2631578947368418E-2</v>
      </c>
      <c r="AT70" s="12">
        <v>1</v>
      </c>
      <c r="AU70" s="3">
        <v>6</v>
      </c>
      <c r="AV70" s="54">
        <v>88.965517241379317</v>
      </c>
      <c r="AW70" s="54">
        <v>6.8965517241379306</v>
      </c>
      <c r="AX70" s="54">
        <v>4.1379310344827589</v>
      </c>
      <c r="AY70" s="68">
        <v>0</v>
      </c>
      <c r="AZ70" s="59">
        <v>2.7281563095457625E-3</v>
      </c>
      <c r="BA70" s="59">
        <v>0.20779220779220781</v>
      </c>
      <c r="BB70" s="76">
        <v>93.505431439059507</v>
      </c>
      <c r="BC70" s="49">
        <v>33.3333333333333</v>
      </c>
      <c r="BD70" s="93">
        <v>0</v>
      </c>
      <c r="BE70" s="93">
        <v>0</v>
      </c>
      <c r="BF70" s="49">
        <v>5.6</v>
      </c>
      <c r="BG70" s="49">
        <v>0</v>
      </c>
      <c r="BH70" s="49">
        <v>0</v>
      </c>
      <c r="BI70" s="49">
        <v>0</v>
      </c>
      <c r="BJ70" s="85">
        <v>20.6</v>
      </c>
      <c r="BK70" s="126">
        <v>12405</v>
      </c>
      <c r="BL70" s="126">
        <v>42820</v>
      </c>
      <c r="BM70" s="126">
        <v>29362</v>
      </c>
      <c r="BN70" s="126">
        <v>31842</v>
      </c>
      <c r="BO70" s="59">
        <v>0</v>
      </c>
      <c r="BP70" s="59">
        <v>0.3634</v>
      </c>
      <c r="BQ70" s="59">
        <v>0.13919999999999999</v>
      </c>
      <c r="BR70" s="59">
        <v>0</v>
      </c>
      <c r="BS70" s="59">
        <v>0</v>
      </c>
      <c r="BT70" s="49">
        <v>20</v>
      </c>
      <c r="BU70" s="59">
        <f t="shared" si="6"/>
        <v>0.50259999999999994</v>
      </c>
      <c r="BV70" s="59">
        <v>4.24E-2</v>
      </c>
      <c r="BW70" s="59">
        <v>0</v>
      </c>
      <c r="BX70" s="59">
        <v>1.9800000000000002E-2</v>
      </c>
      <c r="BY70" s="59">
        <v>0</v>
      </c>
      <c r="BZ70" s="59">
        <v>0</v>
      </c>
      <c r="CA70" s="49">
        <v>9.6</v>
      </c>
      <c r="CB70" s="59">
        <f t="shared" si="7"/>
        <v>6.2200000000000005E-2</v>
      </c>
      <c r="CC70" s="59">
        <v>0.4587</v>
      </c>
      <c r="CD70" s="125">
        <v>0.3634</v>
      </c>
      <c r="CE70" s="125">
        <v>0.1779</v>
      </c>
      <c r="CF70" s="125">
        <v>0</v>
      </c>
      <c r="CG70" s="125">
        <v>0</v>
      </c>
      <c r="CH70" s="85">
        <v>11.3</v>
      </c>
      <c r="CI70" s="39" t="s">
        <v>162</v>
      </c>
      <c r="CJ70" s="18" t="s">
        <v>80</v>
      </c>
      <c r="CK70" s="20"/>
    </row>
    <row r="71" spans="1:99" x14ac:dyDescent="0.25">
      <c r="A71" s="18" t="s">
        <v>80</v>
      </c>
      <c r="B71" s="19" t="s">
        <v>163</v>
      </c>
      <c r="C71" s="39" t="s">
        <v>164</v>
      </c>
      <c r="D71" s="40">
        <v>1</v>
      </c>
      <c r="E71" s="40">
        <v>1</v>
      </c>
      <c r="F71" s="40">
        <v>0</v>
      </c>
      <c r="G71" s="166">
        <v>0</v>
      </c>
      <c r="H71" s="166">
        <v>1</v>
      </c>
      <c r="I71" s="166">
        <v>0</v>
      </c>
      <c r="J71" s="166">
        <v>0</v>
      </c>
      <c r="K71" s="166">
        <v>0</v>
      </c>
      <c r="L71" s="166">
        <v>0</v>
      </c>
      <c r="M71" s="166">
        <v>0</v>
      </c>
      <c r="N71" s="119">
        <v>3.4364261168384901E-3</v>
      </c>
      <c r="O71" s="119">
        <v>0</v>
      </c>
      <c r="P71" s="119">
        <v>0</v>
      </c>
      <c r="Q71" s="119">
        <v>1.72413793103448E-2</v>
      </c>
      <c r="R71" s="119">
        <v>0</v>
      </c>
      <c r="S71" s="119">
        <v>0</v>
      </c>
      <c r="T71" s="119">
        <v>0</v>
      </c>
      <c r="U71" s="119">
        <v>0</v>
      </c>
      <c r="V71" s="119">
        <v>0</v>
      </c>
      <c r="W71" s="40">
        <v>333</v>
      </c>
      <c r="X71" s="40">
        <f t="shared" si="4"/>
        <v>175</v>
      </c>
      <c r="Y71" s="40">
        <f t="shared" si="5"/>
        <v>267</v>
      </c>
      <c r="Z71" s="105">
        <v>0.47799999999999998</v>
      </c>
      <c r="AA71" s="105">
        <v>0.52300000000000002</v>
      </c>
      <c r="AB71" s="106">
        <v>0</v>
      </c>
      <c r="AC71" s="106">
        <v>0</v>
      </c>
      <c r="AD71" s="106">
        <f>217/333</f>
        <v>0.65165165165165162</v>
      </c>
      <c r="AE71" s="106">
        <f>4/333</f>
        <v>1.2012012012012012E-2</v>
      </c>
      <c r="AF71" s="106">
        <v>0</v>
      </c>
      <c r="AG71" s="106">
        <f>110/333</f>
        <v>0.33033033033033032</v>
      </c>
      <c r="AH71" s="106">
        <f>2/333</f>
        <v>6.006006006006006E-3</v>
      </c>
      <c r="AI71" s="106">
        <f>223/333</f>
        <v>0.66966966966966968</v>
      </c>
      <c r="AJ71" s="105">
        <v>0.76276276276276278</v>
      </c>
      <c r="AK71" s="105">
        <v>0</v>
      </c>
      <c r="AL71" s="12">
        <v>41</v>
      </c>
      <c r="AM71" s="12">
        <v>51</v>
      </c>
      <c r="AN71" s="12">
        <v>10</v>
      </c>
      <c r="AO71" s="12">
        <v>44</v>
      </c>
      <c r="AP71" s="12">
        <v>55</v>
      </c>
      <c r="AQ71" s="12">
        <v>36</v>
      </c>
      <c r="AR71" s="12">
        <v>30</v>
      </c>
      <c r="AS71" s="59">
        <v>0.18518518518518517</v>
      </c>
      <c r="AT71" s="12">
        <v>5</v>
      </c>
      <c r="AU71" s="3">
        <v>6</v>
      </c>
      <c r="AV71" s="54">
        <v>77.54010695187165</v>
      </c>
      <c r="AW71" s="54">
        <v>16.577540106951872</v>
      </c>
      <c r="AX71" s="54">
        <v>3.7433155080213902</v>
      </c>
      <c r="AY71" s="68">
        <v>2.1390374331550799</v>
      </c>
      <c r="AZ71" s="59">
        <v>8.2417582417582416E-2</v>
      </c>
      <c r="BA71" s="59">
        <v>0.17307692307692307</v>
      </c>
      <c r="BB71" s="77">
        <v>94.1364725187141</v>
      </c>
      <c r="BC71" s="49">
        <v>30.4945054945055</v>
      </c>
      <c r="BD71" s="93">
        <v>0</v>
      </c>
      <c r="BE71" s="93">
        <v>0</v>
      </c>
      <c r="BF71" s="49">
        <v>4.9000000000000004</v>
      </c>
      <c r="BG71" s="49">
        <v>3.6</v>
      </c>
      <c r="BH71" s="49">
        <v>2.7</v>
      </c>
      <c r="BI71" s="49">
        <v>0</v>
      </c>
      <c r="BJ71" s="85">
        <v>17.3</v>
      </c>
      <c r="BK71" s="126">
        <v>10355</v>
      </c>
      <c r="BL71" s="126">
        <v>46249</v>
      </c>
      <c r="BM71" s="126">
        <v>46193</v>
      </c>
      <c r="BN71" s="126">
        <v>35792</v>
      </c>
      <c r="BO71" s="59">
        <v>0</v>
      </c>
      <c r="BP71" s="59">
        <v>0.29949999999999999</v>
      </c>
      <c r="BQ71" s="59">
        <v>0.1895</v>
      </c>
      <c r="BR71" s="59">
        <v>0</v>
      </c>
      <c r="BS71" s="59">
        <v>0</v>
      </c>
      <c r="BT71" s="49">
        <v>12.7</v>
      </c>
      <c r="BU71" s="59">
        <f t="shared" si="6"/>
        <v>0.48899999999999999</v>
      </c>
      <c r="BV71" s="59">
        <v>3.73E-2</v>
      </c>
      <c r="BW71" s="59">
        <v>1.24E-2</v>
      </c>
      <c r="BX71" s="59">
        <v>5.45E-2</v>
      </c>
      <c r="BY71" s="59">
        <v>0</v>
      </c>
      <c r="BZ71" s="59">
        <v>0</v>
      </c>
      <c r="CA71" s="49">
        <v>18.2</v>
      </c>
      <c r="CB71" s="59">
        <f t="shared" si="7"/>
        <v>0.1042</v>
      </c>
      <c r="CC71" s="59">
        <v>0.41699999999999998</v>
      </c>
      <c r="CD71" s="125">
        <v>0.31190000000000001</v>
      </c>
      <c r="CE71" s="125">
        <v>0.2712</v>
      </c>
      <c r="CF71" s="125">
        <v>0</v>
      </c>
      <c r="CG71" s="125">
        <v>0</v>
      </c>
      <c r="CH71" s="85">
        <v>15</v>
      </c>
      <c r="CI71" s="39" t="s">
        <v>164</v>
      </c>
      <c r="CJ71" s="18" t="s">
        <v>80</v>
      </c>
      <c r="CK71" s="20"/>
    </row>
    <row r="72" spans="1:99" x14ac:dyDescent="0.25">
      <c r="A72" s="18" t="s">
        <v>80</v>
      </c>
      <c r="B72" s="19" t="s">
        <v>163</v>
      </c>
      <c r="C72" s="39" t="s">
        <v>165</v>
      </c>
      <c r="D72" s="40">
        <v>3</v>
      </c>
      <c r="E72" s="40" t="s">
        <v>83</v>
      </c>
      <c r="F72" s="40">
        <v>3</v>
      </c>
      <c r="G72" s="162" t="s">
        <v>83</v>
      </c>
      <c r="H72" s="162" t="s">
        <v>83</v>
      </c>
      <c r="I72" s="166">
        <v>0</v>
      </c>
      <c r="J72" s="166">
        <v>0</v>
      </c>
      <c r="K72" s="166">
        <v>0</v>
      </c>
      <c r="L72" s="166">
        <v>2</v>
      </c>
      <c r="M72" s="166">
        <v>1</v>
      </c>
      <c r="N72" s="119">
        <v>1.3157894736842099E-2</v>
      </c>
      <c r="O72" s="119">
        <v>1.3157894736842099E-2</v>
      </c>
      <c r="P72" s="116" t="s">
        <v>83</v>
      </c>
      <c r="Q72" s="116" t="s">
        <v>83</v>
      </c>
      <c r="R72" s="119">
        <v>0</v>
      </c>
      <c r="S72" s="119">
        <v>0</v>
      </c>
      <c r="T72" s="119">
        <v>0</v>
      </c>
      <c r="U72" s="119">
        <v>4.08163265306122E-2</v>
      </c>
      <c r="V72" s="119">
        <v>1.9230769230769201E-2</v>
      </c>
      <c r="W72" s="40">
        <v>204</v>
      </c>
      <c r="X72" s="40">
        <f t="shared" si="4"/>
        <v>204</v>
      </c>
      <c r="Y72" s="40">
        <f t="shared" si="5"/>
        <v>204</v>
      </c>
      <c r="Z72" s="105">
        <v>0.505</v>
      </c>
      <c r="AA72" s="105">
        <v>0.495</v>
      </c>
      <c r="AB72" s="106">
        <v>0</v>
      </c>
      <c r="AC72" s="106">
        <v>0</v>
      </c>
      <c r="AD72" s="106">
        <f>172/204</f>
        <v>0.84313725490196079</v>
      </c>
      <c r="AE72" s="106">
        <f>6/204</f>
        <v>2.9411764705882353E-2</v>
      </c>
      <c r="AF72" s="106">
        <v>0</v>
      </c>
      <c r="AG72" s="106">
        <f>26/204</f>
        <v>0.12745098039215685</v>
      </c>
      <c r="AH72" s="106">
        <v>0</v>
      </c>
      <c r="AI72" s="106">
        <f>178/204</f>
        <v>0.87254901960784315</v>
      </c>
      <c r="AJ72" s="105">
        <v>0.80882352941176472</v>
      </c>
      <c r="AK72" s="105">
        <v>1.4999999999999999E-2</v>
      </c>
      <c r="AL72" s="12">
        <v>0</v>
      </c>
      <c r="AM72" s="12">
        <v>0</v>
      </c>
      <c r="AN72" s="12">
        <v>7</v>
      </c>
      <c r="AO72" s="12">
        <v>50</v>
      </c>
      <c r="AP72" s="12">
        <v>55</v>
      </c>
      <c r="AQ72" s="12">
        <v>45</v>
      </c>
      <c r="AR72" s="12">
        <v>47</v>
      </c>
      <c r="AS72" s="59">
        <v>0.12280701754385964</v>
      </c>
      <c r="AT72" s="12">
        <v>9</v>
      </c>
      <c r="AU72" s="3">
        <v>6</v>
      </c>
      <c r="AV72" s="54">
        <v>85</v>
      </c>
      <c r="AW72" s="54">
        <v>11.428571428571429</v>
      </c>
      <c r="AX72" s="54">
        <v>3.5714285714285712</v>
      </c>
      <c r="AY72" s="68">
        <v>0</v>
      </c>
      <c r="AZ72" s="59">
        <v>0.44933920704845814</v>
      </c>
      <c r="BA72" s="59">
        <v>0.18502202643171806</v>
      </c>
      <c r="BB72" s="76">
        <v>91.849605988901402</v>
      </c>
      <c r="BC72" s="49">
        <v>37.885462555066098</v>
      </c>
      <c r="BD72" s="90" t="s">
        <v>83</v>
      </c>
      <c r="BE72" s="90" t="s">
        <v>83</v>
      </c>
      <c r="BF72" s="49">
        <v>0</v>
      </c>
      <c r="BG72" s="49">
        <v>0</v>
      </c>
      <c r="BH72" s="49">
        <v>0</v>
      </c>
      <c r="BI72" s="49">
        <v>6.4</v>
      </c>
      <c r="BJ72" s="85">
        <v>16.2</v>
      </c>
      <c r="BK72" s="126">
        <v>13102</v>
      </c>
      <c r="BL72" s="126">
        <v>47015</v>
      </c>
      <c r="BM72" s="126">
        <v>52975</v>
      </c>
      <c r="BN72" s="126">
        <v>30430</v>
      </c>
      <c r="BO72" s="59">
        <v>0</v>
      </c>
      <c r="BP72" s="59">
        <v>0.21049999999999999</v>
      </c>
      <c r="BQ72" s="59">
        <v>7.9200000000000007E-2</v>
      </c>
      <c r="BR72" s="59">
        <v>0</v>
      </c>
      <c r="BS72" s="59">
        <v>0</v>
      </c>
      <c r="BT72" s="49">
        <v>10.8</v>
      </c>
      <c r="BU72" s="59">
        <f t="shared" si="6"/>
        <v>0.28970000000000001</v>
      </c>
      <c r="BV72" s="59">
        <v>0</v>
      </c>
      <c r="BW72" s="59">
        <v>2.64E-2</v>
      </c>
      <c r="BX72" s="59">
        <v>5.2200000000000003E-2</v>
      </c>
      <c r="BY72" s="59">
        <v>0</v>
      </c>
      <c r="BZ72" s="59">
        <v>0</v>
      </c>
      <c r="CA72" s="49">
        <v>15.2</v>
      </c>
      <c r="CB72" s="59">
        <f t="shared" si="7"/>
        <v>7.8600000000000003E-2</v>
      </c>
      <c r="CC72" s="59">
        <v>0.55330000000000001</v>
      </c>
      <c r="CD72" s="125">
        <v>0.28960000000000002</v>
      </c>
      <c r="CE72" s="125">
        <v>0.15709999999999999</v>
      </c>
      <c r="CF72" s="125">
        <v>0</v>
      </c>
      <c r="CG72" s="125">
        <v>0</v>
      </c>
      <c r="CH72" s="85">
        <v>15.6</v>
      </c>
      <c r="CI72" s="39" t="s">
        <v>165</v>
      </c>
      <c r="CJ72" s="18" t="s">
        <v>80</v>
      </c>
      <c r="CK72" s="20"/>
    </row>
    <row r="73" spans="1:99" x14ac:dyDescent="0.25">
      <c r="A73" s="18" t="s">
        <v>80</v>
      </c>
      <c r="B73" s="19" t="s">
        <v>163</v>
      </c>
      <c r="C73" s="39" t="s">
        <v>166</v>
      </c>
      <c r="D73" s="40">
        <v>0</v>
      </c>
      <c r="E73" s="40">
        <v>0</v>
      </c>
      <c r="F73" s="40">
        <v>0</v>
      </c>
      <c r="G73" s="166">
        <v>0</v>
      </c>
      <c r="H73" s="166">
        <v>0</v>
      </c>
      <c r="I73" s="162" t="s">
        <v>83</v>
      </c>
      <c r="J73" s="166">
        <v>0</v>
      </c>
      <c r="K73" s="166">
        <v>0</v>
      </c>
      <c r="L73" s="166">
        <v>0</v>
      </c>
      <c r="M73" s="166">
        <v>0</v>
      </c>
      <c r="N73" s="119">
        <v>0</v>
      </c>
      <c r="O73" s="119">
        <v>0</v>
      </c>
      <c r="P73" s="119">
        <v>0</v>
      </c>
      <c r="Q73" s="119">
        <v>0</v>
      </c>
      <c r="R73" s="116" t="s">
        <v>83</v>
      </c>
      <c r="S73" s="119">
        <v>0</v>
      </c>
      <c r="T73" s="119">
        <v>0</v>
      </c>
      <c r="U73" s="119">
        <v>0</v>
      </c>
      <c r="V73" s="119">
        <v>0</v>
      </c>
      <c r="W73" s="40">
        <v>273</v>
      </c>
      <c r="X73" s="40">
        <f t="shared" si="4"/>
        <v>86</v>
      </c>
      <c r="Y73" s="40">
        <f t="shared" si="5"/>
        <v>124</v>
      </c>
      <c r="Z73" s="105">
        <v>0.54600000000000004</v>
      </c>
      <c r="AA73" s="105">
        <v>0.45400000000000001</v>
      </c>
      <c r="AB73" s="106">
        <f>2/273</f>
        <v>7.326007326007326E-3</v>
      </c>
      <c r="AC73" s="106">
        <v>0</v>
      </c>
      <c r="AD73" s="106">
        <f>116/273</f>
        <v>0.4249084249084249</v>
      </c>
      <c r="AE73" s="106">
        <f>2/273</f>
        <v>7.326007326007326E-3</v>
      </c>
      <c r="AF73" s="106">
        <v>0</v>
      </c>
      <c r="AG73" s="106">
        <f>152/273</f>
        <v>0.5567765567765568</v>
      </c>
      <c r="AH73" s="106">
        <f>1/273</f>
        <v>3.663003663003663E-3</v>
      </c>
      <c r="AI73" s="106">
        <f>121/273</f>
        <v>0.4432234432234432</v>
      </c>
      <c r="AJ73" s="105">
        <v>0.63369963369963367</v>
      </c>
      <c r="AK73" s="105">
        <v>0</v>
      </c>
      <c r="AL73" s="12">
        <v>21</v>
      </c>
      <c r="AM73" s="12">
        <v>17</v>
      </c>
      <c r="AN73" s="12">
        <v>0</v>
      </c>
      <c r="AO73" s="12">
        <v>18</v>
      </c>
      <c r="AP73" s="12">
        <v>21</v>
      </c>
      <c r="AQ73" s="12">
        <v>26</v>
      </c>
      <c r="AR73" s="12">
        <v>21</v>
      </c>
      <c r="AS73" s="59">
        <v>0</v>
      </c>
      <c r="AT73" s="12">
        <v>1</v>
      </c>
      <c r="AU73" s="3">
        <v>6</v>
      </c>
      <c r="AV73" s="54">
        <v>90.243902439024396</v>
      </c>
      <c r="AW73" s="54">
        <v>8.9430894308943092</v>
      </c>
      <c r="AX73" s="54">
        <v>0.81300813008130091</v>
      </c>
      <c r="AY73" s="68">
        <v>0</v>
      </c>
      <c r="AZ73" s="59">
        <v>2.248935758513932E-2</v>
      </c>
      <c r="BA73" s="59">
        <v>6.7114093959731544E-2</v>
      </c>
      <c r="BB73" s="77">
        <v>94.755468542211801</v>
      </c>
      <c r="BC73" s="49">
        <v>20.494699646643099</v>
      </c>
      <c r="BD73" s="49">
        <v>10</v>
      </c>
      <c r="BE73" s="93">
        <v>0</v>
      </c>
      <c r="BF73" s="49">
        <v>5.6</v>
      </c>
      <c r="BG73" s="49">
        <v>4.8</v>
      </c>
      <c r="BH73" s="49">
        <v>0</v>
      </c>
      <c r="BI73" s="49">
        <v>0</v>
      </c>
      <c r="BJ73" s="85">
        <v>20</v>
      </c>
      <c r="BK73" s="126">
        <v>11528</v>
      </c>
      <c r="BL73" s="126">
        <v>48321</v>
      </c>
      <c r="BM73" s="126">
        <v>23391</v>
      </c>
      <c r="BN73" s="126">
        <v>36428</v>
      </c>
      <c r="BO73" s="59">
        <v>0</v>
      </c>
      <c r="BP73" s="59">
        <v>0.30309999999999998</v>
      </c>
      <c r="BQ73" s="59">
        <v>0.2122</v>
      </c>
      <c r="BR73" s="59">
        <v>0</v>
      </c>
      <c r="BS73" s="59">
        <v>0</v>
      </c>
      <c r="BT73" s="49">
        <v>21.5</v>
      </c>
      <c r="BU73" s="59">
        <f t="shared" si="6"/>
        <v>0.51529999999999998</v>
      </c>
      <c r="BV73" s="59">
        <v>3.0300000000000001E-2</v>
      </c>
      <c r="BW73" s="59">
        <v>0</v>
      </c>
      <c r="BX73" s="59">
        <v>3.0300000000000001E-2</v>
      </c>
      <c r="BY73" s="59">
        <v>0</v>
      </c>
      <c r="BZ73" s="59">
        <v>0</v>
      </c>
      <c r="CA73" s="49">
        <v>29</v>
      </c>
      <c r="CB73" s="59">
        <f t="shared" si="7"/>
        <v>6.0600000000000001E-2</v>
      </c>
      <c r="CC73" s="59">
        <v>0.42399999999999999</v>
      </c>
      <c r="CD73" s="125">
        <v>0.30309999999999998</v>
      </c>
      <c r="CE73" s="125">
        <v>0.27279999999999999</v>
      </c>
      <c r="CF73" s="125">
        <v>0</v>
      </c>
      <c r="CG73" s="125">
        <v>0</v>
      </c>
      <c r="CH73" s="85">
        <v>19.2</v>
      </c>
      <c r="CI73" s="39" t="s">
        <v>166</v>
      </c>
      <c r="CJ73" s="18" t="s">
        <v>80</v>
      </c>
      <c r="CK73" s="20"/>
    </row>
    <row r="74" spans="1:99" x14ac:dyDescent="0.25">
      <c r="A74" s="18" t="s">
        <v>80</v>
      </c>
      <c r="B74" s="19" t="s">
        <v>167</v>
      </c>
      <c r="C74" s="39" t="s">
        <v>168</v>
      </c>
      <c r="D74" s="40">
        <v>6</v>
      </c>
      <c r="E74" s="40" t="s">
        <v>83</v>
      </c>
      <c r="F74" s="40">
        <v>6</v>
      </c>
      <c r="G74" s="162" t="s">
        <v>83</v>
      </c>
      <c r="H74" s="162" t="s">
        <v>83</v>
      </c>
      <c r="I74" s="166">
        <v>0</v>
      </c>
      <c r="J74" s="166">
        <v>2</v>
      </c>
      <c r="K74" s="166">
        <v>1</v>
      </c>
      <c r="L74" s="166">
        <v>2</v>
      </c>
      <c r="M74" s="166">
        <v>1</v>
      </c>
      <c r="N74" s="119">
        <v>1.6574585635359101E-2</v>
      </c>
      <c r="O74" s="119">
        <v>1.6574585635359101E-2</v>
      </c>
      <c r="P74" s="116" t="s">
        <v>83</v>
      </c>
      <c r="Q74" s="116" t="s">
        <v>83</v>
      </c>
      <c r="R74" s="119">
        <v>0</v>
      </c>
      <c r="S74" s="119">
        <v>1.6528925619834701E-2</v>
      </c>
      <c r="T74" s="119">
        <v>1.16279069767442E-2</v>
      </c>
      <c r="U74" s="119">
        <v>3.0769230769230799E-2</v>
      </c>
      <c r="V74" s="119">
        <v>1.49253731343284E-2</v>
      </c>
      <c r="W74" s="40">
        <v>318</v>
      </c>
      <c r="X74" s="40">
        <f t="shared" si="4"/>
        <v>318</v>
      </c>
      <c r="Y74" s="40">
        <f t="shared" si="5"/>
        <v>318</v>
      </c>
      <c r="Z74" s="105">
        <v>0.51900000000000002</v>
      </c>
      <c r="AA74" s="105">
        <v>0.48099999999999998</v>
      </c>
      <c r="AB74" s="106">
        <v>0</v>
      </c>
      <c r="AC74" s="106">
        <v>0</v>
      </c>
      <c r="AD74" s="106">
        <f>304/318</f>
        <v>0.95597484276729561</v>
      </c>
      <c r="AE74" s="106">
        <f>5/318</f>
        <v>1.5723270440251572E-2</v>
      </c>
      <c r="AF74" s="106">
        <v>0</v>
      </c>
      <c r="AG74" s="106">
        <f>9/318</f>
        <v>2.8301886792452831E-2</v>
      </c>
      <c r="AH74" s="106">
        <v>0</v>
      </c>
      <c r="AI74" s="106">
        <f>309/318</f>
        <v>0.97169811320754718</v>
      </c>
      <c r="AJ74" s="105">
        <v>0.92767295597484278</v>
      </c>
      <c r="AK74" s="105">
        <v>6.0000000000000001E-3</v>
      </c>
      <c r="AL74" s="12">
        <v>0</v>
      </c>
      <c r="AM74" s="12">
        <v>0</v>
      </c>
      <c r="AN74" s="12">
        <v>20</v>
      </c>
      <c r="AO74" s="12">
        <v>97</v>
      </c>
      <c r="AP74" s="12">
        <v>79</v>
      </c>
      <c r="AQ74" s="12">
        <v>57</v>
      </c>
      <c r="AR74" s="12">
        <v>65</v>
      </c>
      <c r="AS74" s="59">
        <v>0.17094017094017094</v>
      </c>
      <c r="AT74" s="12">
        <v>9</v>
      </c>
      <c r="AU74" s="3">
        <v>6</v>
      </c>
      <c r="AV74" s="54">
        <v>80.116959064327489</v>
      </c>
      <c r="AW74" s="54">
        <v>16.374269005847953</v>
      </c>
      <c r="AX74" s="54">
        <v>2.9239766081871341</v>
      </c>
      <c r="AY74" s="68">
        <v>0.58479532163742687</v>
      </c>
      <c r="AZ74" s="59">
        <v>0.18105849582172701</v>
      </c>
      <c r="BA74" s="59">
        <v>0.49303621169916434</v>
      </c>
      <c r="BB74" s="76">
        <v>92.506759808205004</v>
      </c>
      <c r="BC74" s="49">
        <v>44.903581267217596</v>
      </c>
      <c r="BD74" s="90" t="s">
        <v>83</v>
      </c>
      <c r="BE74" s="90" t="s">
        <v>83</v>
      </c>
      <c r="BF74" s="49">
        <v>15.7</v>
      </c>
      <c r="BG74" s="49">
        <v>2.7</v>
      </c>
      <c r="BH74" s="49">
        <v>7.4</v>
      </c>
      <c r="BI74" s="49">
        <v>1.7</v>
      </c>
      <c r="BJ74" s="85">
        <v>16.3</v>
      </c>
      <c r="BK74" s="126">
        <v>12325</v>
      </c>
      <c r="BL74" s="126">
        <v>45660</v>
      </c>
      <c r="BM74" s="126">
        <v>58417</v>
      </c>
      <c r="BN74" s="126">
        <v>43518</v>
      </c>
      <c r="BO74" s="59">
        <v>0</v>
      </c>
      <c r="BP74" s="59">
        <v>0.42</v>
      </c>
      <c r="BQ74" s="59">
        <v>0.22470000000000001</v>
      </c>
      <c r="BR74" s="59">
        <v>0</v>
      </c>
      <c r="BS74" s="59">
        <v>0</v>
      </c>
      <c r="BT74" s="49">
        <v>16.100000000000001</v>
      </c>
      <c r="BU74" s="59">
        <f t="shared" si="6"/>
        <v>0.64470000000000005</v>
      </c>
      <c r="BV74" s="59">
        <v>0</v>
      </c>
      <c r="BW74" s="59">
        <v>5.0799999999999998E-2</v>
      </c>
      <c r="BX74" s="59">
        <v>2.7799999999999998E-2</v>
      </c>
      <c r="BY74" s="59">
        <v>0</v>
      </c>
      <c r="BZ74" s="59">
        <v>0</v>
      </c>
      <c r="CA74" s="49">
        <v>17.600000000000001</v>
      </c>
      <c r="CB74" s="59">
        <f t="shared" si="7"/>
        <v>7.8600000000000003E-2</v>
      </c>
      <c r="CC74" s="59">
        <v>0.214</v>
      </c>
      <c r="CD74" s="125">
        <v>0.50529999999999997</v>
      </c>
      <c r="CE74" s="125">
        <v>0.28070000000000001</v>
      </c>
      <c r="CF74" s="125">
        <v>0</v>
      </c>
      <c r="CG74" s="125">
        <v>0</v>
      </c>
      <c r="CH74" s="85">
        <v>14.5</v>
      </c>
      <c r="CI74" s="39" t="s">
        <v>168</v>
      </c>
      <c r="CJ74" s="18" t="s">
        <v>80</v>
      </c>
      <c r="CK74" s="20"/>
    </row>
    <row r="75" spans="1:99" x14ac:dyDescent="0.25">
      <c r="A75" s="18" t="s">
        <v>80</v>
      </c>
      <c r="B75" s="19" t="s">
        <v>167</v>
      </c>
      <c r="C75" s="39" t="s">
        <v>169</v>
      </c>
      <c r="D75" s="40">
        <v>0</v>
      </c>
      <c r="E75" s="40">
        <v>0</v>
      </c>
      <c r="F75" s="40">
        <v>0</v>
      </c>
      <c r="G75" s="166">
        <v>0</v>
      </c>
      <c r="H75" s="166">
        <v>0</v>
      </c>
      <c r="I75" s="166">
        <v>0</v>
      </c>
      <c r="J75" s="166">
        <v>0</v>
      </c>
      <c r="K75" s="166">
        <v>0</v>
      </c>
      <c r="L75" s="166">
        <v>0</v>
      </c>
      <c r="M75" s="166">
        <v>0</v>
      </c>
      <c r="N75" s="119">
        <v>0</v>
      </c>
      <c r="O75" s="119">
        <v>0</v>
      </c>
      <c r="P75" s="119">
        <v>0</v>
      </c>
      <c r="Q75" s="119">
        <v>0</v>
      </c>
      <c r="R75" s="119">
        <v>0</v>
      </c>
      <c r="S75" s="119">
        <v>0</v>
      </c>
      <c r="T75" s="119">
        <v>0</v>
      </c>
      <c r="U75" s="119">
        <v>0</v>
      </c>
      <c r="V75" s="119">
        <v>0</v>
      </c>
      <c r="W75" s="40">
        <v>464</v>
      </c>
      <c r="X75" s="40">
        <f t="shared" si="4"/>
        <v>133</v>
      </c>
      <c r="Y75" s="40">
        <f t="shared" si="5"/>
        <v>197</v>
      </c>
      <c r="Z75" s="105">
        <v>0.48899999999999999</v>
      </c>
      <c r="AA75" s="105">
        <v>0.51100000000000001</v>
      </c>
      <c r="AB75" s="106">
        <f>5/464</f>
        <v>1.0775862068965518E-2</v>
      </c>
      <c r="AC75" s="106">
        <v>0</v>
      </c>
      <c r="AD75" s="106">
        <f>7/464</f>
        <v>1.5086206896551725E-2</v>
      </c>
      <c r="AE75" s="106">
        <f>2/464</f>
        <v>4.3103448275862068E-3</v>
      </c>
      <c r="AF75" s="106">
        <v>0</v>
      </c>
      <c r="AG75" s="106">
        <f>449/464</f>
        <v>0.96767241379310343</v>
      </c>
      <c r="AH75" s="106">
        <f>1/464</f>
        <v>2.1551724137931034E-3</v>
      </c>
      <c r="AI75" s="106">
        <f>15/464</f>
        <v>3.2327586206896554E-2</v>
      </c>
      <c r="AJ75" s="105">
        <v>0.45474137931034481</v>
      </c>
      <c r="AK75" s="105">
        <v>4.0000000000000001E-3</v>
      </c>
      <c r="AL75" s="12">
        <v>39</v>
      </c>
      <c r="AM75" s="12">
        <v>25</v>
      </c>
      <c r="AN75" s="12">
        <v>2</v>
      </c>
      <c r="AO75" s="12">
        <v>30</v>
      </c>
      <c r="AP75" s="12">
        <v>40</v>
      </c>
      <c r="AQ75" s="12">
        <v>30</v>
      </c>
      <c r="AR75" s="12">
        <v>31</v>
      </c>
      <c r="AS75" s="59">
        <v>6.25E-2</v>
      </c>
      <c r="AT75" s="12">
        <v>1</v>
      </c>
      <c r="AU75" s="3">
        <v>6</v>
      </c>
      <c r="AV75" s="54">
        <v>82.790697674418595</v>
      </c>
      <c r="AW75" s="54">
        <v>13.488372093023257</v>
      </c>
      <c r="AX75" s="54">
        <v>1.3953488372093024</v>
      </c>
      <c r="AY75" s="68">
        <v>2.3255813953488373</v>
      </c>
      <c r="AZ75" s="59">
        <v>9.0543259557344061E-2</v>
      </c>
      <c r="BA75" s="59">
        <v>6.2374245472837021E-2</v>
      </c>
      <c r="BB75" s="81">
        <v>96</v>
      </c>
      <c r="BC75" s="49">
        <v>24.1596638655462</v>
      </c>
      <c r="BD75" s="49">
        <v>7.9</v>
      </c>
      <c r="BE75" s="93">
        <v>0</v>
      </c>
      <c r="BF75" s="49">
        <v>9.4</v>
      </c>
      <c r="BG75" s="49">
        <v>2.5</v>
      </c>
      <c r="BH75" s="49">
        <v>3.3</v>
      </c>
      <c r="BI75" s="49">
        <v>0</v>
      </c>
      <c r="BJ75" s="85">
        <v>21.5</v>
      </c>
      <c r="BK75" s="126">
        <v>11295</v>
      </c>
      <c r="BL75" s="126">
        <v>46123</v>
      </c>
      <c r="BM75" s="126">
        <v>51389</v>
      </c>
      <c r="BN75" s="126">
        <v>44634</v>
      </c>
      <c r="BO75" s="59">
        <v>0</v>
      </c>
      <c r="BP75" s="59">
        <v>0.47699999999999998</v>
      </c>
      <c r="BQ75" s="59">
        <v>0.23649999999999999</v>
      </c>
      <c r="BR75" s="59">
        <v>0</v>
      </c>
      <c r="BS75" s="59">
        <v>0</v>
      </c>
      <c r="BT75" s="49">
        <v>19.600000000000001</v>
      </c>
      <c r="BU75" s="59">
        <f t="shared" si="6"/>
        <v>0.71350000000000002</v>
      </c>
      <c r="BV75" s="59">
        <v>0</v>
      </c>
      <c r="BW75" s="59">
        <v>1.9699999999999999E-2</v>
      </c>
      <c r="BX75" s="59">
        <v>3.8600000000000002E-2</v>
      </c>
      <c r="BY75" s="59">
        <v>0</v>
      </c>
      <c r="BZ75" s="59">
        <v>0</v>
      </c>
      <c r="CA75" s="49">
        <v>11</v>
      </c>
      <c r="CB75" s="59">
        <f t="shared" si="7"/>
        <v>5.8300000000000005E-2</v>
      </c>
      <c r="CC75" s="59">
        <v>0.17319999999999999</v>
      </c>
      <c r="CD75" s="125">
        <v>0.52459999999999996</v>
      </c>
      <c r="CE75" s="125">
        <v>0.30220000000000002</v>
      </c>
      <c r="CF75" s="125">
        <v>0</v>
      </c>
      <c r="CG75" s="125">
        <v>0</v>
      </c>
      <c r="CH75" s="85">
        <v>17.899999999999999</v>
      </c>
      <c r="CI75" s="39" t="s">
        <v>169</v>
      </c>
      <c r="CJ75" s="18" t="s">
        <v>80</v>
      </c>
      <c r="CK75" s="20"/>
    </row>
    <row r="76" spans="1:99" ht="15.75" thickBot="1" x14ac:dyDescent="0.3">
      <c r="A76" s="18" t="s">
        <v>80</v>
      </c>
      <c r="B76" s="19" t="s">
        <v>167</v>
      </c>
      <c r="C76" s="39" t="s">
        <v>170</v>
      </c>
      <c r="D76" s="40">
        <v>17</v>
      </c>
      <c r="E76" s="40" t="s">
        <v>83</v>
      </c>
      <c r="F76" s="40">
        <v>17</v>
      </c>
      <c r="G76" s="162" t="s">
        <v>83</v>
      </c>
      <c r="H76" s="162" t="s">
        <v>83</v>
      </c>
      <c r="I76" s="166">
        <v>0</v>
      </c>
      <c r="J76" s="166">
        <v>7</v>
      </c>
      <c r="K76" s="166">
        <v>3</v>
      </c>
      <c r="L76" s="166">
        <v>3</v>
      </c>
      <c r="M76" s="166">
        <v>4</v>
      </c>
      <c r="N76" s="119">
        <v>3.3797216699801201E-2</v>
      </c>
      <c r="O76" s="119">
        <v>3.3797216699801201E-2</v>
      </c>
      <c r="P76" s="116" t="s">
        <v>83</v>
      </c>
      <c r="Q76" s="116" t="s">
        <v>83</v>
      </c>
      <c r="R76" s="119">
        <v>0</v>
      </c>
      <c r="S76" s="119">
        <v>4.6357615894039701E-2</v>
      </c>
      <c r="T76" s="119">
        <v>2.5000000000000001E-2</v>
      </c>
      <c r="U76" s="119">
        <v>2.6086956521739101E-2</v>
      </c>
      <c r="V76" s="119">
        <v>3.5398230088495602E-2</v>
      </c>
      <c r="W76" s="40">
        <v>465</v>
      </c>
      <c r="X76" s="40">
        <f t="shared" si="4"/>
        <v>465</v>
      </c>
      <c r="Y76" s="40">
        <f t="shared" si="5"/>
        <v>465</v>
      </c>
      <c r="Z76" s="105">
        <v>0.46200000000000002</v>
      </c>
      <c r="AA76" s="105">
        <v>0.53800000000000003</v>
      </c>
      <c r="AB76" s="106">
        <f>2/465</f>
        <v>4.3010752688172043E-3</v>
      </c>
      <c r="AC76" s="106">
        <f>3/465</f>
        <v>6.4516129032258064E-3</v>
      </c>
      <c r="AD76" s="106">
        <f>162/465</f>
        <v>0.34838709677419355</v>
      </c>
      <c r="AE76" s="106">
        <f>8/465</f>
        <v>1.7204301075268817E-2</v>
      </c>
      <c r="AF76" s="106">
        <v>0</v>
      </c>
      <c r="AG76" s="106">
        <f>282/465</f>
        <v>0.6064516129032258</v>
      </c>
      <c r="AH76" s="106">
        <f>8/465</f>
        <v>1.7204301075268817E-2</v>
      </c>
      <c r="AI76" s="106">
        <f>183/465</f>
        <v>0.3935483870967742</v>
      </c>
      <c r="AJ76" s="105">
        <v>0.57204301075268815</v>
      </c>
      <c r="AK76" s="105">
        <v>0</v>
      </c>
      <c r="AL76" s="12">
        <v>0</v>
      </c>
      <c r="AM76" s="12">
        <v>0</v>
      </c>
      <c r="AN76" s="12">
        <v>4</v>
      </c>
      <c r="AO76" s="12">
        <v>136</v>
      </c>
      <c r="AP76" s="12">
        <v>106</v>
      </c>
      <c r="AQ76" s="12">
        <v>110</v>
      </c>
      <c r="AR76" s="12">
        <v>109</v>
      </c>
      <c r="AS76" s="59">
        <v>2.8571428571428571E-2</v>
      </c>
      <c r="AT76" s="12">
        <v>9</v>
      </c>
      <c r="AU76" s="3">
        <v>6</v>
      </c>
      <c r="AV76" s="54">
        <v>67.826086956521735</v>
      </c>
      <c r="AW76" s="54">
        <v>26.521739130434785</v>
      </c>
      <c r="AX76" s="54">
        <v>5.6521739130434785</v>
      </c>
      <c r="AY76" s="68">
        <v>0</v>
      </c>
      <c r="AZ76" s="59">
        <v>7.5281013271658898E-2</v>
      </c>
      <c r="BA76" s="59">
        <v>0.22736418511066397</v>
      </c>
      <c r="BB76" s="76">
        <v>91.774557690014106</v>
      </c>
      <c r="BC76" s="49">
        <v>37.424547283702204</v>
      </c>
      <c r="BD76" s="90" t="s">
        <v>83</v>
      </c>
      <c r="BE76" s="90" t="s">
        <v>83</v>
      </c>
      <c r="BF76" s="49">
        <v>16.399999999999999</v>
      </c>
      <c r="BG76" s="49">
        <v>0</v>
      </c>
      <c r="BH76" s="49">
        <v>0</v>
      </c>
      <c r="BI76" s="49">
        <v>0</v>
      </c>
      <c r="BJ76" s="85">
        <v>20.399999999999999</v>
      </c>
      <c r="BK76" s="126">
        <v>9979</v>
      </c>
      <c r="BL76" s="126">
        <v>46713</v>
      </c>
      <c r="BM76" s="126">
        <v>48886</v>
      </c>
      <c r="BN76" s="126">
        <v>44543</v>
      </c>
      <c r="BO76" s="59">
        <v>0</v>
      </c>
      <c r="BP76" s="59">
        <v>0.39200000000000002</v>
      </c>
      <c r="BQ76" s="59">
        <v>0.24</v>
      </c>
      <c r="BR76" s="59">
        <v>0</v>
      </c>
      <c r="BS76" s="59">
        <v>1.29E-2</v>
      </c>
      <c r="BT76" s="49">
        <v>18.2</v>
      </c>
      <c r="BU76" s="59">
        <f t="shared" si="6"/>
        <v>0.64490000000000003</v>
      </c>
      <c r="BV76" s="59">
        <v>4.9200000000000001E-2</v>
      </c>
      <c r="BW76" s="59">
        <v>0</v>
      </c>
      <c r="BX76" s="59">
        <v>7.3499999999999996E-2</v>
      </c>
      <c r="BY76" s="59">
        <v>0</v>
      </c>
      <c r="BZ76" s="59">
        <v>0</v>
      </c>
      <c r="CA76" s="49">
        <v>29.8</v>
      </c>
      <c r="CB76" s="59">
        <f t="shared" si="7"/>
        <v>0.1227</v>
      </c>
      <c r="CC76" s="59">
        <v>0.221</v>
      </c>
      <c r="CD76" s="125">
        <v>0.39200000000000002</v>
      </c>
      <c r="CE76" s="125">
        <v>0.37409999999999999</v>
      </c>
      <c r="CF76" s="125">
        <v>0</v>
      </c>
      <c r="CG76" s="124">
        <v>1.29E-2</v>
      </c>
      <c r="CH76" s="85">
        <v>18.600000000000001</v>
      </c>
      <c r="CI76" s="39" t="s">
        <v>170</v>
      </c>
      <c r="CJ76" s="18" t="s">
        <v>80</v>
      </c>
      <c r="CK76" s="20"/>
    </row>
    <row r="77" spans="1:99" s="1" customFormat="1" ht="21" customHeight="1" x14ac:dyDescent="0.25">
      <c r="A77" s="21" t="s">
        <v>0</v>
      </c>
      <c r="B77" s="22" t="s">
        <v>1</v>
      </c>
      <c r="C77" s="22" t="s">
        <v>2</v>
      </c>
      <c r="D77" s="9" t="s">
        <v>3</v>
      </c>
      <c r="E77" s="9" t="s">
        <v>4</v>
      </c>
      <c r="F77" s="9" t="s">
        <v>5</v>
      </c>
      <c r="G77" s="161" t="s">
        <v>565</v>
      </c>
      <c r="H77" s="161" t="s">
        <v>566</v>
      </c>
      <c r="I77" s="161" t="s">
        <v>567</v>
      </c>
      <c r="J77" s="161" t="s">
        <v>568</v>
      </c>
      <c r="K77" s="161" t="s">
        <v>569</v>
      </c>
      <c r="L77" s="161" t="s">
        <v>570</v>
      </c>
      <c r="M77" s="161" t="s">
        <v>571</v>
      </c>
      <c r="N77" s="120" t="s">
        <v>6</v>
      </c>
      <c r="O77" s="120" t="s">
        <v>7</v>
      </c>
      <c r="P77" s="120" t="s">
        <v>8</v>
      </c>
      <c r="Q77" s="120" t="s">
        <v>9</v>
      </c>
      <c r="R77" s="120" t="s">
        <v>10</v>
      </c>
      <c r="S77" s="120" t="s">
        <v>11</v>
      </c>
      <c r="T77" s="120" t="s">
        <v>12</v>
      </c>
      <c r="U77" s="120" t="s">
        <v>13</v>
      </c>
      <c r="V77" s="120" t="s">
        <v>14</v>
      </c>
      <c r="W77" s="41" t="s">
        <v>15</v>
      </c>
      <c r="X77" s="41" t="s">
        <v>16</v>
      </c>
      <c r="Y77" s="41" t="s">
        <v>17</v>
      </c>
      <c r="Z77" s="107" t="s">
        <v>18</v>
      </c>
      <c r="AA77" s="107" t="s">
        <v>19</v>
      </c>
      <c r="AB77" s="95" t="s">
        <v>20</v>
      </c>
      <c r="AC77" s="95" t="s">
        <v>21</v>
      </c>
      <c r="AD77" s="95" t="s">
        <v>22</v>
      </c>
      <c r="AE77" s="95" t="s">
        <v>23</v>
      </c>
      <c r="AF77" s="95" t="s">
        <v>24</v>
      </c>
      <c r="AG77" s="95" t="s">
        <v>25</v>
      </c>
      <c r="AH77" s="95" t="s">
        <v>26</v>
      </c>
      <c r="AI77" s="95" t="s">
        <v>27</v>
      </c>
      <c r="AJ77" s="95" t="s">
        <v>28</v>
      </c>
      <c r="AK77" s="107" t="s">
        <v>29</v>
      </c>
      <c r="AL77" s="42" t="s">
        <v>30</v>
      </c>
      <c r="AM77" s="42" t="s">
        <v>31</v>
      </c>
      <c r="AN77" s="42" t="s">
        <v>32</v>
      </c>
      <c r="AO77" s="42" t="s">
        <v>33</v>
      </c>
      <c r="AP77" s="42" t="s">
        <v>34</v>
      </c>
      <c r="AQ77" s="42" t="s">
        <v>35</v>
      </c>
      <c r="AR77" s="42" t="s">
        <v>36</v>
      </c>
      <c r="AS77" s="100" t="s">
        <v>37</v>
      </c>
      <c r="AT77" s="41" t="s">
        <v>38</v>
      </c>
      <c r="AU77" s="23" t="s">
        <v>39</v>
      </c>
      <c r="AV77" s="51" t="s">
        <v>40</v>
      </c>
      <c r="AW77" s="51" t="s">
        <v>41</v>
      </c>
      <c r="AX77" s="51" t="s">
        <v>42</v>
      </c>
      <c r="AY77" s="66" t="s">
        <v>43</v>
      </c>
      <c r="AZ77" s="58" t="s">
        <v>44</v>
      </c>
      <c r="BA77" s="58" t="s">
        <v>45</v>
      </c>
      <c r="BB77" s="75" t="s">
        <v>46</v>
      </c>
      <c r="BC77" s="83" t="s">
        <v>47</v>
      </c>
      <c r="BD77" s="89" t="s">
        <v>48</v>
      </c>
      <c r="BE77" s="89" t="s">
        <v>49</v>
      </c>
      <c r="BF77" s="89" t="s">
        <v>50</v>
      </c>
      <c r="BG77" s="89" t="s">
        <v>51</v>
      </c>
      <c r="BH77" s="89" t="s">
        <v>52</v>
      </c>
      <c r="BI77" s="89" t="s">
        <v>53</v>
      </c>
      <c r="BJ77" s="86" t="s">
        <v>54</v>
      </c>
      <c r="BK77" s="123" t="s">
        <v>55</v>
      </c>
      <c r="BL77" s="123" t="s">
        <v>56</v>
      </c>
      <c r="BM77" s="123" t="s">
        <v>57</v>
      </c>
      <c r="BN77" s="123" t="s">
        <v>58</v>
      </c>
      <c r="BO77" s="131" t="s">
        <v>59</v>
      </c>
      <c r="BP77" s="131" t="s">
        <v>60</v>
      </c>
      <c r="BQ77" s="131" t="s">
        <v>61</v>
      </c>
      <c r="BR77" s="131" t="s">
        <v>62</v>
      </c>
      <c r="BS77" s="131" t="s">
        <v>63</v>
      </c>
      <c r="BT77" s="131" t="s">
        <v>64</v>
      </c>
      <c r="BU77" s="131" t="s">
        <v>65</v>
      </c>
      <c r="BV77" s="132" t="s">
        <v>66</v>
      </c>
      <c r="BW77" s="132" t="s">
        <v>67</v>
      </c>
      <c r="BX77" s="132" t="s">
        <v>68</v>
      </c>
      <c r="BY77" s="132" t="s">
        <v>69</v>
      </c>
      <c r="BZ77" s="132" t="s">
        <v>70</v>
      </c>
      <c r="CA77" s="132" t="s">
        <v>71</v>
      </c>
      <c r="CB77" s="132" t="s">
        <v>72</v>
      </c>
      <c r="CC77" s="123" t="s">
        <v>73</v>
      </c>
      <c r="CD77" s="123" t="s">
        <v>74</v>
      </c>
      <c r="CE77" s="123" t="s">
        <v>75</v>
      </c>
      <c r="CF77" s="123" t="s">
        <v>76</v>
      </c>
      <c r="CG77" s="123" t="s">
        <v>77</v>
      </c>
      <c r="CH77" s="123" t="s">
        <v>78</v>
      </c>
      <c r="CI77" s="22" t="s">
        <v>2</v>
      </c>
      <c r="CJ77" s="21" t="s">
        <v>0</v>
      </c>
      <c r="CK77" s="24" t="s">
        <v>79</v>
      </c>
      <c r="CL77"/>
      <c r="CM77"/>
      <c r="CN77"/>
      <c r="CO77"/>
      <c r="CP77"/>
      <c r="CQ77"/>
      <c r="CR77"/>
      <c r="CS77"/>
      <c r="CT77"/>
      <c r="CU77"/>
    </row>
    <row r="78" spans="1:99" x14ac:dyDescent="0.25">
      <c r="A78" s="18" t="s">
        <v>80</v>
      </c>
      <c r="B78" s="19" t="s">
        <v>171</v>
      </c>
      <c r="C78" s="39" t="s">
        <v>172</v>
      </c>
      <c r="D78" s="40">
        <v>7</v>
      </c>
      <c r="E78" s="40">
        <v>1</v>
      </c>
      <c r="F78" s="40">
        <v>6</v>
      </c>
      <c r="G78" s="166">
        <v>0</v>
      </c>
      <c r="H78" s="166">
        <v>1</v>
      </c>
      <c r="I78" s="166">
        <v>0</v>
      </c>
      <c r="J78" s="166">
        <v>3</v>
      </c>
      <c r="K78" s="166">
        <v>0</v>
      </c>
      <c r="L78" s="166">
        <v>0</v>
      </c>
      <c r="M78" s="166">
        <v>3</v>
      </c>
      <c r="N78" s="119">
        <v>2.09580838323353E-2</v>
      </c>
      <c r="O78" s="119">
        <v>2.7149321266968299E-2</v>
      </c>
      <c r="P78" s="119">
        <v>0</v>
      </c>
      <c r="Q78" s="119">
        <v>1.6949152542372899E-2</v>
      </c>
      <c r="R78" s="119">
        <v>0</v>
      </c>
      <c r="S78" s="119">
        <v>4.7619047619047603E-2</v>
      </c>
      <c r="T78" s="119">
        <v>0</v>
      </c>
      <c r="U78" s="119">
        <v>0</v>
      </c>
      <c r="V78" s="119">
        <v>6.3829787234042507E-2</v>
      </c>
      <c r="W78" s="40">
        <v>665</v>
      </c>
      <c r="X78" s="40">
        <f t="shared" ref="X78:X128" si="8">SUM(AN78:AR78)</f>
        <v>189</v>
      </c>
      <c r="Y78" s="40">
        <f t="shared" si="5"/>
        <v>285</v>
      </c>
      <c r="Z78" s="105">
        <v>0.48699999999999999</v>
      </c>
      <c r="AA78" s="105">
        <v>0.51300000000000001</v>
      </c>
      <c r="AB78" s="106">
        <f>1/665</f>
        <v>1.5037593984962407E-3</v>
      </c>
      <c r="AC78" s="106">
        <v>0</v>
      </c>
      <c r="AD78" s="106">
        <f>257/665</f>
        <v>0.38646616541353385</v>
      </c>
      <c r="AE78" s="106">
        <f>26/665</f>
        <v>3.9097744360902256E-2</v>
      </c>
      <c r="AF78" s="106">
        <f>1/665</f>
        <v>1.5037593984962407E-3</v>
      </c>
      <c r="AG78" s="106">
        <f>369/665</f>
        <v>0.55488721804511276</v>
      </c>
      <c r="AH78" s="106">
        <f>11/665</f>
        <v>1.6541353383458645E-2</v>
      </c>
      <c r="AI78" s="106">
        <f>296/665</f>
        <v>0.44511278195488724</v>
      </c>
      <c r="AJ78" s="105">
        <v>0.66616541353383463</v>
      </c>
      <c r="AK78" s="105">
        <v>1.7000000000000001E-2</v>
      </c>
      <c r="AL78" s="12">
        <v>44</v>
      </c>
      <c r="AM78" s="12">
        <v>52</v>
      </c>
      <c r="AN78" s="12">
        <v>10</v>
      </c>
      <c r="AO78" s="12">
        <v>48</v>
      </c>
      <c r="AP78" s="12">
        <v>42</v>
      </c>
      <c r="AQ78" s="12">
        <v>48</v>
      </c>
      <c r="AR78" s="12">
        <v>41</v>
      </c>
      <c r="AS78" s="59">
        <v>0.17241379310344829</v>
      </c>
      <c r="AT78" s="12">
        <v>1</v>
      </c>
      <c r="AU78" s="3">
        <v>6</v>
      </c>
      <c r="AV78" s="54">
        <v>69.375</v>
      </c>
      <c r="AW78" s="54">
        <v>24.375</v>
      </c>
      <c r="AX78" s="54">
        <v>3.4375000000000004</v>
      </c>
      <c r="AY78" s="68">
        <v>2.8125</v>
      </c>
      <c r="AZ78" s="59">
        <v>0.10263157894736842</v>
      </c>
      <c r="BA78" s="59">
        <v>3.9537824796399293E-2</v>
      </c>
      <c r="BB78" s="76">
        <v>94.483459850571407</v>
      </c>
      <c r="BC78" s="49">
        <v>22.0650636492221</v>
      </c>
      <c r="BD78" s="49">
        <v>2.1</v>
      </c>
      <c r="BE78" s="93">
        <v>0</v>
      </c>
      <c r="BF78" s="49">
        <v>0</v>
      </c>
      <c r="BG78" s="49">
        <v>5</v>
      </c>
      <c r="BH78" s="49">
        <v>0</v>
      </c>
      <c r="BI78" s="49">
        <v>0</v>
      </c>
      <c r="BJ78" s="85">
        <v>18.8</v>
      </c>
      <c r="BK78" s="129">
        <v>16880</v>
      </c>
      <c r="BL78" s="129">
        <v>62540</v>
      </c>
      <c r="BM78" s="129">
        <v>56254</v>
      </c>
      <c r="BN78" s="129">
        <v>48235</v>
      </c>
      <c r="BO78" s="59">
        <v>0</v>
      </c>
      <c r="BP78" s="59">
        <v>0.38159999999999999</v>
      </c>
      <c r="BQ78" s="59">
        <v>0.1244</v>
      </c>
      <c r="BR78" s="59">
        <v>1.04E-2</v>
      </c>
      <c r="BS78" s="59">
        <v>0</v>
      </c>
      <c r="BT78" s="49">
        <v>15.8</v>
      </c>
      <c r="BU78" s="59">
        <f t="shared" si="6"/>
        <v>0.51639999999999997</v>
      </c>
      <c r="BV78" s="59">
        <v>2.0799999999999999E-2</v>
      </c>
      <c r="BW78" s="59">
        <v>0</v>
      </c>
      <c r="BX78" s="59">
        <v>1.04E-2</v>
      </c>
      <c r="BY78" s="59">
        <v>0</v>
      </c>
      <c r="BZ78" s="59">
        <v>1.04E-2</v>
      </c>
      <c r="CA78" s="49">
        <v>14.8</v>
      </c>
      <c r="CB78" s="59">
        <f t="shared" si="7"/>
        <v>4.1599999999999998E-2</v>
      </c>
      <c r="CC78" s="59">
        <v>0.42130000000000001</v>
      </c>
      <c r="CD78" s="125">
        <v>0.4128</v>
      </c>
      <c r="CE78" s="125">
        <v>0.1452</v>
      </c>
      <c r="CF78" s="125">
        <v>1.04E-2</v>
      </c>
      <c r="CG78" s="125">
        <v>1.04E-2</v>
      </c>
      <c r="CH78" s="85">
        <v>14.4</v>
      </c>
      <c r="CI78" s="39" t="s">
        <v>172</v>
      </c>
      <c r="CJ78" s="18" t="s">
        <v>80</v>
      </c>
      <c r="CK78" s="20"/>
    </row>
    <row r="79" spans="1:99" x14ac:dyDescent="0.25">
      <c r="A79" s="18" t="s">
        <v>80</v>
      </c>
      <c r="B79" s="19" t="s">
        <v>171</v>
      </c>
      <c r="C79" s="39" t="s">
        <v>173</v>
      </c>
      <c r="D79" s="40">
        <v>7</v>
      </c>
      <c r="E79" s="40" t="s">
        <v>83</v>
      </c>
      <c r="F79" s="40">
        <v>7</v>
      </c>
      <c r="G79" s="162" t="s">
        <v>83</v>
      </c>
      <c r="H79" s="162" t="s">
        <v>83</v>
      </c>
      <c r="I79" s="166">
        <v>1</v>
      </c>
      <c r="J79" s="166">
        <v>1</v>
      </c>
      <c r="K79" s="166">
        <v>0</v>
      </c>
      <c r="L79" s="166">
        <v>0</v>
      </c>
      <c r="M79" s="166">
        <v>5</v>
      </c>
      <c r="N79" s="119">
        <v>1.5151515151515201E-2</v>
      </c>
      <c r="O79" s="119">
        <v>1.5151515151515201E-2</v>
      </c>
      <c r="P79" s="116" t="s">
        <v>83</v>
      </c>
      <c r="Q79" s="116" t="s">
        <v>83</v>
      </c>
      <c r="R79" s="119">
        <v>4.3478260869565202E-2</v>
      </c>
      <c r="S79" s="119">
        <v>9.0909090909090905E-3</v>
      </c>
      <c r="T79" s="119">
        <v>0</v>
      </c>
      <c r="U79" s="119">
        <v>0</v>
      </c>
      <c r="V79" s="119">
        <v>5.6818181818181802E-2</v>
      </c>
      <c r="W79" s="40">
        <v>431</v>
      </c>
      <c r="X79" s="40">
        <f t="shared" si="8"/>
        <v>431</v>
      </c>
      <c r="Y79" s="40">
        <f t="shared" si="5"/>
        <v>431</v>
      </c>
      <c r="Z79" s="105">
        <v>0.499</v>
      </c>
      <c r="AA79" s="105">
        <v>0.501</v>
      </c>
      <c r="AB79" s="106">
        <f>1/431</f>
        <v>2.3201856148491878E-3</v>
      </c>
      <c r="AC79" s="106">
        <f>1/431</f>
        <v>2.3201856148491878E-3</v>
      </c>
      <c r="AD79" s="106">
        <f>389/431</f>
        <v>0.90255220417633408</v>
      </c>
      <c r="AE79" s="106">
        <f>7/431</f>
        <v>1.6241299303944315E-2</v>
      </c>
      <c r="AF79" s="106">
        <v>0</v>
      </c>
      <c r="AG79" s="106">
        <f>31/431</f>
        <v>7.1925754060324823E-2</v>
      </c>
      <c r="AH79" s="106">
        <f>2/431</f>
        <v>4.6403712296983757E-3</v>
      </c>
      <c r="AI79" s="106">
        <f>400/431</f>
        <v>0.92807424593967514</v>
      </c>
      <c r="AJ79" s="105">
        <v>0.83990719257540603</v>
      </c>
      <c r="AK79" s="105">
        <v>1.4E-2</v>
      </c>
      <c r="AL79" s="12">
        <v>0</v>
      </c>
      <c r="AM79" s="12">
        <v>0</v>
      </c>
      <c r="AN79" s="12">
        <v>26</v>
      </c>
      <c r="AO79" s="12">
        <v>100</v>
      </c>
      <c r="AP79" s="12">
        <v>122</v>
      </c>
      <c r="AQ79" s="12">
        <v>101</v>
      </c>
      <c r="AR79" s="12">
        <v>82</v>
      </c>
      <c r="AS79" s="59">
        <v>0.20634920634920634</v>
      </c>
      <c r="AT79" s="12">
        <v>9</v>
      </c>
      <c r="AU79" s="3">
        <v>6</v>
      </c>
      <c r="AV79" s="54">
        <v>77.837837837837839</v>
      </c>
      <c r="AW79" s="54">
        <v>17.567567567567568</v>
      </c>
      <c r="AX79" s="54">
        <v>4.3243243243243246</v>
      </c>
      <c r="AY79" s="68">
        <v>0.27027027027027029</v>
      </c>
      <c r="AZ79" s="59">
        <v>0.40393013100436681</v>
      </c>
      <c r="BA79" s="59">
        <v>0.10079083316924003</v>
      </c>
      <c r="BB79" s="77">
        <v>93.678389204538405</v>
      </c>
      <c r="BC79" s="49">
        <v>15.145228215767601</v>
      </c>
      <c r="BD79" s="90" t="s">
        <v>83</v>
      </c>
      <c r="BE79" s="90" t="s">
        <v>83</v>
      </c>
      <c r="BF79" s="49">
        <v>0</v>
      </c>
      <c r="BG79" s="49">
        <v>0.9</v>
      </c>
      <c r="BH79" s="49">
        <v>0</v>
      </c>
      <c r="BI79" s="49">
        <v>2.8</v>
      </c>
      <c r="BJ79" s="85">
        <v>16.5</v>
      </c>
      <c r="BK79" s="129">
        <v>18056</v>
      </c>
      <c r="BL79" s="129">
        <v>59396</v>
      </c>
      <c r="BM79" s="129">
        <v>69602</v>
      </c>
      <c r="BN79" s="129">
        <v>52252</v>
      </c>
      <c r="BO79" s="59">
        <v>1.6899999999999998E-2</v>
      </c>
      <c r="BP79" s="59">
        <v>0.35320000000000001</v>
      </c>
      <c r="BQ79" s="59">
        <v>0.2253</v>
      </c>
      <c r="BR79" s="59">
        <v>0</v>
      </c>
      <c r="BS79" s="59">
        <v>1.6899999999999998E-2</v>
      </c>
      <c r="BT79" s="49">
        <v>10.7</v>
      </c>
      <c r="BU79" s="59">
        <f t="shared" si="6"/>
        <v>0.61229999999999996</v>
      </c>
      <c r="BV79" s="59">
        <v>3.3799999999999997E-2</v>
      </c>
      <c r="BW79" s="59">
        <v>0</v>
      </c>
      <c r="BX79" s="59">
        <v>5.0599999999999999E-2</v>
      </c>
      <c r="BY79" s="59">
        <v>0</v>
      </c>
      <c r="BZ79" s="59">
        <v>0</v>
      </c>
      <c r="CA79" s="49">
        <v>22.8</v>
      </c>
      <c r="CB79" s="59">
        <f t="shared" si="7"/>
        <v>8.4400000000000003E-2</v>
      </c>
      <c r="CC79" s="59">
        <v>0.30330000000000001</v>
      </c>
      <c r="CD79" s="125">
        <v>0.37009999999999998</v>
      </c>
      <c r="CE79" s="125">
        <v>0.29289999999999999</v>
      </c>
      <c r="CF79" s="125">
        <v>0</v>
      </c>
      <c r="CG79" s="125">
        <v>3.3799999999999997E-2</v>
      </c>
      <c r="CH79" s="85">
        <v>12.2</v>
      </c>
      <c r="CI79" s="39" t="s">
        <v>173</v>
      </c>
      <c r="CJ79" s="18" t="s">
        <v>80</v>
      </c>
      <c r="CK79" s="20"/>
    </row>
    <row r="80" spans="1:99" x14ac:dyDescent="0.25">
      <c r="A80" s="18" t="s">
        <v>80</v>
      </c>
      <c r="B80" s="19" t="s">
        <v>171</v>
      </c>
      <c r="C80" s="39" t="s">
        <v>174</v>
      </c>
      <c r="D80" s="40">
        <v>1</v>
      </c>
      <c r="E80" s="40">
        <v>0</v>
      </c>
      <c r="F80" s="40">
        <v>1</v>
      </c>
      <c r="G80" s="166">
        <v>0</v>
      </c>
      <c r="H80" s="166">
        <v>0</v>
      </c>
      <c r="I80" s="166">
        <v>0</v>
      </c>
      <c r="J80" s="166">
        <v>0</v>
      </c>
      <c r="K80" s="166">
        <v>0</v>
      </c>
      <c r="L80" s="166">
        <v>1</v>
      </c>
      <c r="M80" s="166">
        <v>0</v>
      </c>
      <c r="N80" s="119">
        <v>5.1020408163265302E-3</v>
      </c>
      <c r="O80" s="119">
        <v>7.5757575757575803E-3</v>
      </c>
      <c r="P80" s="119">
        <v>0</v>
      </c>
      <c r="Q80" s="119">
        <v>0</v>
      </c>
      <c r="R80" s="119">
        <v>0</v>
      </c>
      <c r="S80" s="119">
        <v>0</v>
      </c>
      <c r="T80" s="119">
        <v>0</v>
      </c>
      <c r="U80" s="119">
        <v>2.9411764705882401E-2</v>
      </c>
      <c r="V80" s="119">
        <v>0</v>
      </c>
      <c r="W80" s="40">
        <v>446</v>
      </c>
      <c r="X80" s="40">
        <f t="shared" si="8"/>
        <v>127</v>
      </c>
      <c r="Y80" s="40">
        <f t="shared" si="5"/>
        <v>186</v>
      </c>
      <c r="Z80" s="105">
        <v>0.46</v>
      </c>
      <c r="AA80" s="105">
        <v>0.54</v>
      </c>
      <c r="AB80" s="106">
        <f>2/446</f>
        <v>4.4843049327354259E-3</v>
      </c>
      <c r="AC80" s="106">
        <v>0</v>
      </c>
      <c r="AD80" s="106">
        <f>94/446</f>
        <v>0.21076233183856502</v>
      </c>
      <c r="AE80" s="106">
        <f>7/446</f>
        <v>1.5695067264573991E-2</v>
      </c>
      <c r="AF80" s="106">
        <f>4/446</f>
        <v>8.9686098654708519E-3</v>
      </c>
      <c r="AG80" s="106">
        <f>333/446</f>
        <v>0.74663677130044848</v>
      </c>
      <c r="AH80" s="106">
        <f>6/446</f>
        <v>1.3452914798206279E-2</v>
      </c>
      <c r="AI80" s="106">
        <f>113/446</f>
        <v>0.25336322869955158</v>
      </c>
      <c r="AJ80" s="105">
        <v>0.54260089686098656</v>
      </c>
      <c r="AK80" s="105">
        <v>0</v>
      </c>
      <c r="AL80" s="12">
        <v>22</v>
      </c>
      <c r="AM80" s="12">
        <v>37</v>
      </c>
      <c r="AN80" s="12">
        <v>2</v>
      </c>
      <c r="AO80" s="12">
        <v>38</v>
      </c>
      <c r="AP80" s="12">
        <v>29</v>
      </c>
      <c r="AQ80" s="12">
        <v>32</v>
      </c>
      <c r="AR80" s="12">
        <v>26</v>
      </c>
      <c r="AS80" s="59">
        <v>0.05</v>
      </c>
      <c r="AT80" s="12">
        <v>1</v>
      </c>
      <c r="AU80" s="3">
        <v>6</v>
      </c>
      <c r="AV80" s="54">
        <v>69.767441860465112</v>
      </c>
      <c r="AW80" s="54">
        <v>20.348837209302324</v>
      </c>
      <c r="AX80" s="54">
        <v>9.3023255813953494</v>
      </c>
      <c r="AY80" s="68">
        <v>0.58139534883720934</v>
      </c>
      <c r="AZ80" s="59">
        <v>0.19491525423728814</v>
      </c>
      <c r="BA80" s="59">
        <v>3.7824482886290214E-2</v>
      </c>
      <c r="BB80" s="76">
        <v>94.566393575740904</v>
      </c>
      <c r="BC80" s="49">
        <v>17.920353982300899</v>
      </c>
      <c r="BD80" s="49">
        <v>4.5</v>
      </c>
      <c r="BE80" s="49">
        <v>2.6</v>
      </c>
      <c r="BF80" s="49">
        <v>2.6</v>
      </c>
      <c r="BG80" s="49">
        <v>0</v>
      </c>
      <c r="BH80" s="49">
        <v>0</v>
      </c>
      <c r="BI80" s="49">
        <v>0</v>
      </c>
      <c r="BJ80" s="85">
        <v>19.2</v>
      </c>
      <c r="BK80" s="129">
        <v>15977</v>
      </c>
      <c r="BL80" s="129">
        <v>61858</v>
      </c>
      <c r="BM80" s="129">
        <v>94416</v>
      </c>
      <c r="BN80" s="129">
        <v>50812</v>
      </c>
      <c r="BO80" s="59">
        <v>0</v>
      </c>
      <c r="BP80" s="59">
        <v>0.37040000000000001</v>
      </c>
      <c r="BQ80" s="59">
        <v>0.1988</v>
      </c>
      <c r="BR80" s="59">
        <v>0</v>
      </c>
      <c r="BS80" s="59">
        <v>0</v>
      </c>
      <c r="BT80" s="49">
        <v>15.5</v>
      </c>
      <c r="BU80" s="59">
        <f t="shared" si="6"/>
        <v>0.56920000000000004</v>
      </c>
      <c r="BV80" s="59">
        <v>0</v>
      </c>
      <c r="BW80" s="59">
        <v>0</v>
      </c>
      <c r="BX80" s="59">
        <v>3.5299999999999998E-2</v>
      </c>
      <c r="BY80" s="59">
        <v>0</v>
      </c>
      <c r="BZ80" s="59">
        <v>0</v>
      </c>
      <c r="CA80" s="49">
        <v>29.5</v>
      </c>
      <c r="CB80" s="59">
        <f t="shared" si="7"/>
        <v>3.5299999999999998E-2</v>
      </c>
      <c r="CC80" s="59">
        <v>0.3609</v>
      </c>
      <c r="CD80" s="125">
        <v>0.38750000000000001</v>
      </c>
      <c r="CE80" s="125">
        <v>0.25159999999999999</v>
      </c>
      <c r="CF80" s="125">
        <v>0</v>
      </c>
      <c r="CG80" s="125">
        <v>0</v>
      </c>
      <c r="CH80" s="85">
        <v>14.7</v>
      </c>
      <c r="CI80" s="39" t="s">
        <v>174</v>
      </c>
      <c r="CJ80" s="18" t="s">
        <v>80</v>
      </c>
      <c r="CK80" s="20"/>
    </row>
    <row r="81" spans="1:89" x14ac:dyDescent="0.25">
      <c r="A81" s="18" t="s">
        <v>80</v>
      </c>
      <c r="B81" s="19" t="s">
        <v>171</v>
      </c>
      <c r="C81" s="39" t="s">
        <v>175</v>
      </c>
      <c r="D81" s="40">
        <v>7</v>
      </c>
      <c r="E81" s="40" t="s">
        <v>83</v>
      </c>
      <c r="F81" s="40">
        <v>7</v>
      </c>
      <c r="G81" s="162" t="s">
        <v>83</v>
      </c>
      <c r="H81" s="162" t="s">
        <v>83</v>
      </c>
      <c r="I81" s="166">
        <v>0</v>
      </c>
      <c r="J81" s="166">
        <v>1</v>
      </c>
      <c r="K81" s="166">
        <v>5</v>
      </c>
      <c r="L81" s="166">
        <v>1</v>
      </c>
      <c r="M81" s="166">
        <v>0</v>
      </c>
      <c r="N81" s="119">
        <v>9.9573257467994308E-3</v>
      </c>
      <c r="O81" s="119">
        <v>9.9573257467994308E-3</v>
      </c>
      <c r="P81" s="116" t="s">
        <v>83</v>
      </c>
      <c r="Q81" s="116" t="s">
        <v>83</v>
      </c>
      <c r="R81" s="119">
        <v>0</v>
      </c>
      <c r="S81" s="119">
        <v>4.6296296296296302E-3</v>
      </c>
      <c r="T81" s="119">
        <v>2.7624309392265199E-2</v>
      </c>
      <c r="U81" s="119">
        <v>6.5359477124183E-3</v>
      </c>
      <c r="V81" s="119">
        <v>0</v>
      </c>
      <c r="W81" s="40">
        <v>652</v>
      </c>
      <c r="X81" s="40">
        <f t="shared" si="8"/>
        <v>652</v>
      </c>
      <c r="Y81" s="40">
        <f t="shared" si="5"/>
        <v>652</v>
      </c>
      <c r="Z81" s="105">
        <v>0.46200000000000002</v>
      </c>
      <c r="AA81" s="105">
        <v>0.53800000000000003</v>
      </c>
      <c r="AB81" s="106">
        <f>2/652</f>
        <v>3.0674846625766872E-3</v>
      </c>
      <c r="AC81" s="106">
        <f>2/652</f>
        <v>3.0674846625766872E-3</v>
      </c>
      <c r="AD81" s="106">
        <f>138/652</f>
        <v>0.21165644171779141</v>
      </c>
      <c r="AE81" s="106">
        <f>15/652</f>
        <v>2.3006134969325152E-2</v>
      </c>
      <c r="AF81" s="106">
        <v>0</v>
      </c>
      <c r="AG81" s="106">
        <f>491/652</f>
        <v>0.75306748466257667</v>
      </c>
      <c r="AH81" s="106">
        <f>4/652</f>
        <v>6.1349693251533744E-3</v>
      </c>
      <c r="AI81" s="106">
        <f>161/652</f>
        <v>0.2469325153374233</v>
      </c>
      <c r="AJ81" s="105">
        <v>0.42177914110429449</v>
      </c>
      <c r="AK81" s="105">
        <v>1.2E-2</v>
      </c>
      <c r="AL81" s="12">
        <v>0</v>
      </c>
      <c r="AM81" s="12">
        <v>0</v>
      </c>
      <c r="AN81" s="12">
        <v>4</v>
      </c>
      <c r="AO81" s="12">
        <v>192</v>
      </c>
      <c r="AP81" s="12">
        <v>166</v>
      </c>
      <c r="AQ81" s="12">
        <v>145</v>
      </c>
      <c r="AR81" s="12">
        <v>145</v>
      </c>
      <c r="AS81" s="59">
        <v>2.0408163265306121E-2</v>
      </c>
      <c r="AT81" s="12">
        <v>9</v>
      </c>
      <c r="AU81" s="3">
        <v>6</v>
      </c>
      <c r="AV81" s="54">
        <v>65.963060686015822</v>
      </c>
      <c r="AW81" s="54">
        <v>19.525065963060687</v>
      </c>
      <c r="AX81" s="54">
        <v>14.511873350923482</v>
      </c>
      <c r="AY81" s="68">
        <v>0</v>
      </c>
      <c r="AZ81" s="59">
        <v>0.21602288984263232</v>
      </c>
      <c r="BA81" s="59">
        <v>1.2873782629924689E-2</v>
      </c>
      <c r="BB81" s="77">
        <v>94.134328318567697</v>
      </c>
      <c r="BC81" s="49">
        <v>9.5170454545454604</v>
      </c>
      <c r="BD81" s="90" t="s">
        <v>83</v>
      </c>
      <c r="BE81" s="90" t="s">
        <v>83</v>
      </c>
      <c r="BF81" s="49">
        <v>7.5</v>
      </c>
      <c r="BG81" s="49">
        <v>3.1</v>
      </c>
      <c r="BH81" s="49">
        <v>2.2000000000000002</v>
      </c>
      <c r="BI81" s="49">
        <v>0</v>
      </c>
      <c r="BJ81" s="85">
        <v>18.899999999999999</v>
      </c>
      <c r="BK81" s="129">
        <v>14441</v>
      </c>
      <c r="BL81" s="129">
        <v>63072</v>
      </c>
      <c r="BM81" s="129">
        <v>67371</v>
      </c>
      <c r="BN81" s="129">
        <v>54284</v>
      </c>
      <c r="BO81" s="59">
        <v>7.4999999999999997E-3</v>
      </c>
      <c r="BP81" s="59">
        <v>0.47189999999999999</v>
      </c>
      <c r="BQ81" s="59">
        <v>0.1341</v>
      </c>
      <c r="BR81" s="59">
        <v>0</v>
      </c>
      <c r="BS81" s="59">
        <v>1.49E-2</v>
      </c>
      <c r="BT81" s="49">
        <v>13.6</v>
      </c>
      <c r="BU81" s="59">
        <f t="shared" si="6"/>
        <v>0.62839999999999996</v>
      </c>
      <c r="BV81" s="59">
        <v>2.98E-2</v>
      </c>
      <c r="BW81" s="59">
        <v>0</v>
      </c>
      <c r="BX81" s="59">
        <v>4.4299999999999999E-2</v>
      </c>
      <c r="BY81" s="59">
        <v>0</v>
      </c>
      <c r="BZ81" s="59">
        <v>0</v>
      </c>
      <c r="CA81" s="49">
        <v>19.899999999999999</v>
      </c>
      <c r="CB81" s="59">
        <f t="shared" si="7"/>
        <v>7.4099999999999999E-2</v>
      </c>
      <c r="CC81" s="59">
        <v>0.30499999999999999</v>
      </c>
      <c r="CD81" s="125">
        <v>0.47189999999999999</v>
      </c>
      <c r="CE81" s="125">
        <v>0.2082</v>
      </c>
      <c r="CF81" s="125">
        <v>0</v>
      </c>
      <c r="CG81" s="125">
        <v>1.49E-2</v>
      </c>
      <c r="CH81" s="85">
        <v>12.8</v>
      </c>
      <c r="CI81" s="39" t="s">
        <v>175</v>
      </c>
      <c r="CJ81" s="18" t="s">
        <v>80</v>
      </c>
      <c r="CK81" s="20"/>
    </row>
    <row r="82" spans="1:89" x14ac:dyDescent="0.25">
      <c r="A82" s="18" t="s">
        <v>80</v>
      </c>
      <c r="B82" s="19" t="s">
        <v>176</v>
      </c>
      <c r="C82" s="39" t="s">
        <v>177</v>
      </c>
      <c r="D82" s="40">
        <v>1</v>
      </c>
      <c r="E82" s="40" t="s">
        <v>83</v>
      </c>
      <c r="F82" s="40">
        <v>1</v>
      </c>
      <c r="G82" s="162" t="s">
        <v>83</v>
      </c>
      <c r="H82" s="162" t="s">
        <v>83</v>
      </c>
      <c r="I82" s="162" t="s">
        <v>83</v>
      </c>
      <c r="J82" s="166">
        <v>0</v>
      </c>
      <c r="K82" s="166">
        <v>1</v>
      </c>
      <c r="L82" s="166">
        <v>0</v>
      </c>
      <c r="M82" s="166">
        <v>0</v>
      </c>
      <c r="N82" s="119">
        <v>6.7159167226326397E-4</v>
      </c>
      <c r="O82" s="119">
        <v>6.7159167226326397E-4</v>
      </c>
      <c r="P82" s="116" t="s">
        <v>83</v>
      </c>
      <c r="Q82" s="116" t="s">
        <v>83</v>
      </c>
      <c r="R82" s="116" t="s">
        <v>83</v>
      </c>
      <c r="S82" s="119">
        <v>0</v>
      </c>
      <c r="T82" s="119">
        <v>2.3980815347721799E-3</v>
      </c>
      <c r="U82" s="119">
        <v>0</v>
      </c>
      <c r="V82" s="119">
        <v>0</v>
      </c>
      <c r="W82" s="40">
        <v>1477</v>
      </c>
      <c r="X82" s="40">
        <f t="shared" si="8"/>
        <v>1477</v>
      </c>
      <c r="Y82" s="40">
        <f t="shared" si="5"/>
        <v>1477</v>
      </c>
      <c r="Z82" s="105">
        <v>0.65</v>
      </c>
      <c r="AA82" s="105">
        <v>0.35</v>
      </c>
      <c r="AB82" s="106">
        <f>1/1477</f>
        <v>6.770480704129993E-4</v>
      </c>
      <c r="AC82" s="106">
        <f>205/1477</f>
        <v>0.13879485443466485</v>
      </c>
      <c r="AD82" s="106">
        <f>699/1477</f>
        <v>0.47325660121868651</v>
      </c>
      <c r="AE82" s="106">
        <f>50/1477</f>
        <v>3.3852403520649964E-2</v>
      </c>
      <c r="AF82" s="106">
        <f>2/1477</f>
        <v>1.3540961408259986E-3</v>
      </c>
      <c r="AG82" s="106">
        <f>502/1477</f>
        <v>0.33987813134732564</v>
      </c>
      <c r="AH82" s="106">
        <f>18/1477</f>
        <v>1.2186865267433988E-2</v>
      </c>
      <c r="AI82" s="106">
        <f>975/1477</f>
        <v>0.6601218686526743</v>
      </c>
      <c r="AJ82" s="105">
        <v>0.36763710223425861</v>
      </c>
      <c r="AK82" s="105">
        <v>0</v>
      </c>
      <c r="AL82" s="12">
        <v>0</v>
      </c>
      <c r="AM82" s="12">
        <v>0</v>
      </c>
      <c r="AN82" s="12">
        <v>0</v>
      </c>
      <c r="AO82" s="12">
        <v>409</v>
      </c>
      <c r="AP82" s="12">
        <v>415</v>
      </c>
      <c r="AQ82" s="12">
        <v>356</v>
      </c>
      <c r="AR82" s="12">
        <v>297</v>
      </c>
      <c r="AS82" s="59">
        <v>0</v>
      </c>
      <c r="AT82" s="12">
        <v>9</v>
      </c>
      <c r="AU82" s="3">
        <v>7</v>
      </c>
      <c r="AV82" s="54">
        <v>37.132352941176471</v>
      </c>
      <c r="AW82" s="54">
        <v>12.867647058823529</v>
      </c>
      <c r="AX82" s="54">
        <v>21.323529411764707</v>
      </c>
      <c r="AY82" s="68">
        <v>28.676470588235293</v>
      </c>
      <c r="AZ82" s="59">
        <v>8.9993284083277364E-2</v>
      </c>
      <c r="BA82" s="59">
        <v>1.6545334215751158E-4</v>
      </c>
      <c r="BB82" s="81">
        <v>96</v>
      </c>
      <c r="BC82" s="49">
        <v>21.2894560107455</v>
      </c>
      <c r="BD82" s="90" t="s">
        <v>83</v>
      </c>
      <c r="BE82" s="90" t="s">
        <v>83</v>
      </c>
      <c r="BF82" s="49">
        <v>1</v>
      </c>
      <c r="BG82" s="49">
        <v>0</v>
      </c>
      <c r="BH82" s="49">
        <v>0</v>
      </c>
      <c r="BI82" s="49">
        <v>0</v>
      </c>
      <c r="BJ82" s="85">
        <v>26.2</v>
      </c>
      <c r="BK82" s="129">
        <v>9814</v>
      </c>
      <c r="BL82" s="129">
        <v>53978</v>
      </c>
      <c r="BM82" s="129">
        <v>49683</v>
      </c>
      <c r="BN82" s="129">
        <v>51272</v>
      </c>
      <c r="BO82" s="59">
        <v>0</v>
      </c>
      <c r="BP82" s="59">
        <v>0.34989999999999999</v>
      </c>
      <c r="BQ82" s="59">
        <v>0.3755</v>
      </c>
      <c r="BR82" s="59">
        <v>1.8800000000000001E-2</v>
      </c>
      <c r="BS82" s="59">
        <v>1.8800000000000001E-2</v>
      </c>
      <c r="BT82" s="49">
        <v>16.7</v>
      </c>
      <c r="BU82" s="59">
        <f t="shared" si="6"/>
        <v>0.76300000000000012</v>
      </c>
      <c r="BV82" s="59">
        <v>2.8199999999999999E-2</v>
      </c>
      <c r="BW82" s="59">
        <v>0</v>
      </c>
      <c r="BX82" s="59">
        <v>2.8199999999999999E-2</v>
      </c>
      <c r="BY82" s="59">
        <v>0</v>
      </c>
      <c r="BZ82" s="59">
        <v>0</v>
      </c>
      <c r="CA82" s="49">
        <v>16.8</v>
      </c>
      <c r="CB82" s="59">
        <f t="shared" si="7"/>
        <v>5.6399999999999999E-2</v>
      </c>
      <c r="CC82" s="59">
        <v>0.11</v>
      </c>
      <c r="CD82" s="125">
        <v>0.38009999999999999</v>
      </c>
      <c r="CE82" s="125">
        <v>0.46279999999999999</v>
      </c>
      <c r="CF82" s="125">
        <v>1.8800000000000001E-2</v>
      </c>
      <c r="CG82" s="125">
        <v>2.8199999999999999E-2</v>
      </c>
      <c r="CH82" s="85">
        <v>16.899999999999999</v>
      </c>
      <c r="CI82" s="39" t="s">
        <v>177</v>
      </c>
      <c r="CJ82" s="18" t="s">
        <v>80</v>
      </c>
      <c r="CK82" s="20"/>
    </row>
    <row r="83" spans="1:89" x14ac:dyDescent="0.25">
      <c r="A83" s="18" t="s">
        <v>80</v>
      </c>
      <c r="B83" s="19" t="s">
        <v>176</v>
      </c>
      <c r="C83" s="39" t="s">
        <v>178</v>
      </c>
      <c r="D83" s="40">
        <v>107</v>
      </c>
      <c r="E83" s="40" t="s">
        <v>83</v>
      </c>
      <c r="F83" s="40">
        <v>107</v>
      </c>
      <c r="G83" s="162" t="s">
        <v>83</v>
      </c>
      <c r="H83" s="162" t="s">
        <v>83</v>
      </c>
      <c r="I83" s="166">
        <v>4</v>
      </c>
      <c r="J83" s="166">
        <v>28</v>
      </c>
      <c r="K83" s="166">
        <v>17</v>
      </c>
      <c r="L83" s="166">
        <v>29</v>
      </c>
      <c r="M83" s="166">
        <v>29</v>
      </c>
      <c r="N83" s="119">
        <v>7.3844030365769503E-2</v>
      </c>
      <c r="O83" s="119">
        <v>7.3844030365769503E-2</v>
      </c>
      <c r="P83" s="116" t="s">
        <v>83</v>
      </c>
      <c r="Q83" s="116" t="s">
        <v>83</v>
      </c>
      <c r="R83" s="119">
        <v>4.3478260869565202E-2</v>
      </c>
      <c r="S83" s="119">
        <v>6.3063063063063099E-2</v>
      </c>
      <c r="T83" s="119">
        <v>5.3459119496855299E-2</v>
      </c>
      <c r="U83" s="119">
        <v>9.7315436241610695E-2</v>
      </c>
      <c r="V83" s="119">
        <v>9.7643097643097601E-2</v>
      </c>
      <c r="W83" s="40">
        <v>1080</v>
      </c>
      <c r="X83" s="40">
        <f t="shared" si="8"/>
        <v>1080</v>
      </c>
      <c r="Y83" s="40">
        <f t="shared" si="5"/>
        <v>1080</v>
      </c>
      <c r="Z83" s="105">
        <v>0.50600000000000001</v>
      </c>
      <c r="AA83" s="105">
        <v>0.49399999999999999</v>
      </c>
      <c r="AB83" s="106">
        <f>1/1080</f>
        <v>9.2592592592592596E-4</v>
      </c>
      <c r="AC83" s="106">
        <f>13/1080</f>
        <v>1.2037037037037037E-2</v>
      </c>
      <c r="AD83" s="106">
        <f>947/1080</f>
        <v>0.87685185185185188</v>
      </c>
      <c r="AE83" s="106">
        <f>95/1080</f>
        <v>8.7962962962962965E-2</v>
      </c>
      <c r="AF83" s="106">
        <f>2/1080</f>
        <v>1.8518518518518519E-3</v>
      </c>
      <c r="AG83" s="106">
        <f>19/1080</f>
        <v>1.7592592592592594E-2</v>
      </c>
      <c r="AH83" s="106">
        <f>3/1080</f>
        <v>2.7777777777777779E-3</v>
      </c>
      <c r="AI83" s="106">
        <f>1061/1080</f>
        <v>0.9824074074074074</v>
      </c>
      <c r="AJ83" s="105">
        <v>0.81759259259259254</v>
      </c>
      <c r="AK83" s="105">
        <v>7.6999999999999999E-2</v>
      </c>
      <c r="AL83" s="12">
        <v>0</v>
      </c>
      <c r="AM83" s="12">
        <v>0</v>
      </c>
      <c r="AN83" s="12">
        <v>73</v>
      </c>
      <c r="AO83" s="12">
        <v>294</v>
      </c>
      <c r="AP83" s="12">
        <v>234</v>
      </c>
      <c r="AQ83" s="12">
        <v>234</v>
      </c>
      <c r="AR83" s="12">
        <v>245</v>
      </c>
      <c r="AS83" s="59">
        <v>0.1989100817438692</v>
      </c>
      <c r="AT83" s="12">
        <v>9</v>
      </c>
      <c r="AU83" s="3">
        <v>6</v>
      </c>
      <c r="AV83" s="54">
        <v>31.551724137931036</v>
      </c>
      <c r="AW83" s="54">
        <v>7.931034482758621</v>
      </c>
      <c r="AX83" s="54">
        <v>10.86206896551724</v>
      </c>
      <c r="AY83" s="68">
        <v>49.655172413793103</v>
      </c>
      <c r="AZ83" s="59">
        <v>0.31575196008553102</v>
      </c>
      <c r="BA83" s="59">
        <v>1.8568680729228149E-3</v>
      </c>
      <c r="BB83" s="76">
        <v>89.727601775628898</v>
      </c>
      <c r="BC83" s="49">
        <v>71.977240398293006</v>
      </c>
      <c r="BD83" s="90" t="s">
        <v>83</v>
      </c>
      <c r="BE83" s="90" t="s">
        <v>83</v>
      </c>
      <c r="BF83" s="49">
        <v>6.1</v>
      </c>
      <c r="BG83" s="49">
        <v>5.8</v>
      </c>
      <c r="BH83" s="49">
        <v>3.6</v>
      </c>
      <c r="BI83" s="49">
        <v>8.3000000000000007</v>
      </c>
      <c r="BJ83" s="85">
        <v>15.7</v>
      </c>
      <c r="BK83" s="129">
        <v>11713</v>
      </c>
      <c r="BL83" s="129">
        <v>54176</v>
      </c>
      <c r="BM83" s="129">
        <v>50652</v>
      </c>
      <c r="BN83" s="129">
        <v>47797</v>
      </c>
      <c r="BO83" s="59">
        <v>9.7999999999999997E-3</v>
      </c>
      <c r="BP83" s="59">
        <v>0.28220000000000001</v>
      </c>
      <c r="BQ83" s="59">
        <v>0.32100000000000001</v>
      </c>
      <c r="BR83" s="59">
        <v>0</v>
      </c>
      <c r="BS83" s="59">
        <v>0</v>
      </c>
      <c r="BT83" s="49">
        <v>14.4</v>
      </c>
      <c r="BU83" s="59">
        <f t="shared" si="6"/>
        <v>0.61299999999999999</v>
      </c>
      <c r="BV83" s="59">
        <v>1.9599999999999999E-2</v>
      </c>
      <c r="BW83" s="59">
        <v>1.9599999999999999E-2</v>
      </c>
      <c r="BX83" s="59">
        <v>3.8899999999999997E-2</v>
      </c>
      <c r="BY83" s="59">
        <v>0</v>
      </c>
      <c r="BZ83" s="59">
        <v>0</v>
      </c>
      <c r="CA83" s="49">
        <v>15.1</v>
      </c>
      <c r="CB83" s="59">
        <f t="shared" si="7"/>
        <v>7.8100000000000003E-2</v>
      </c>
      <c r="CC83" s="59">
        <v>0.18579999999999999</v>
      </c>
      <c r="CD83" s="125">
        <v>0.3528</v>
      </c>
      <c r="CE83" s="125">
        <v>0.44180000000000003</v>
      </c>
      <c r="CF83" s="125">
        <v>1.9599999999999999E-2</v>
      </c>
      <c r="CG83" s="125">
        <v>0</v>
      </c>
      <c r="CH83" s="85">
        <v>14.1</v>
      </c>
      <c r="CI83" s="39" t="s">
        <v>178</v>
      </c>
      <c r="CJ83" s="18" t="s">
        <v>80</v>
      </c>
      <c r="CK83" s="20"/>
    </row>
    <row r="84" spans="1:89" x14ac:dyDescent="0.25">
      <c r="A84" s="18" t="s">
        <v>80</v>
      </c>
      <c r="B84" s="19" t="s">
        <v>176</v>
      </c>
      <c r="C84" s="39" t="s">
        <v>179</v>
      </c>
      <c r="D84" s="40">
        <v>63</v>
      </c>
      <c r="E84" s="40" t="s">
        <v>83</v>
      </c>
      <c r="F84" s="40">
        <v>63</v>
      </c>
      <c r="G84" s="162" t="s">
        <v>83</v>
      </c>
      <c r="H84" s="162" t="s">
        <v>83</v>
      </c>
      <c r="I84" s="166">
        <v>2</v>
      </c>
      <c r="J84" s="166">
        <v>16</v>
      </c>
      <c r="K84" s="166">
        <v>13</v>
      </c>
      <c r="L84" s="166">
        <v>21</v>
      </c>
      <c r="M84" s="166">
        <v>11</v>
      </c>
      <c r="N84" s="119">
        <v>4.1666666666666699E-2</v>
      </c>
      <c r="O84" s="119">
        <v>4.1666666666666699E-2</v>
      </c>
      <c r="P84" s="116" t="s">
        <v>83</v>
      </c>
      <c r="Q84" s="116" t="s">
        <v>83</v>
      </c>
      <c r="R84" s="119">
        <v>2.7027027027027001E-2</v>
      </c>
      <c r="S84" s="119">
        <v>3.9312039312039297E-2</v>
      </c>
      <c r="T84" s="119">
        <v>3.29113924050633E-2</v>
      </c>
      <c r="U84" s="119">
        <v>6.5625000000000003E-2</v>
      </c>
      <c r="V84" s="119">
        <v>3.48101265822785E-2</v>
      </c>
      <c r="W84" s="40">
        <v>1249</v>
      </c>
      <c r="X84" s="40">
        <f t="shared" si="8"/>
        <v>1249</v>
      </c>
      <c r="Y84" s="40">
        <f t="shared" si="5"/>
        <v>1249</v>
      </c>
      <c r="Z84" s="105">
        <v>0.48</v>
      </c>
      <c r="AA84" s="105">
        <v>0.52</v>
      </c>
      <c r="AB84" s="106">
        <f>2/1249</f>
        <v>1.6012810248198558E-3</v>
      </c>
      <c r="AC84" s="106">
        <f>92/1249</f>
        <v>7.3658927141713376E-2</v>
      </c>
      <c r="AD84" s="106">
        <f>950/1249</f>
        <v>0.76060848678943149</v>
      </c>
      <c r="AE84" s="106">
        <f>106/1249</f>
        <v>8.4867894315452358E-2</v>
      </c>
      <c r="AF84" s="106">
        <f>8/1249</f>
        <v>6.4051240992794231E-3</v>
      </c>
      <c r="AG84" s="106">
        <f>89/1249</f>
        <v>7.1257005604483586E-2</v>
      </c>
      <c r="AH84" s="106">
        <f>2/1249</f>
        <v>1.6012810248198558E-3</v>
      </c>
      <c r="AI84" s="106">
        <f>1160/1249</f>
        <v>0.92874299439551644</v>
      </c>
      <c r="AJ84" s="105">
        <v>0.755004003202562</v>
      </c>
      <c r="AK84" s="105">
        <v>0.104</v>
      </c>
      <c r="AL84" s="12">
        <v>0</v>
      </c>
      <c r="AM84" s="12">
        <v>0</v>
      </c>
      <c r="AN84" s="12">
        <v>72</v>
      </c>
      <c r="AO84" s="12">
        <v>327</v>
      </c>
      <c r="AP84" s="12">
        <v>288</v>
      </c>
      <c r="AQ84" s="12">
        <v>280</v>
      </c>
      <c r="AR84" s="12">
        <v>282</v>
      </c>
      <c r="AS84" s="59">
        <v>0.18045112781954886</v>
      </c>
      <c r="AT84" s="12">
        <v>9</v>
      </c>
      <c r="AU84" s="3">
        <v>6</v>
      </c>
      <c r="AV84" s="54">
        <v>41.889117043121146</v>
      </c>
      <c r="AW84" s="54">
        <v>4.7227926078028748</v>
      </c>
      <c r="AX84" s="54">
        <v>9.6509240246406574</v>
      </c>
      <c r="AY84" s="68">
        <v>43.737166324435314</v>
      </c>
      <c r="AZ84" s="59">
        <v>0.24949832775919734</v>
      </c>
      <c r="BA84" s="59">
        <v>6.0556956229664534E-3</v>
      </c>
      <c r="BB84" s="77">
        <v>88.807251877433799</v>
      </c>
      <c r="BC84" s="49">
        <v>75.048231511254002</v>
      </c>
      <c r="BD84" s="90" t="s">
        <v>83</v>
      </c>
      <c r="BE84" s="90" t="s">
        <v>83</v>
      </c>
      <c r="BF84" s="49">
        <v>16.399999999999999</v>
      </c>
      <c r="BG84" s="49">
        <v>10.199999999999999</v>
      </c>
      <c r="BH84" s="49">
        <v>4.7</v>
      </c>
      <c r="BI84" s="49">
        <v>5</v>
      </c>
      <c r="BJ84" s="85">
        <v>17.399999999999999</v>
      </c>
      <c r="BK84" s="129">
        <v>10537</v>
      </c>
      <c r="BL84" s="129">
        <v>54562</v>
      </c>
      <c r="BM84" s="129">
        <v>56026</v>
      </c>
      <c r="BN84" s="129">
        <v>49382</v>
      </c>
      <c r="BO84" s="59">
        <v>1.0200000000000001E-2</v>
      </c>
      <c r="BP84" s="59">
        <v>0.42649999999999999</v>
      </c>
      <c r="BQ84" s="59">
        <v>0.23219999999999999</v>
      </c>
      <c r="BR84" s="59">
        <v>0</v>
      </c>
      <c r="BS84" s="59">
        <v>1.0200000000000001E-2</v>
      </c>
      <c r="BT84" s="49">
        <v>14.1</v>
      </c>
      <c r="BU84" s="59">
        <f t="shared" si="6"/>
        <v>0.67909999999999993</v>
      </c>
      <c r="BV84" s="59">
        <v>1.7500000000000002E-2</v>
      </c>
      <c r="BW84" s="59">
        <v>4.8999999999999998E-3</v>
      </c>
      <c r="BX84" s="59">
        <v>3.9E-2</v>
      </c>
      <c r="BY84" s="59">
        <v>0</v>
      </c>
      <c r="BZ84" s="59">
        <v>0</v>
      </c>
      <c r="CA84" s="49">
        <v>16.2</v>
      </c>
      <c r="CB84" s="59">
        <f t="shared" si="7"/>
        <v>6.1400000000000003E-2</v>
      </c>
      <c r="CC84" s="59">
        <v>0.14180000000000001</v>
      </c>
      <c r="CD84" s="125">
        <v>0.48649999999999999</v>
      </c>
      <c r="CE84" s="125">
        <v>0.36149999999999999</v>
      </c>
      <c r="CF84" s="125">
        <v>0</v>
      </c>
      <c r="CG84" s="125">
        <v>1.0200000000000001E-2</v>
      </c>
      <c r="CH84" s="85">
        <v>13.8</v>
      </c>
      <c r="CI84" s="39" t="s">
        <v>179</v>
      </c>
      <c r="CJ84" s="18" t="s">
        <v>80</v>
      </c>
      <c r="CK84" s="20"/>
    </row>
    <row r="85" spans="1:89" x14ac:dyDescent="0.25">
      <c r="A85" s="18" t="s">
        <v>80</v>
      </c>
      <c r="B85" s="19" t="s">
        <v>176</v>
      </c>
      <c r="C85" s="39" t="s">
        <v>180</v>
      </c>
      <c r="D85" s="40">
        <v>27</v>
      </c>
      <c r="E85" s="40" t="s">
        <v>83</v>
      </c>
      <c r="F85" s="40">
        <v>27</v>
      </c>
      <c r="G85" s="162" t="s">
        <v>83</v>
      </c>
      <c r="H85" s="162" t="s">
        <v>83</v>
      </c>
      <c r="I85" s="166">
        <v>2</v>
      </c>
      <c r="J85" s="166">
        <v>5</v>
      </c>
      <c r="K85" s="166">
        <v>7</v>
      </c>
      <c r="L85" s="166">
        <v>4</v>
      </c>
      <c r="M85" s="166">
        <v>9</v>
      </c>
      <c r="N85" s="119">
        <v>4.2187500000000003E-2</v>
      </c>
      <c r="O85" s="119">
        <v>4.2187500000000003E-2</v>
      </c>
      <c r="P85" s="116" t="s">
        <v>83</v>
      </c>
      <c r="Q85" s="116" t="s">
        <v>83</v>
      </c>
      <c r="R85" s="119">
        <v>0.04</v>
      </c>
      <c r="S85" s="119">
        <v>2.8735632183908E-2</v>
      </c>
      <c r="T85" s="119">
        <v>4.5161290322580601E-2</v>
      </c>
      <c r="U85" s="119">
        <v>3.0769230769230799E-2</v>
      </c>
      <c r="V85" s="119">
        <v>6.8702290076335895E-2</v>
      </c>
      <c r="W85" s="40">
        <v>509</v>
      </c>
      <c r="X85" s="40">
        <f t="shared" si="8"/>
        <v>509</v>
      </c>
      <c r="Y85" s="40">
        <f t="shared" si="5"/>
        <v>509</v>
      </c>
      <c r="Z85" s="105">
        <v>0.503</v>
      </c>
      <c r="AA85" s="105">
        <v>0.497</v>
      </c>
      <c r="AB85" s="106">
        <v>0</v>
      </c>
      <c r="AC85" s="106">
        <f>1/509</f>
        <v>1.9646365422396855E-3</v>
      </c>
      <c r="AD85" s="106">
        <f>502/509</f>
        <v>0.98624754420432215</v>
      </c>
      <c r="AE85" s="106">
        <f>4/509</f>
        <v>7.8585461689587421E-3</v>
      </c>
      <c r="AF85" s="106">
        <v>0</v>
      </c>
      <c r="AG85" s="106">
        <f>1/509</f>
        <v>1.9646365422396855E-3</v>
      </c>
      <c r="AH85" s="106">
        <f>1/509</f>
        <v>1.9646365422396855E-3</v>
      </c>
      <c r="AI85" s="106">
        <f>508/509</f>
        <v>0.99803536345776034</v>
      </c>
      <c r="AJ85" s="105">
        <v>0.92141453831041253</v>
      </c>
      <c r="AK85" s="105">
        <v>2E-3</v>
      </c>
      <c r="AL85" s="12">
        <v>0</v>
      </c>
      <c r="AM85" s="12">
        <v>0</v>
      </c>
      <c r="AN85" s="12">
        <v>40</v>
      </c>
      <c r="AO85" s="12">
        <v>126</v>
      </c>
      <c r="AP85" s="12">
        <v>127</v>
      </c>
      <c r="AQ85" s="12">
        <v>106</v>
      </c>
      <c r="AR85" s="12">
        <v>110</v>
      </c>
      <c r="AS85" s="59">
        <v>0.24096385542168675</v>
      </c>
      <c r="AT85" s="12">
        <v>9</v>
      </c>
      <c r="AU85" s="3">
        <v>6</v>
      </c>
      <c r="AV85" s="54">
        <v>58.82352941176471</v>
      </c>
      <c r="AW85" s="54">
        <v>13.148788927335639</v>
      </c>
      <c r="AX85" s="54">
        <v>16.608996539792386</v>
      </c>
      <c r="AY85" s="68">
        <v>11.418685121107266</v>
      </c>
      <c r="AZ85" s="59">
        <v>0.44992050874403816</v>
      </c>
      <c r="BA85" s="59">
        <v>3.8624174224610917E-3</v>
      </c>
      <c r="BB85" s="76">
        <v>87.767326661806194</v>
      </c>
      <c r="BC85" s="49">
        <v>75.471698113207594</v>
      </c>
      <c r="BD85" s="90" t="s">
        <v>83</v>
      </c>
      <c r="BE85" s="90" t="s">
        <v>83</v>
      </c>
      <c r="BF85" s="49">
        <v>21.8</v>
      </c>
      <c r="BG85" s="49">
        <v>11.6</v>
      </c>
      <c r="BH85" s="49">
        <v>9.4</v>
      </c>
      <c r="BI85" s="49">
        <v>13.3</v>
      </c>
      <c r="BJ85" s="85">
        <v>16.100000000000001</v>
      </c>
      <c r="BK85" s="129">
        <v>16280</v>
      </c>
      <c r="BL85" s="129">
        <v>56496</v>
      </c>
      <c r="BM85" s="129">
        <v>52415</v>
      </c>
      <c r="BN85" s="129">
        <v>49504</v>
      </c>
      <c r="BO85" s="59">
        <v>0</v>
      </c>
      <c r="BP85" s="59">
        <v>0.27600000000000002</v>
      </c>
      <c r="BQ85" s="59">
        <v>0.31809999999999999</v>
      </c>
      <c r="BR85" s="59">
        <v>8.2000000000000007E-3</v>
      </c>
      <c r="BS85" s="59">
        <v>1.38E-2</v>
      </c>
      <c r="BT85" s="49">
        <v>17.2</v>
      </c>
      <c r="BU85" s="59">
        <f t="shared" si="6"/>
        <v>0.61610000000000009</v>
      </c>
      <c r="BV85" s="59">
        <v>2.7300000000000001E-2</v>
      </c>
      <c r="BW85" s="59">
        <v>0</v>
      </c>
      <c r="BX85" s="59">
        <v>5.3100000000000001E-2</v>
      </c>
      <c r="BY85" s="59">
        <v>1.0500000000000001E-2</v>
      </c>
      <c r="BZ85" s="59">
        <v>0</v>
      </c>
      <c r="CA85" s="49">
        <v>20.100000000000001</v>
      </c>
      <c r="CB85" s="59">
        <f t="shared" si="7"/>
        <v>9.0899999999999995E-2</v>
      </c>
      <c r="CC85" s="59">
        <v>0.1915</v>
      </c>
      <c r="CD85" s="125">
        <v>0.31230000000000002</v>
      </c>
      <c r="CE85" s="125">
        <v>0.44109999999999999</v>
      </c>
      <c r="CF85" s="125">
        <v>2.7400000000000001E-2</v>
      </c>
      <c r="CG85" s="125">
        <v>2.7699999999999999E-2</v>
      </c>
      <c r="CH85" s="85">
        <v>17.100000000000001</v>
      </c>
      <c r="CI85" s="39" t="s">
        <v>180</v>
      </c>
      <c r="CJ85" s="18" t="s">
        <v>80</v>
      </c>
      <c r="CK85" s="20"/>
    </row>
    <row r="86" spans="1:89" x14ac:dyDescent="0.25">
      <c r="A86" s="18" t="s">
        <v>80</v>
      </c>
      <c r="B86" s="19" t="s">
        <v>176</v>
      </c>
      <c r="C86" s="39" t="s">
        <v>181</v>
      </c>
      <c r="D86" s="40">
        <v>48</v>
      </c>
      <c r="E86" s="40" t="s">
        <v>83</v>
      </c>
      <c r="F86" s="40">
        <v>48</v>
      </c>
      <c r="G86" s="162" t="s">
        <v>83</v>
      </c>
      <c r="H86" s="162" t="s">
        <v>83</v>
      </c>
      <c r="I86" s="166">
        <v>0</v>
      </c>
      <c r="J86" s="166">
        <v>21</v>
      </c>
      <c r="K86" s="166">
        <v>11</v>
      </c>
      <c r="L86" s="166">
        <v>3</v>
      </c>
      <c r="M86" s="166">
        <v>13</v>
      </c>
      <c r="N86" s="119">
        <v>3.1683168316831697E-2</v>
      </c>
      <c r="O86" s="119">
        <v>3.1683168316831697E-2</v>
      </c>
      <c r="P86" s="116" t="s">
        <v>83</v>
      </c>
      <c r="Q86" s="116" t="s">
        <v>83</v>
      </c>
      <c r="R86" s="119">
        <v>0</v>
      </c>
      <c r="S86" s="119">
        <v>4.6770601336302897E-2</v>
      </c>
      <c r="T86" s="119">
        <v>2.9810298102981001E-2</v>
      </c>
      <c r="U86" s="119">
        <v>9.8360655737704892E-3</v>
      </c>
      <c r="V86" s="119">
        <v>3.6619718309859203E-2</v>
      </c>
      <c r="W86" s="40">
        <v>1362</v>
      </c>
      <c r="X86" s="40">
        <f t="shared" si="8"/>
        <v>1362</v>
      </c>
      <c r="Y86" s="40">
        <f t="shared" si="5"/>
        <v>1362</v>
      </c>
      <c r="Z86" s="105">
        <v>0.5</v>
      </c>
      <c r="AA86" s="105">
        <v>0.5</v>
      </c>
      <c r="AB86" s="106">
        <f>2/1362</f>
        <v>1.4684287812041115E-3</v>
      </c>
      <c r="AC86" s="106">
        <f>36/1362</f>
        <v>2.643171806167401E-2</v>
      </c>
      <c r="AD86" s="106">
        <f>1158/1362</f>
        <v>0.85022026431718056</v>
      </c>
      <c r="AE86" s="106">
        <f>63/1362</f>
        <v>4.6255506607929514E-2</v>
      </c>
      <c r="AF86" s="106">
        <f>4/1362</f>
        <v>2.936857562408223E-3</v>
      </c>
      <c r="AG86" s="106">
        <f>95/1362</f>
        <v>6.9750367107195302E-2</v>
      </c>
      <c r="AH86" s="106">
        <f>4/1362</f>
        <v>2.936857562408223E-3</v>
      </c>
      <c r="AI86" s="106">
        <f>1267/1362</f>
        <v>0.93024963289280471</v>
      </c>
      <c r="AJ86" s="105">
        <v>0.7085168869309838</v>
      </c>
      <c r="AK86" s="105">
        <v>0.04</v>
      </c>
      <c r="AL86" s="12">
        <v>0</v>
      </c>
      <c r="AM86" s="12">
        <v>0</v>
      </c>
      <c r="AN86" s="12">
        <v>33</v>
      </c>
      <c r="AO86" s="12">
        <v>383</v>
      </c>
      <c r="AP86" s="12">
        <v>307</v>
      </c>
      <c r="AQ86" s="12">
        <v>291</v>
      </c>
      <c r="AR86" s="12">
        <v>348</v>
      </c>
      <c r="AS86" s="59">
        <v>7.9326923076923073E-2</v>
      </c>
      <c r="AT86" s="12">
        <v>9</v>
      </c>
      <c r="AU86" s="3">
        <v>6</v>
      </c>
      <c r="AV86" s="54">
        <v>44.485294117647058</v>
      </c>
      <c r="AW86" s="54">
        <v>9.742647058823529</v>
      </c>
      <c r="AX86" s="54">
        <v>16.176470588235293</v>
      </c>
      <c r="AY86" s="68">
        <v>29.59558823529412</v>
      </c>
      <c r="AZ86" s="59">
        <v>0.20858484238765929</v>
      </c>
      <c r="BA86" s="59">
        <v>4.6912285734595988E-3</v>
      </c>
      <c r="BB86" s="77">
        <v>90.779133815545094</v>
      </c>
      <c r="BC86" s="49">
        <v>76.324614352783399</v>
      </c>
      <c r="BD86" s="90" t="s">
        <v>83</v>
      </c>
      <c r="BE86" s="90" t="s">
        <v>83</v>
      </c>
      <c r="BF86" s="49">
        <v>12</v>
      </c>
      <c r="BG86" s="49">
        <v>8.6999999999999993</v>
      </c>
      <c r="BH86" s="49">
        <v>8.8000000000000007</v>
      </c>
      <c r="BI86" s="49">
        <v>3.9</v>
      </c>
      <c r="BJ86" s="85">
        <v>20</v>
      </c>
      <c r="BK86" s="129">
        <v>11075</v>
      </c>
      <c r="BL86" s="129">
        <v>53734</v>
      </c>
      <c r="BM86" s="129">
        <v>54666</v>
      </c>
      <c r="BN86" s="129">
        <v>50248</v>
      </c>
      <c r="BO86" s="59">
        <v>0</v>
      </c>
      <c r="BP86" s="59">
        <v>0.32629999999999998</v>
      </c>
      <c r="BQ86" s="59">
        <v>0.3473</v>
      </c>
      <c r="BR86" s="59">
        <v>1.7500000000000002E-2</v>
      </c>
      <c r="BS86" s="59">
        <v>5.2499999999999998E-2</v>
      </c>
      <c r="BT86" s="49">
        <v>14.1</v>
      </c>
      <c r="BU86" s="59">
        <f t="shared" si="6"/>
        <v>0.74359999999999993</v>
      </c>
      <c r="BV86" s="59">
        <v>2.5700000000000001E-2</v>
      </c>
      <c r="BW86" s="59">
        <v>8.6E-3</v>
      </c>
      <c r="BX86" s="59">
        <v>2.52E-2</v>
      </c>
      <c r="BY86" s="59">
        <v>0</v>
      </c>
      <c r="BZ86" s="59">
        <v>8.8000000000000005E-3</v>
      </c>
      <c r="CA86" s="49">
        <v>16.600000000000001</v>
      </c>
      <c r="CB86" s="59">
        <f t="shared" si="7"/>
        <v>6.83E-2</v>
      </c>
      <c r="CC86" s="59">
        <v>8.48E-2</v>
      </c>
      <c r="CD86" s="125">
        <v>0.39450000000000002</v>
      </c>
      <c r="CE86" s="125">
        <v>0.43319999999999997</v>
      </c>
      <c r="CF86" s="125">
        <v>1.7500000000000002E-2</v>
      </c>
      <c r="CG86" s="125">
        <v>7.0000000000000007E-2</v>
      </c>
      <c r="CH86" s="85">
        <v>13.5</v>
      </c>
      <c r="CI86" s="39" t="s">
        <v>181</v>
      </c>
      <c r="CJ86" s="18" t="s">
        <v>80</v>
      </c>
      <c r="CK86" s="20"/>
    </row>
    <row r="87" spans="1:89" x14ac:dyDescent="0.25">
      <c r="A87" s="18" t="s">
        <v>80</v>
      </c>
      <c r="B87" s="19" t="s">
        <v>176</v>
      </c>
      <c r="C87" s="39" t="s">
        <v>182</v>
      </c>
      <c r="D87" s="40">
        <v>6</v>
      </c>
      <c r="E87" s="40">
        <v>0</v>
      </c>
      <c r="F87" s="40">
        <v>6</v>
      </c>
      <c r="G87" s="166">
        <v>0</v>
      </c>
      <c r="H87" s="166">
        <v>0</v>
      </c>
      <c r="I87" s="166">
        <v>1</v>
      </c>
      <c r="J87" s="166">
        <v>1</v>
      </c>
      <c r="K87" s="166">
        <v>2</v>
      </c>
      <c r="L87" s="166">
        <v>2</v>
      </c>
      <c r="M87" s="166">
        <v>0</v>
      </c>
      <c r="N87" s="119">
        <v>1.02040816326531E-2</v>
      </c>
      <c r="O87" s="119">
        <v>1.4742014742014699E-2</v>
      </c>
      <c r="P87" s="119">
        <v>0</v>
      </c>
      <c r="Q87" s="119">
        <v>0</v>
      </c>
      <c r="R87" s="119">
        <v>5.2631578947368397E-2</v>
      </c>
      <c r="S87" s="119">
        <v>7.63358778625954E-3</v>
      </c>
      <c r="T87" s="119">
        <v>2.32558139534884E-2</v>
      </c>
      <c r="U87" s="119">
        <v>2.27272727272727E-2</v>
      </c>
      <c r="V87" s="119">
        <v>0</v>
      </c>
      <c r="W87" s="40">
        <v>502</v>
      </c>
      <c r="X87" s="40">
        <f t="shared" si="8"/>
        <v>347</v>
      </c>
      <c r="Y87" s="40">
        <f t="shared" si="5"/>
        <v>502</v>
      </c>
      <c r="Z87" s="105">
        <v>0.46400000000000002</v>
      </c>
      <c r="AA87" s="105">
        <v>0.53600000000000003</v>
      </c>
      <c r="AB87" s="106">
        <f>2/502</f>
        <v>3.9840637450199202E-3</v>
      </c>
      <c r="AC87" s="106">
        <f>1/502</f>
        <v>1.9920318725099601E-3</v>
      </c>
      <c r="AD87" s="106">
        <f>419/502</f>
        <v>0.83466135458167334</v>
      </c>
      <c r="AE87" s="106">
        <f>10/502</f>
        <v>1.9920318725099601E-2</v>
      </c>
      <c r="AF87" s="106">
        <v>0</v>
      </c>
      <c r="AG87" s="106">
        <f>69/502</f>
        <v>0.13745019920318724</v>
      </c>
      <c r="AH87" s="106">
        <f>1/502</f>
        <v>1.9920318725099601E-3</v>
      </c>
      <c r="AI87" s="106">
        <f>433/502</f>
        <v>0.86254980079681276</v>
      </c>
      <c r="AJ87" s="105">
        <v>0.86454183266932272</v>
      </c>
      <c r="AK87" s="105">
        <v>6.0000000000000001E-3</v>
      </c>
      <c r="AL87" s="12">
        <v>82</v>
      </c>
      <c r="AM87" s="12">
        <v>73</v>
      </c>
      <c r="AN87" s="12">
        <v>13</v>
      </c>
      <c r="AO87" s="12">
        <v>111</v>
      </c>
      <c r="AP87" s="12">
        <v>68</v>
      </c>
      <c r="AQ87" s="12">
        <v>75</v>
      </c>
      <c r="AR87" s="12">
        <v>80</v>
      </c>
      <c r="AS87" s="59">
        <v>0.10483870967741936</v>
      </c>
      <c r="AT87" s="12">
        <v>7</v>
      </c>
      <c r="AU87" s="3">
        <v>6</v>
      </c>
      <c r="AV87" s="54">
        <v>59.21450151057401</v>
      </c>
      <c r="AW87" s="54">
        <v>16.61631419939577</v>
      </c>
      <c r="AX87" s="54">
        <v>20.241691842900302</v>
      </c>
      <c r="AY87" s="68">
        <v>3.9274924471299091</v>
      </c>
      <c r="AZ87" s="59">
        <v>0.16552901023890784</v>
      </c>
      <c r="BA87" s="59">
        <v>0</v>
      </c>
      <c r="BB87" s="77">
        <v>94.028471445936802</v>
      </c>
      <c r="BC87" s="49">
        <v>49.238578680202998</v>
      </c>
      <c r="BD87" s="49">
        <v>9.1</v>
      </c>
      <c r="BE87" s="49">
        <v>4.3</v>
      </c>
      <c r="BF87" s="49">
        <v>3.7</v>
      </c>
      <c r="BG87" s="49">
        <v>5.8</v>
      </c>
      <c r="BH87" s="49">
        <v>2.7</v>
      </c>
      <c r="BI87" s="49">
        <v>7.3</v>
      </c>
      <c r="BJ87" s="85">
        <v>18</v>
      </c>
      <c r="BK87" s="129">
        <v>14904</v>
      </c>
      <c r="BL87" s="129">
        <v>55584</v>
      </c>
      <c r="BM87" s="129">
        <v>56319</v>
      </c>
      <c r="BN87" s="129">
        <v>50035</v>
      </c>
      <c r="BO87" s="59">
        <v>1.49E-2</v>
      </c>
      <c r="BP87" s="59">
        <v>0.33250000000000002</v>
      </c>
      <c r="BQ87" s="59">
        <v>0.23469999999999999</v>
      </c>
      <c r="BR87" s="59">
        <v>2.9899999999999999E-2</v>
      </c>
      <c r="BS87" s="59">
        <v>1.49E-2</v>
      </c>
      <c r="BT87" s="49">
        <v>14</v>
      </c>
      <c r="BU87" s="59">
        <f t="shared" si="6"/>
        <v>0.62690000000000012</v>
      </c>
      <c r="BV87" s="59">
        <v>4.3999999999999997E-2</v>
      </c>
      <c r="BW87" s="59">
        <v>6.9999999999999999E-4</v>
      </c>
      <c r="BX87" s="59">
        <v>4.48E-2</v>
      </c>
      <c r="BY87" s="59">
        <v>1.49E-2</v>
      </c>
      <c r="BZ87" s="59">
        <v>0</v>
      </c>
      <c r="CA87" s="49">
        <v>24.2</v>
      </c>
      <c r="CB87" s="59">
        <f t="shared" si="7"/>
        <v>0.10439999999999999</v>
      </c>
      <c r="CC87" s="59">
        <v>0.2036</v>
      </c>
      <c r="CD87" s="125">
        <v>0.39750000000000002</v>
      </c>
      <c r="CE87" s="125">
        <v>0.33910000000000001</v>
      </c>
      <c r="CF87" s="125">
        <v>4.48E-2</v>
      </c>
      <c r="CG87" s="125">
        <v>1.49E-2</v>
      </c>
      <c r="CH87" s="85">
        <v>15.5</v>
      </c>
      <c r="CI87" s="39" t="s">
        <v>182</v>
      </c>
      <c r="CJ87" s="18" t="s">
        <v>80</v>
      </c>
      <c r="CK87" s="20"/>
    </row>
    <row r="88" spans="1:89" x14ac:dyDescent="0.25">
      <c r="A88" s="18" t="s">
        <v>80</v>
      </c>
      <c r="B88" s="19" t="s">
        <v>176</v>
      </c>
      <c r="C88" s="39" t="s">
        <v>183</v>
      </c>
      <c r="D88" s="40">
        <v>63</v>
      </c>
      <c r="E88" s="40" t="s">
        <v>83</v>
      </c>
      <c r="F88" s="40">
        <v>63</v>
      </c>
      <c r="G88" s="162" t="s">
        <v>83</v>
      </c>
      <c r="H88" s="162" t="s">
        <v>83</v>
      </c>
      <c r="I88" s="166">
        <v>1</v>
      </c>
      <c r="J88" s="166">
        <v>14</v>
      </c>
      <c r="K88" s="166">
        <v>10</v>
      </c>
      <c r="L88" s="166">
        <v>24</v>
      </c>
      <c r="M88" s="166">
        <v>14</v>
      </c>
      <c r="N88" s="119">
        <v>3.8066465256797598E-2</v>
      </c>
      <c r="O88" s="119">
        <v>3.8066465256797598E-2</v>
      </c>
      <c r="P88" s="116" t="s">
        <v>83</v>
      </c>
      <c r="Q88" s="116" t="s">
        <v>83</v>
      </c>
      <c r="R88" s="119">
        <v>1.4492753623188401E-2</v>
      </c>
      <c r="S88" s="119">
        <v>2.8282828282828298E-2</v>
      </c>
      <c r="T88" s="119">
        <v>2.5380710659898501E-2</v>
      </c>
      <c r="U88" s="119">
        <v>5.8252427184466E-2</v>
      </c>
      <c r="V88" s="119">
        <v>4.9122807017543901E-2</v>
      </c>
      <c r="W88" s="40">
        <v>1457</v>
      </c>
      <c r="X88" s="40">
        <f t="shared" si="8"/>
        <v>1457</v>
      </c>
      <c r="Y88" s="40">
        <f t="shared" si="5"/>
        <v>1457</v>
      </c>
      <c r="Z88" s="105">
        <v>0.53100000000000003</v>
      </c>
      <c r="AA88" s="105">
        <v>0.47</v>
      </c>
      <c r="AB88" s="106">
        <v>0</v>
      </c>
      <c r="AC88" s="106">
        <v>0</v>
      </c>
      <c r="AD88" s="106">
        <f>1436/1457</f>
        <v>0.98558682223747429</v>
      </c>
      <c r="AE88" s="106">
        <f>1/1457</f>
        <v>6.863417982155113E-4</v>
      </c>
      <c r="AF88" s="106">
        <v>0</v>
      </c>
      <c r="AG88" s="106">
        <f>12/1457</f>
        <v>8.2361015785861365E-3</v>
      </c>
      <c r="AH88" s="106">
        <f>8/1457</f>
        <v>5.4907343857240904E-3</v>
      </c>
      <c r="AI88" s="106">
        <f>1445/1457</f>
        <v>0.99176389842141388</v>
      </c>
      <c r="AJ88" s="105">
        <v>0.83870967741935487</v>
      </c>
      <c r="AK88" s="105">
        <v>1E-3</v>
      </c>
      <c r="AL88" s="12">
        <v>0</v>
      </c>
      <c r="AM88" s="12">
        <v>0</v>
      </c>
      <c r="AN88" s="12">
        <v>60</v>
      </c>
      <c r="AO88" s="12">
        <v>437</v>
      </c>
      <c r="AP88" s="12">
        <v>347</v>
      </c>
      <c r="AQ88" s="12">
        <v>361</v>
      </c>
      <c r="AR88" s="12">
        <v>252</v>
      </c>
      <c r="AS88" s="59">
        <v>0.12072434607645875</v>
      </c>
      <c r="AT88" s="12">
        <v>9</v>
      </c>
      <c r="AU88" s="3">
        <v>6</v>
      </c>
      <c r="AV88" s="54">
        <v>36.767317939609235</v>
      </c>
      <c r="AW88" s="54">
        <v>11.190053285968029</v>
      </c>
      <c r="AX88" s="54">
        <v>15.630550621669629</v>
      </c>
      <c r="AY88" s="68">
        <v>36.412078152753111</v>
      </c>
      <c r="AZ88" s="59">
        <v>0.37142857142857144</v>
      </c>
      <c r="BA88" s="59">
        <v>1.5527013442304064E-2</v>
      </c>
      <c r="BB88" s="76">
        <v>93.115459609456096</v>
      </c>
      <c r="BC88" s="49">
        <v>55.5555555555556</v>
      </c>
      <c r="BD88" s="90" t="s">
        <v>83</v>
      </c>
      <c r="BE88" s="90" t="s">
        <v>83</v>
      </c>
      <c r="BF88" s="49">
        <v>7</v>
      </c>
      <c r="BG88" s="49">
        <v>6.5</v>
      </c>
      <c r="BH88" s="49">
        <v>8.5</v>
      </c>
      <c r="BI88" s="49">
        <v>1.5</v>
      </c>
      <c r="BJ88" s="85">
        <v>17.5</v>
      </c>
      <c r="BK88" s="129">
        <v>10745</v>
      </c>
      <c r="BL88" s="129">
        <v>53525</v>
      </c>
      <c r="BM88" s="129">
        <v>42277</v>
      </c>
      <c r="BN88" s="129">
        <v>47043</v>
      </c>
      <c r="BO88" s="59">
        <v>0</v>
      </c>
      <c r="BP88" s="59">
        <v>0.26219999999999999</v>
      </c>
      <c r="BQ88" s="59">
        <v>0.39860000000000001</v>
      </c>
      <c r="BR88" s="59">
        <v>4.3E-3</v>
      </c>
      <c r="BS88" s="59">
        <v>2.47E-2</v>
      </c>
      <c r="BT88" s="49">
        <v>13.7</v>
      </c>
      <c r="BU88" s="59">
        <f t="shared" si="6"/>
        <v>0.68979999999999997</v>
      </c>
      <c r="BV88" s="59">
        <v>1.9900000000000001E-2</v>
      </c>
      <c r="BW88" s="59">
        <v>1.0200000000000001E-2</v>
      </c>
      <c r="BX88" s="59">
        <v>3.0700000000000002E-2</v>
      </c>
      <c r="BY88" s="59">
        <v>0</v>
      </c>
      <c r="BZ88" s="59">
        <v>0</v>
      </c>
      <c r="CA88" s="49">
        <v>19.2</v>
      </c>
      <c r="CB88" s="59">
        <f t="shared" si="7"/>
        <v>6.0800000000000007E-2</v>
      </c>
      <c r="CC88" s="59">
        <v>0.1416</v>
      </c>
      <c r="CD88" s="125">
        <v>0.33539999999999998</v>
      </c>
      <c r="CE88" s="125">
        <v>0.49409999999999998</v>
      </c>
      <c r="CF88" s="125">
        <v>4.3E-3</v>
      </c>
      <c r="CG88" s="125">
        <v>2.47E-2</v>
      </c>
      <c r="CH88" s="85">
        <v>13.3</v>
      </c>
      <c r="CI88" s="39" t="s">
        <v>183</v>
      </c>
      <c r="CJ88" s="18" t="s">
        <v>80</v>
      </c>
      <c r="CK88" s="20"/>
    </row>
    <row r="89" spans="1:89" x14ac:dyDescent="0.25">
      <c r="A89" s="18" t="s">
        <v>80</v>
      </c>
      <c r="B89" s="19" t="s">
        <v>176</v>
      </c>
      <c r="C89" s="39" t="s">
        <v>184</v>
      </c>
      <c r="D89" s="40">
        <v>132</v>
      </c>
      <c r="E89" s="40" t="s">
        <v>83</v>
      </c>
      <c r="F89" s="40">
        <v>132</v>
      </c>
      <c r="G89" s="162" t="s">
        <v>83</v>
      </c>
      <c r="H89" s="162" t="s">
        <v>83</v>
      </c>
      <c r="I89" s="166">
        <v>3</v>
      </c>
      <c r="J89" s="166">
        <v>32</v>
      </c>
      <c r="K89" s="166">
        <v>48</v>
      </c>
      <c r="L89" s="166">
        <v>35</v>
      </c>
      <c r="M89" s="166">
        <v>14</v>
      </c>
      <c r="N89" s="119">
        <v>9.5100864553314096E-2</v>
      </c>
      <c r="O89" s="119">
        <v>9.5100864553314096E-2</v>
      </c>
      <c r="P89" s="116" t="s">
        <v>83</v>
      </c>
      <c r="Q89" s="116" t="s">
        <v>83</v>
      </c>
      <c r="R89" s="119">
        <v>5.6603773584905703E-2</v>
      </c>
      <c r="S89" s="119">
        <v>7.4245939675173997E-2</v>
      </c>
      <c r="T89" s="119">
        <v>0.12</v>
      </c>
      <c r="U89" s="119">
        <v>0.119047619047619</v>
      </c>
      <c r="V89" s="119">
        <v>6.6666666666666693E-2</v>
      </c>
      <c r="W89" s="40">
        <v>1057</v>
      </c>
      <c r="X89" s="40">
        <f t="shared" si="8"/>
        <v>1057</v>
      </c>
      <c r="Y89" s="40">
        <f t="shared" si="5"/>
        <v>1057</v>
      </c>
      <c r="Z89" s="105">
        <v>0.46700000000000003</v>
      </c>
      <c r="AA89" s="105">
        <v>0.53300000000000003</v>
      </c>
      <c r="AB89" s="106">
        <f>1/1057</f>
        <v>9.4607379375591296E-4</v>
      </c>
      <c r="AC89" s="106">
        <f>24/1057</f>
        <v>2.2705771050141911E-2</v>
      </c>
      <c r="AD89" s="106">
        <f>867/1057</f>
        <v>0.82024597918637654</v>
      </c>
      <c r="AE89" s="106">
        <f>85/1057</f>
        <v>8.0416272469252606E-2</v>
      </c>
      <c r="AF89" s="106">
        <f>2/1057</f>
        <v>1.8921475875118259E-3</v>
      </c>
      <c r="AG89" s="106">
        <f>75/1057</f>
        <v>7.0955534531693468E-2</v>
      </c>
      <c r="AH89" s="106">
        <f>3/1057</f>
        <v>2.8382213812677389E-3</v>
      </c>
      <c r="AI89" s="106">
        <f>982/1057</f>
        <v>0.92904446546830655</v>
      </c>
      <c r="AJ89" s="105">
        <v>0.80321665089877015</v>
      </c>
      <c r="AK89" s="105">
        <v>8.1000000000000003E-2</v>
      </c>
      <c r="AL89" s="12">
        <v>0</v>
      </c>
      <c r="AM89" s="12">
        <v>0</v>
      </c>
      <c r="AN89" s="12">
        <v>39</v>
      </c>
      <c r="AO89" s="12">
        <v>307</v>
      </c>
      <c r="AP89" s="12">
        <v>308</v>
      </c>
      <c r="AQ89" s="12">
        <v>223</v>
      </c>
      <c r="AR89" s="12">
        <v>180</v>
      </c>
      <c r="AS89" s="59">
        <v>0.11271676300578035</v>
      </c>
      <c r="AT89" s="12">
        <v>9</v>
      </c>
      <c r="AU89" s="3">
        <v>6</v>
      </c>
      <c r="AV89" s="54">
        <v>35.807050092764378</v>
      </c>
      <c r="AW89" s="54">
        <v>11.688311688311687</v>
      </c>
      <c r="AX89" s="54">
        <v>17.810760667903523</v>
      </c>
      <c r="AY89" s="68">
        <v>34.693877551020407</v>
      </c>
      <c r="AZ89" s="59">
        <v>0.24279210925644917</v>
      </c>
      <c r="BA89" s="59">
        <v>2.5075492218431445E-3</v>
      </c>
      <c r="BB89" s="77">
        <v>91.242847520592804</v>
      </c>
      <c r="BC89" s="49">
        <v>62.573964497041402</v>
      </c>
      <c r="BD89" s="90" t="s">
        <v>83</v>
      </c>
      <c r="BE89" s="90" t="s">
        <v>83</v>
      </c>
      <c r="BF89" s="49">
        <v>5.6</v>
      </c>
      <c r="BG89" s="49">
        <v>5.5</v>
      </c>
      <c r="BH89" s="49">
        <v>11.4</v>
      </c>
      <c r="BI89" s="49">
        <v>0</v>
      </c>
      <c r="BJ89" s="85">
        <v>17</v>
      </c>
      <c r="BK89" s="129">
        <v>12197</v>
      </c>
      <c r="BL89" s="129">
        <v>52523</v>
      </c>
      <c r="BM89" s="129">
        <v>54805</v>
      </c>
      <c r="BN89" s="129">
        <v>46789</v>
      </c>
      <c r="BO89" s="59">
        <v>1.83E-2</v>
      </c>
      <c r="BP89" s="59">
        <v>0.35210000000000002</v>
      </c>
      <c r="BQ89" s="59">
        <v>0.24709999999999999</v>
      </c>
      <c r="BR89" s="59">
        <v>0</v>
      </c>
      <c r="BS89" s="59">
        <v>3.3399999999999999E-2</v>
      </c>
      <c r="BT89" s="49">
        <v>12.7</v>
      </c>
      <c r="BU89" s="59">
        <f t="shared" si="6"/>
        <v>0.65089999999999992</v>
      </c>
      <c r="BV89" s="59">
        <v>3.2399999999999998E-2</v>
      </c>
      <c r="BW89" s="59">
        <v>0</v>
      </c>
      <c r="BX89" s="59">
        <v>2.7E-2</v>
      </c>
      <c r="BY89" s="59">
        <v>9.1000000000000004E-3</v>
      </c>
      <c r="BZ89" s="59">
        <v>0</v>
      </c>
      <c r="CA89" s="49">
        <v>21.8</v>
      </c>
      <c r="CB89" s="59">
        <f t="shared" si="7"/>
        <v>6.8499999999999991E-2</v>
      </c>
      <c r="CC89" s="59">
        <v>0.14499999999999999</v>
      </c>
      <c r="CD89" s="125">
        <v>0.44900000000000001</v>
      </c>
      <c r="CE89" s="125">
        <v>0.35460000000000003</v>
      </c>
      <c r="CF89" s="125">
        <v>9.1000000000000004E-3</v>
      </c>
      <c r="CG89" s="125">
        <v>4.2299999999999997E-2</v>
      </c>
      <c r="CH89" s="85">
        <v>12.2</v>
      </c>
      <c r="CI89" s="39" t="s">
        <v>184</v>
      </c>
      <c r="CJ89" s="18" t="s">
        <v>80</v>
      </c>
      <c r="CK89" s="20"/>
    </row>
    <row r="90" spans="1:89" x14ac:dyDescent="0.25">
      <c r="A90" s="18" t="s">
        <v>80</v>
      </c>
      <c r="B90" s="19" t="s">
        <v>176</v>
      </c>
      <c r="C90" s="39" t="s">
        <v>185</v>
      </c>
      <c r="D90" s="40">
        <v>49</v>
      </c>
      <c r="E90" s="40" t="s">
        <v>83</v>
      </c>
      <c r="F90" s="40">
        <v>49</v>
      </c>
      <c r="G90" s="162" t="s">
        <v>83</v>
      </c>
      <c r="H90" s="162" t="s">
        <v>83</v>
      </c>
      <c r="I90" s="166">
        <v>0</v>
      </c>
      <c r="J90" s="166">
        <v>8</v>
      </c>
      <c r="K90" s="166">
        <v>18</v>
      </c>
      <c r="L90" s="166">
        <v>13</v>
      </c>
      <c r="M90" s="166">
        <v>10</v>
      </c>
      <c r="N90" s="119">
        <v>3.6109064112011799E-2</v>
      </c>
      <c r="O90" s="119">
        <v>3.6109064112011799E-2</v>
      </c>
      <c r="P90" s="116" t="s">
        <v>83</v>
      </c>
      <c r="Q90" s="116" t="s">
        <v>83</v>
      </c>
      <c r="R90" s="119">
        <v>0</v>
      </c>
      <c r="S90" s="119">
        <v>1.9950124688279301E-2</v>
      </c>
      <c r="T90" s="119">
        <v>5.32544378698225E-2</v>
      </c>
      <c r="U90" s="119">
        <v>4.2622950819672101E-2</v>
      </c>
      <c r="V90" s="119">
        <v>3.5335689045936397E-2</v>
      </c>
      <c r="W90" s="40">
        <v>1153</v>
      </c>
      <c r="X90" s="40">
        <f t="shared" si="8"/>
        <v>1153</v>
      </c>
      <c r="Y90" s="40">
        <f t="shared" si="5"/>
        <v>1153</v>
      </c>
      <c r="Z90" s="105">
        <v>0.46200000000000002</v>
      </c>
      <c r="AA90" s="105">
        <v>0.53800000000000003</v>
      </c>
      <c r="AB90" s="106">
        <f>1/1153</f>
        <v>8.6730268863833475E-4</v>
      </c>
      <c r="AC90" s="106">
        <f>36/1153</f>
        <v>3.1222896790980052E-2</v>
      </c>
      <c r="AD90" s="106">
        <f>697/1153</f>
        <v>0.60450997398091932</v>
      </c>
      <c r="AE90" s="106">
        <f>98/1153</f>
        <v>8.4995663486556808E-2</v>
      </c>
      <c r="AF90" s="106">
        <v>0</v>
      </c>
      <c r="AG90" s="106">
        <f>304/1153</f>
        <v>0.26366001734605377</v>
      </c>
      <c r="AH90" s="106">
        <f>17/1153</f>
        <v>1.4744145706851692E-2</v>
      </c>
      <c r="AI90" s="106">
        <f>849/1153</f>
        <v>0.73633998265394618</v>
      </c>
      <c r="AJ90" s="105">
        <v>0.60277536860364267</v>
      </c>
      <c r="AK90" s="105">
        <v>4.9000000000000002E-2</v>
      </c>
      <c r="AL90" s="12">
        <v>0</v>
      </c>
      <c r="AM90" s="12">
        <v>0</v>
      </c>
      <c r="AN90" s="12">
        <v>25</v>
      </c>
      <c r="AO90" s="12">
        <v>319</v>
      </c>
      <c r="AP90" s="12">
        <v>296</v>
      </c>
      <c r="AQ90" s="12">
        <v>261</v>
      </c>
      <c r="AR90" s="12">
        <v>252</v>
      </c>
      <c r="AS90" s="59">
        <v>7.2674418604651167E-2</v>
      </c>
      <c r="AT90" s="12">
        <v>9</v>
      </c>
      <c r="AU90" s="3">
        <v>6</v>
      </c>
      <c r="AV90" s="54">
        <v>61.363636363636367</v>
      </c>
      <c r="AW90" s="54">
        <v>9.0909090909090917</v>
      </c>
      <c r="AX90" s="54">
        <v>12.5</v>
      </c>
      <c r="AY90" s="68">
        <v>17.045454545454543</v>
      </c>
      <c r="AZ90" s="59">
        <v>0.33006782215523739</v>
      </c>
      <c r="BA90" s="59">
        <v>9.2482866183794365E-4</v>
      </c>
      <c r="BB90" s="77">
        <v>92.765326369580293</v>
      </c>
      <c r="BC90" s="49">
        <v>65.194610778443106</v>
      </c>
      <c r="BD90" s="90" t="s">
        <v>83</v>
      </c>
      <c r="BE90" s="90" t="s">
        <v>83</v>
      </c>
      <c r="BF90" s="49">
        <v>13.4</v>
      </c>
      <c r="BG90" s="49">
        <v>11.6</v>
      </c>
      <c r="BH90" s="49">
        <v>3.6</v>
      </c>
      <c r="BI90" s="49">
        <v>2.4</v>
      </c>
      <c r="BJ90" s="85">
        <v>19.2</v>
      </c>
      <c r="BK90" s="129">
        <v>12415</v>
      </c>
      <c r="BL90" s="129">
        <v>53599</v>
      </c>
      <c r="BM90" s="129">
        <v>48421</v>
      </c>
      <c r="BN90" s="129">
        <v>48147</v>
      </c>
      <c r="BO90" s="59">
        <v>8.2000000000000007E-3</v>
      </c>
      <c r="BP90" s="59">
        <v>0.3695</v>
      </c>
      <c r="BQ90" s="59">
        <v>0.27089999999999997</v>
      </c>
      <c r="BR90" s="59">
        <v>2.4500000000000001E-2</v>
      </c>
      <c r="BS90" s="59">
        <v>2.7400000000000001E-2</v>
      </c>
      <c r="BT90" s="49">
        <v>14.1</v>
      </c>
      <c r="BU90" s="59">
        <f t="shared" si="6"/>
        <v>0.7004999999999999</v>
      </c>
      <c r="BV90" s="59">
        <v>1.6400000000000001E-2</v>
      </c>
      <c r="BW90" s="59">
        <v>1.54E-2</v>
      </c>
      <c r="BX90" s="59">
        <v>1.6400000000000001E-2</v>
      </c>
      <c r="BY90" s="59">
        <v>1.6400000000000001E-2</v>
      </c>
      <c r="BZ90" s="59">
        <v>0</v>
      </c>
      <c r="CA90" s="49">
        <v>13.8</v>
      </c>
      <c r="CB90" s="59">
        <f t="shared" si="7"/>
        <v>6.4600000000000005E-2</v>
      </c>
      <c r="CC90" s="59">
        <v>0.1226</v>
      </c>
      <c r="CD90" s="125">
        <v>0.46429999999999999</v>
      </c>
      <c r="CE90" s="125">
        <v>0.3448</v>
      </c>
      <c r="CF90" s="125">
        <v>4.0899999999999999E-2</v>
      </c>
      <c r="CG90" s="125">
        <v>2.7400000000000001E-2</v>
      </c>
      <c r="CH90" s="85">
        <v>13.3</v>
      </c>
      <c r="CI90" s="39" t="s">
        <v>185</v>
      </c>
      <c r="CJ90" s="18" t="s">
        <v>80</v>
      </c>
      <c r="CK90" s="20"/>
    </row>
    <row r="91" spans="1:89" x14ac:dyDescent="0.25">
      <c r="A91" s="18" t="s">
        <v>80</v>
      </c>
      <c r="B91" s="39" t="s">
        <v>176</v>
      </c>
      <c r="C91" s="39" t="s">
        <v>186</v>
      </c>
      <c r="D91" s="40">
        <v>3</v>
      </c>
      <c r="E91" s="40" t="s">
        <v>83</v>
      </c>
      <c r="F91" s="40">
        <v>3</v>
      </c>
      <c r="G91" s="162" t="s">
        <v>83</v>
      </c>
      <c r="H91" s="162" t="s">
        <v>83</v>
      </c>
      <c r="I91" s="162" t="s">
        <v>83</v>
      </c>
      <c r="J91" s="166">
        <v>1</v>
      </c>
      <c r="K91" s="166">
        <v>0</v>
      </c>
      <c r="L91" s="166">
        <v>0</v>
      </c>
      <c r="M91" s="166">
        <v>2</v>
      </c>
      <c r="N91" s="119">
        <v>1.1904761904761901E-2</v>
      </c>
      <c r="O91" s="119">
        <v>1.1904761904761901E-2</v>
      </c>
      <c r="P91" s="116" t="s">
        <v>83</v>
      </c>
      <c r="Q91" s="116" t="s">
        <v>83</v>
      </c>
      <c r="R91" s="116" t="s">
        <v>83</v>
      </c>
      <c r="S91" s="119">
        <v>1.5151515151515201E-2</v>
      </c>
      <c r="T91" s="119">
        <v>0</v>
      </c>
      <c r="U91" s="119">
        <v>0</v>
      </c>
      <c r="V91" s="119">
        <v>4.2553191489361701E-2</v>
      </c>
      <c r="W91" s="40">
        <v>227</v>
      </c>
      <c r="X91" s="40">
        <f>SUM(AN91:AR91)</f>
        <v>227</v>
      </c>
      <c r="Y91" s="40">
        <f>SUM(AL91:AR91)</f>
        <v>227</v>
      </c>
      <c r="Z91" s="105">
        <v>0.57699999999999996</v>
      </c>
      <c r="AA91" s="105">
        <v>0.42299999999999999</v>
      </c>
      <c r="AB91" s="106">
        <v>0</v>
      </c>
      <c r="AC91" s="106">
        <v>0</v>
      </c>
      <c r="AD91" s="106">
        <f>210/227</f>
        <v>0.92511013215859028</v>
      </c>
      <c r="AE91" s="106">
        <f>8/227</f>
        <v>3.5242290748898682E-2</v>
      </c>
      <c r="AF91" s="106">
        <v>0</v>
      </c>
      <c r="AG91" s="106">
        <f>9/227</f>
        <v>3.9647577092511016E-2</v>
      </c>
      <c r="AH91" s="106">
        <v>0</v>
      </c>
      <c r="AI91" s="106">
        <f>218/227</f>
        <v>0.96035242290748901</v>
      </c>
      <c r="AJ91" s="105">
        <v>0.83700440528634357</v>
      </c>
      <c r="AK91" s="105">
        <v>4.0000000000000001E-3</v>
      </c>
      <c r="AL91" s="12">
        <v>0</v>
      </c>
      <c r="AM91" s="12">
        <v>0</v>
      </c>
      <c r="AN91" s="12">
        <v>0</v>
      </c>
      <c r="AO91" s="12">
        <v>60</v>
      </c>
      <c r="AP91" s="12">
        <v>71</v>
      </c>
      <c r="AQ91" s="12">
        <v>57</v>
      </c>
      <c r="AR91" s="12">
        <v>39</v>
      </c>
      <c r="AS91" s="59">
        <v>0</v>
      </c>
      <c r="AT91" s="12">
        <v>9</v>
      </c>
      <c r="AU91" s="3">
        <v>1</v>
      </c>
      <c r="AV91" s="54">
        <v>93.939393939393938</v>
      </c>
      <c r="AW91" s="54">
        <v>4.5454545454545459</v>
      </c>
      <c r="AX91" s="54">
        <v>1.5151515151515151</v>
      </c>
      <c r="AY91" s="68">
        <v>0</v>
      </c>
      <c r="AZ91" s="59">
        <v>6.0990040709097068E-3</v>
      </c>
      <c r="BA91" s="59">
        <v>0.17928286852589642</v>
      </c>
      <c r="BB91" s="77">
        <v>94.809965035692699</v>
      </c>
      <c r="BC91" s="49">
        <v>44.621513944223103</v>
      </c>
      <c r="BD91" s="90" t="s">
        <v>83</v>
      </c>
      <c r="BE91" s="90" t="s">
        <v>83</v>
      </c>
      <c r="BF91" s="3">
        <v>3.9</v>
      </c>
      <c r="BG91" s="3">
        <v>5.9</v>
      </c>
      <c r="BH91" s="3">
        <v>3.7</v>
      </c>
      <c r="BI91" s="3">
        <v>11.1</v>
      </c>
      <c r="BJ91" s="85">
        <v>17</v>
      </c>
      <c r="BK91" s="129">
        <v>11765</v>
      </c>
      <c r="BL91" s="129">
        <v>49467</v>
      </c>
      <c r="BM91" s="129">
        <v>60548</v>
      </c>
      <c r="BN91" s="129">
        <v>51896</v>
      </c>
      <c r="BO91" s="59">
        <v>0</v>
      </c>
      <c r="BP91" s="59">
        <v>0.52310000000000001</v>
      </c>
      <c r="BQ91" s="59">
        <v>0.2303</v>
      </c>
      <c r="BR91" s="59">
        <v>0</v>
      </c>
      <c r="BS91" s="59">
        <v>0</v>
      </c>
      <c r="BT91" s="49">
        <v>1.3</v>
      </c>
      <c r="BU91" s="59">
        <f t="shared" si="6"/>
        <v>0.75340000000000007</v>
      </c>
      <c r="BV91" s="59">
        <v>0</v>
      </c>
      <c r="BW91" s="59">
        <v>7.1999999999999995E-2</v>
      </c>
      <c r="BX91" s="59">
        <v>2.4E-2</v>
      </c>
      <c r="BY91" s="59">
        <v>0</v>
      </c>
      <c r="BZ91" s="59">
        <v>0</v>
      </c>
      <c r="CA91" s="49">
        <v>2.2999999999999998</v>
      </c>
      <c r="CB91" s="59">
        <f t="shared" si="7"/>
        <v>9.6000000000000002E-2</v>
      </c>
      <c r="CC91" s="59">
        <v>5.0000000000000001E-3</v>
      </c>
      <c r="CD91" s="125">
        <v>0.69259999999999999</v>
      </c>
      <c r="CE91" s="125">
        <v>0.27839999999999998</v>
      </c>
      <c r="CF91" s="125">
        <v>0</v>
      </c>
      <c r="CG91" s="125">
        <v>2.4E-2</v>
      </c>
      <c r="CH91" s="85">
        <v>1.8</v>
      </c>
      <c r="CI91" s="39" t="s">
        <v>186</v>
      </c>
      <c r="CJ91" s="18" t="s">
        <v>80</v>
      </c>
      <c r="CK91" s="20"/>
    </row>
    <row r="92" spans="1:89" x14ac:dyDescent="0.25">
      <c r="A92" s="18" t="s">
        <v>80</v>
      </c>
      <c r="B92" s="39" t="s">
        <v>176</v>
      </c>
      <c r="C92" s="39" t="s">
        <v>187</v>
      </c>
      <c r="D92" s="40">
        <v>7</v>
      </c>
      <c r="E92" s="40" t="s">
        <v>83</v>
      </c>
      <c r="F92" s="40">
        <v>7</v>
      </c>
      <c r="G92" s="162" t="s">
        <v>83</v>
      </c>
      <c r="H92" s="162" t="s">
        <v>83</v>
      </c>
      <c r="I92" s="162" t="s">
        <v>83</v>
      </c>
      <c r="J92" s="166">
        <v>1</v>
      </c>
      <c r="K92" s="166">
        <v>2</v>
      </c>
      <c r="L92" s="166">
        <v>2</v>
      </c>
      <c r="M92" s="166">
        <v>2</v>
      </c>
      <c r="N92" s="119">
        <v>2.4561403508771899E-2</v>
      </c>
      <c r="O92" s="119">
        <v>2.4561403508771899E-2</v>
      </c>
      <c r="P92" s="116" t="s">
        <v>83</v>
      </c>
      <c r="Q92" s="116" t="s">
        <v>83</v>
      </c>
      <c r="R92" s="116" t="s">
        <v>83</v>
      </c>
      <c r="S92" s="119">
        <v>1.3698630136986301E-2</v>
      </c>
      <c r="T92" s="119">
        <v>2.7777777777777801E-2</v>
      </c>
      <c r="U92" s="119">
        <v>2.1978021978022001E-2</v>
      </c>
      <c r="V92" s="119">
        <v>4.08163265306122E-2</v>
      </c>
      <c r="W92" s="40">
        <v>262</v>
      </c>
      <c r="X92" s="40">
        <f>SUM(AN92:AR92)</f>
        <v>262</v>
      </c>
      <c r="Y92" s="40">
        <f>SUM(AL92:AR92)</f>
        <v>262</v>
      </c>
      <c r="Z92" s="105">
        <v>0.435</v>
      </c>
      <c r="AA92" s="105">
        <v>0.56499999999999995</v>
      </c>
      <c r="AB92" s="106">
        <v>0</v>
      </c>
      <c r="AC92" s="106">
        <f>3/262</f>
        <v>1.1450381679389313E-2</v>
      </c>
      <c r="AD92" s="106">
        <f>250/262</f>
        <v>0.95419847328244278</v>
      </c>
      <c r="AE92" s="106">
        <f>2/262</f>
        <v>7.6335877862595417E-3</v>
      </c>
      <c r="AF92" s="106">
        <v>0</v>
      </c>
      <c r="AG92" s="106">
        <f>7/262</f>
        <v>2.6717557251908396E-2</v>
      </c>
      <c r="AH92" s="106">
        <v>0</v>
      </c>
      <c r="AI92" s="106">
        <f>255/262</f>
        <v>0.97328244274809161</v>
      </c>
      <c r="AJ92" s="105">
        <v>0.85877862595419852</v>
      </c>
      <c r="AK92" s="105">
        <v>8.0000000000000002E-3</v>
      </c>
      <c r="AL92" s="12">
        <v>0</v>
      </c>
      <c r="AM92" s="12">
        <v>0</v>
      </c>
      <c r="AN92" s="12">
        <v>0</v>
      </c>
      <c r="AO92" s="12">
        <v>68</v>
      </c>
      <c r="AP92" s="12">
        <v>67</v>
      </c>
      <c r="AQ92" s="12">
        <v>84</v>
      </c>
      <c r="AR92" s="12">
        <v>43</v>
      </c>
      <c r="AS92" s="59">
        <v>0</v>
      </c>
      <c r="AT92" s="12">
        <v>9</v>
      </c>
      <c r="AU92" s="3">
        <v>1</v>
      </c>
      <c r="AV92" s="54">
        <v>89.054726368159209</v>
      </c>
      <c r="AW92" s="54">
        <v>9.4527363184079594</v>
      </c>
      <c r="AX92" s="54">
        <v>1.4925373134328357</v>
      </c>
      <c r="AY92" s="68">
        <v>0</v>
      </c>
      <c r="AZ92" s="59">
        <v>6.0990040709097068E-3</v>
      </c>
      <c r="BA92" s="59">
        <v>0.18571428571428572</v>
      </c>
      <c r="BB92" s="81">
        <v>96</v>
      </c>
      <c r="BC92" s="49">
        <v>47.857142857142897</v>
      </c>
      <c r="BD92" s="90" t="s">
        <v>83</v>
      </c>
      <c r="BE92" s="90" t="s">
        <v>83</v>
      </c>
      <c r="BF92" s="3">
        <v>0</v>
      </c>
      <c r="BG92" s="3">
        <v>6.6</v>
      </c>
      <c r="BH92" s="3">
        <v>0</v>
      </c>
      <c r="BI92" s="3">
        <v>18.399999999999999</v>
      </c>
      <c r="BJ92" s="85">
        <v>16.600000000000001</v>
      </c>
      <c r="BK92" s="129">
        <v>10776</v>
      </c>
      <c r="BL92" s="129">
        <v>49442</v>
      </c>
      <c r="BM92" s="129">
        <v>60548</v>
      </c>
      <c r="BN92" s="129">
        <v>51739</v>
      </c>
      <c r="BO92" s="59">
        <v>0</v>
      </c>
      <c r="BP92" s="59">
        <v>0.52349999999999997</v>
      </c>
      <c r="BQ92" s="59">
        <v>0.2258</v>
      </c>
      <c r="BR92" s="59">
        <v>0</v>
      </c>
      <c r="BS92" s="59">
        <v>0</v>
      </c>
      <c r="BT92" s="49">
        <v>1.3</v>
      </c>
      <c r="BU92" s="59">
        <f t="shared" si="6"/>
        <v>0.74929999999999997</v>
      </c>
      <c r="BV92" s="59">
        <v>0</v>
      </c>
      <c r="BW92" s="59">
        <v>7.2099999999999997E-2</v>
      </c>
      <c r="BX92" s="59">
        <v>2.4E-2</v>
      </c>
      <c r="BY92" s="59">
        <v>0</v>
      </c>
      <c r="BZ92" s="59">
        <v>0</v>
      </c>
      <c r="CA92" s="49">
        <v>2.2999999999999998</v>
      </c>
      <c r="CB92" s="59">
        <f t="shared" si="7"/>
        <v>9.6099999999999991E-2</v>
      </c>
      <c r="CC92" s="59">
        <v>8.8999999999999999E-3</v>
      </c>
      <c r="CD92" s="125">
        <v>0.69320000000000004</v>
      </c>
      <c r="CE92" s="125">
        <v>0.27389999999999998</v>
      </c>
      <c r="CF92" s="125">
        <v>0</v>
      </c>
      <c r="CG92" s="125">
        <v>2.4E-2</v>
      </c>
      <c r="CH92" s="85">
        <v>1.8</v>
      </c>
      <c r="CI92" s="39" t="s">
        <v>187</v>
      </c>
      <c r="CJ92" s="18" t="s">
        <v>80</v>
      </c>
      <c r="CK92" s="20"/>
    </row>
    <row r="93" spans="1:89" x14ac:dyDescent="0.25">
      <c r="A93" s="18" t="s">
        <v>80</v>
      </c>
      <c r="B93" s="19" t="s">
        <v>176</v>
      </c>
      <c r="C93" s="39" t="s">
        <v>188</v>
      </c>
      <c r="D93" s="40">
        <v>0</v>
      </c>
      <c r="E93" s="40" t="s">
        <v>83</v>
      </c>
      <c r="F93" s="40">
        <v>0</v>
      </c>
      <c r="G93" s="162" t="s">
        <v>83</v>
      </c>
      <c r="H93" s="162" t="s">
        <v>83</v>
      </c>
      <c r="I93" s="162" t="s">
        <v>83</v>
      </c>
      <c r="J93" s="166">
        <v>0</v>
      </c>
      <c r="K93" s="166">
        <v>0</v>
      </c>
      <c r="L93" s="166">
        <v>0</v>
      </c>
      <c r="M93" s="166">
        <v>0</v>
      </c>
      <c r="N93" s="119">
        <v>0</v>
      </c>
      <c r="O93" s="119">
        <v>0</v>
      </c>
      <c r="P93" s="116" t="s">
        <v>83</v>
      </c>
      <c r="Q93" s="116" t="s">
        <v>83</v>
      </c>
      <c r="R93" s="116" t="s">
        <v>83</v>
      </c>
      <c r="S93" s="119">
        <v>0</v>
      </c>
      <c r="T93" s="119">
        <v>0</v>
      </c>
      <c r="U93" s="119">
        <v>0</v>
      </c>
      <c r="V93" s="119">
        <v>0</v>
      </c>
      <c r="W93" s="40">
        <v>350</v>
      </c>
      <c r="X93" s="40">
        <f t="shared" si="8"/>
        <v>350</v>
      </c>
      <c r="Y93" s="40">
        <f t="shared" si="5"/>
        <v>350</v>
      </c>
      <c r="Z93" s="105">
        <v>0.54</v>
      </c>
      <c r="AA93" s="105">
        <v>0.46</v>
      </c>
      <c r="AB93" s="106">
        <v>0</v>
      </c>
      <c r="AC93" s="106">
        <f>13/350</f>
        <v>3.7142857142857144E-2</v>
      </c>
      <c r="AD93" s="106">
        <f>237/350</f>
        <v>0.67714285714285716</v>
      </c>
      <c r="AE93" s="106">
        <f>15/350</f>
        <v>4.2857142857142858E-2</v>
      </c>
      <c r="AF93" s="106">
        <f>2/350</f>
        <v>5.7142857142857143E-3</v>
      </c>
      <c r="AG93" s="106">
        <f>79/350</f>
        <v>0.2257142857142857</v>
      </c>
      <c r="AH93" s="106">
        <f>4/350</f>
        <v>1.1428571428571429E-2</v>
      </c>
      <c r="AI93" s="106">
        <f>271/350</f>
        <v>0.77428571428571424</v>
      </c>
      <c r="AJ93" s="105">
        <v>0.56285714285714283</v>
      </c>
      <c r="AK93" s="105">
        <v>6.0000000000000001E-3</v>
      </c>
      <c r="AL93" s="12">
        <v>0</v>
      </c>
      <c r="AM93" s="12">
        <v>0</v>
      </c>
      <c r="AN93" s="12">
        <v>0</v>
      </c>
      <c r="AO93" s="12">
        <v>166</v>
      </c>
      <c r="AP93" s="12">
        <v>82</v>
      </c>
      <c r="AQ93" s="12">
        <v>58</v>
      </c>
      <c r="AR93" s="12">
        <v>44</v>
      </c>
      <c r="AS93" s="59">
        <v>0</v>
      </c>
      <c r="AT93" s="12">
        <v>9</v>
      </c>
      <c r="AU93" s="3">
        <v>7</v>
      </c>
      <c r="AV93" s="54">
        <v>62.130177514792898</v>
      </c>
      <c r="AW93" s="54">
        <v>9.4674556213017755</v>
      </c>
      <c r="AX93" s="54">
        <v>17.159763313609467</v>
      </c>
      <c r="AY93" s="68">
        <v>11.242603550295858</v>
      </c>
      <c r="AZ93" s="59">
        <v>0.15041782729805014</v>
      </c>
      <c r="BA93" s="59">
        <v>0</v>
      </c>
      <c r="BB93" s="81">
        <v>96</v>
      </c>
      <c r="BC93" s="49">
        <v>52.367688022284099</v>
      </c>
      <c r="BD93" s="90" t="s">
        <v>83</v>
      </c>
      <c r="BE93" s="90" t="s">
        <v>83</v>
      </c>
      <c r="BF93" s="49">
        <v>1.3</v>
      </c>
      <c r="BG93" s="49">
        <v>2.6</v>
      </c>
      <c r="BH93" s="49">
        <v>0</v>
      </c>
      <c r="BI93" s="49">
        <v>2.4</v>
      </c>
      <c r="BJ93" s="85">
        <v>20.2</v>
      </c>
      <c r="BK93" s="129">
        <v>14504</v>
      </c>
      <c r="BL93" s="129">
        <v>54576</v>
      </c>
      <c r="BM93" s="129">
        <v>46515</v>
      </c>
      <c r="BN93" s="129">
        <v>50833</v>
      </c>
      <c r="BO93" s="59">
        <v>0</v>
      </c>
      <c r="BP93" s="59">
        <v>0.28029999999999999</v>
      </c>
      <c r="BQ93" s="59">
        <v>0.33800000000000002</v>
      </c>
      <c r="BR93" s="59">
        <v>0</v>
      </c>
      <c r="BS93" s="59">
        <v>4.4600000000000001E-2</v>
      </c>
      <c r="BT93" s="49">
        <v>13.4</v>
      </c>
      <c r="BU93" s="59">
        <f t="shared" si="6"/>
        <v>0.66290000000000004</v>
      </c>
      <c r="BV93" s="59">
        <v>6.7199999999999996E-2</v>
      </c>
      <c r="BW93" s="59">
        <v>2.24E-2</v>
      </c>
      <c r="BX93" s="59">
        <v>2.24E-2</v>
      </c>
      <c r="BY93" s="59">
        <v>0</v>
      </c>
      <c r="BZ93" s="59">
        <v>0</v>
      </c>
      <c r="CA93" s="49">
        <v>10.8</v>
      </c>
      <c r="CB93" s="59">
        <f t="shared" si="7"/>
        <v>0.112</v>
      </c>
      <c r="CC93" s="59">
        <v>0.112</v>
      </c>
      <c r="CD93" s="125">
        <v>0.39510000000000001</v>
      </c>
      <c r="CE93" s="125">
        <v>0.4481</v>
      </c>
      <c r="CF93" s="125">
        <v>0</v>
      </c>
      <c r="CG93" s="125">
        <v>4.48E-2</v>
      </c>
      <c r="CH93" s="85">
        <v>12.9</v>
      </c>
      <c r="CI93" s="39" t="s">
        <v>188</v>
      </c>
      <c r="CJ93" s="18" t="s">
        <v>80</v>
      </c>
      <c r="CK93" s="20"/>
    </row>
    <row r="94" spans="1:89" x14ac:dyDescent="0.25">
      <c r="A94" s="18" t="s">
        <v>80</v>
      </c>
      <c r="B94" s="19" t="s">
        <v>189</v>
      </c>
      <c r="C94" s="39" t="s">
        <v>190</v>
      </c>
      <c r="D94" s="40">
        <v>2</v>
      </c>
      <c r="E94" s="40" t="s">
        <v>83</v>
      </c>
      <c r="F94" s="40">
        <v>2</v>
      </c>
      <c r="G94" s="162" t="s">
        <v>83</v>
      </c>
      <c r="H94" s="162" t="s">
        <v>83</v>
      </c>
      <c r="I94" s="166">
        <v>0</v>
      </c>
      <c r="J94" s="166">
        <v>1</v>
      </c>
      <c r="K94" s="166">
        <v>0</v>
      </c>
      <c r="L94" s="166">
        <v>1</v>
      </c>
      <c r="M94" s="166">
        <v>0</v>
      </c>
      <c r="N94" s="119">
        <v>6.8259385665529002E-3</v>
      </c>
      <c r="O94" s="119">
        <v>6.8259385665529002E-3</v>
      </c>
      <c r="P94" s="116" t="s">
        <v>83</v>
      </c>
      <c r="Q94" s="116" t="s">
        <v>83</v>
      </c>
      <c r="R94" s="119">
        <v>0</v>
      </c>
      <c r="S94" s="119">
        <v>1.2987012987013E-2</v>
      </c>
      <c r="T94" s="119">
        <v>0</v>
      </c>
      <c r="U94" s="119">
        <v>1.4492753623188401E-2</v>
      </c>
      <c r="V94" s="119">
        <v>0</v>
      </c>
      <c r="W94" s="40">
        <v>271</v>
      </c>
      <c r="X94" s="40">
        <f t="shared" si="8"/>
        <v>271</v>
      </c>
      <c r="Y94" s="40">
        <f t="shared" si="5"/>
        <v>271</v>
      </c>
      <c r="Z94" s="105">
        <v>0.53900000000000003</v>
      </c>
      <c r="AA94" s="105">
        <v>0.46100000000000002</v>
      </c>
      <c r="AB94" s="106">
        <v>0</v>
      </c>
      <c r="AC94" s="106">
        <v>0</v>
      </c>
      <c r="AD94" s="106">
        <f>269/271</f>
        <v>0.99261992619926198</v>
      </c>
      <c r="AE94" s="106">
        <v>0</v>
      </c>
      <c r="AF94" s="106">
        <v>0</v>
      </c>
      <c r="AG94" s="106">
        <f>1/271</f>
        <v>3.6900369003690036E-3</v>
      </c>
      <c r="AH94" s="106">
        <f>1/271</f>
        <v>3.6900369003690036E-3</v>
      </c>
      <c r="AI94" s="106">
        <f>270/271</f>
        <v>0.99630996309963105</v>
      </c>
      <c r="AJ94" s="105">
        <v>0.93357933579335795</v>
      </c>
      <c r="AK94" s="105">
        <v>0</v>
      </c>
      <c r="AL94" s="12">
        <v>0</v>
      </c>
      <c r="AM94" s="12">
        <v>0</v>
      </c>
      <c r="AN94" s="12">
        <v>6</v>
      </c>
      <c r="AO94" s="12">
        <v>69</v>
      </c>
      <c r="AP94" s="12">
        <v>73</v>
      </c>
      <c r="AQ94" s="12">
        <v>63</v>
      </c>
      <c r="AR94" s="12">
        <v>60</v>
      </c>
      <c r="AS94" s="59">
        <v>0.08</v>
      </c>
      <c r="AT94" s="12">
        <v>9</v>
      </c>
      <c r="AU94" s="3">
        <v>6</v>
      </c>
      <c r="AV94" s="54">
        <v>92.356687898089177</v>
      </c>
      <c r="AW94" s="54">
        <v>7.6433121019108281</v>
      </c>
      <c r="AX94" s="54">
        <v>0</v>
      </c>
      <c r="AY94" s="68">
        <v>0</v>
      </c>
      <c r="AZ94" s="59">
        <v>0.20862244881809724</v>
      </c>
      <c r="BA94" s="59">
        <v>9.0579710144927537E-4</v>
      </c>
      <c r="BB94" s="77">
        <v>92.132518382711794</v>
      </c>
      <c r="BC94" s="49">
        <v>5.8419243986254301</v>
      </c>
      <c r="BD94" s="90" t="s">
        <v>83</v>
      </c>
      <c r="BE94" s="90" t="s">
        <v>83</v>
      </c>
      <c r="BF94" s="49">
        <v>11.9</v>
      </c>
      <c r="BG94" s="49">
        <v>6.1</v>
      </c>
      <c r="BH94" s="49">
        <v>3.3</v>
      </c>
      <c r="BI94" s="49">
        <v>0</v>
      </c>
      <c r="BJ94" s="85">
        <v>16.8</v>
      </c>
      <c r="BK94" s="129">
        <v>15261</v>
      </c>
      <c r="BL94" s="129">
        <v>47768</v>
      </c>
      <c r="BM94" s="129">
        <v>54340</v>
      </c>
      <c r="BN94" s="129">
        <v>35282</v>
      </c>
      <c r="BO94" s="59">
        <v>0</v>
      </c>
      <c r="BP94" s="59">
        <v>0.1648</v>
      </c>
      <c r="BQ94" s="59">
        <v>0.27389999999999998</v>
      </c>
      <c r="BR94" s="59">
        <v>0</v>
      </c>
      <c r="BS94" s="59">
        <v>2.12E-2</v>
      </c>
      <c r="BT94" s="49">
        <v>25.6</v>
      </c>
      <c r="BU94" s="59">
        <f t="shared" si="6"/>
        <v>0.45989999999999998</v>
      </c>
      <c r="BV94" s="59">
        <v>0</v>
      </c>
      <c r="BW94" s="59">
        <v>2.12E-2</v>
      </c>
      <c r="BX94" s="59">
        <v>4.2500000000000003E-2</v>
      </c>
      <c r="BY94" s="59">
        <v>0</v>
      </c>
      <c r="BZ94" s="59">
        <v>0</v>
      </c>
      <c r="CA94" s="49">
        <v>17</v>
      </c>
      <c r="CB94" s="59">
        <f t="shared" si="7"/>
        <v>6.3700000000000007E-2</v>
      </c>
      <c r="CC94" s="59">
        <v>0.34499999999999997</v>
      </c>
      <c r="CD94" s="125">
        <v>0.29570000000000002</v>
      </c>
      <c r="CE94" s="125">
        <v>0.33800000000000002</v>
      </c>
      <c r="CF94" s="125">
        <v>0</v>
      </c>
      <c r="CG94" s="125">
        <v>2.12E-2</v>
      </c>
      <c r="CH94" s="85">
        <v>19.8</v>
      </c>
      <c r="CI94" s="39" t="s">
        <v>190</v>
      </c>
      <c r="CJ94" s="18" t="s">
        <v>80</v>
      </c>
      <c r="CK94" s="20"/>
    </row>
    <row r="95" spans="1:89" x14ac:dyDescent="0.25">
      <c r="A95" s="18" t="s">
        <v>80</v>
      </c>
      <c r="B95" s="19" t="s">
        <v>191</v>
      </c>
      <c r="C95" s="39" t="s">
        <v>192</v>
      </c>
      <c r="D95" s="40">
        <v>12</v>
      </c>
      <c r="E95" s="40" t="s">
        <v>83</v>
      </c>
      <c r="F95" s="40">
        <v>12</v>
      </c>
      <c r="G95" s="162" t="s">
        <v>83</v>
      </c>
      <c r="H95" s="162" t="s">
        <v>83</v>
      </c>
      <c r="I95" s="162" t="s">
        <v>83</v>
      </c>
      <c r="J95" s="170">
        <v>3</v>
      </c>
      <c r="K95" s="170">
        <v>6</v>
      </c>
      <c r="L95" s="170">
        <v>2</v>
      </c>
      <c r="M95" s="170">
        <v>1</v>
      </c>
      <c r="N95" s="119">
        <v>2.9197080291970798E-2</v>
      </c>
      <c r="O95" s="119">
        <v>2.9197080291970798E-2</v>
      </c>
      <c r="P95" s="116" t="s">
        <v>83</v>
      </c>
      <c r="Q95" s="116" t="s">
        <v>83</v>
      </c>
      <c r="R95" s="116" t="s">
        <v>83</v>
      </c>
      <c r="S95" s="119">
        <v>2.4E-2</v>
      </c>
      <c r="T95" s="119">
        <v>5.3571428571428603E-2</v>
      </c>
      <c r="U95" s="119">
        <v>2.4691358024691398E-2</v>
      </c>
      <c r="V95" s="119">
        <v>1.0752688172042999E-2</v>
      </c>
      <c r="W95" s="40">
        <v>390</v>
      </c>
      <c r="X95" s="40">
        <f t="shared" si="8"/>
        <v>390</v>
      </c>
      <c r="Y95" s="40">
        <f t="shared" si="5"/>
        <v>390</v>
      </c>
      <c r="Z95" s="105">
        <v>0.51500000000000001</v>
      </c>
      <c r="AA95" s="105">
        <v>0.48499999999999999</v>
      </c>
      <c r="AB95" s="106">
        <v>0</v>
      </c>
      <c r="AC95" s="106">
        <v>0</v>
      </c>
      <c r="AD95" s="106">
        <f>362/390</f>
        <v>0.92820512820512824</v>
      </c>
      <c r="AE95" s="106">
        <v>0</v>
      </c>
      <c r="AF95" s="106">
        <v>0</v>
      </c>
      <c r="AG95" s="106">
        <f>27/390</f>
        <v>6.9230769230769235E-2</v>
      </c>
      <c r="AH95" s="106">
        <f>1/390</f>
        <v>2.5641025641025641E-3</v>
      </c>
      <c r="AI95" s="106">
        <f>363/390</f>
        <v>0.93076923076923079</v>
      </c>
      <c r="AJ95" s="105">
        <v>0.81025641025641026</v>
      </c>
      <c r="AK95" s="105">
        <v>0</v>
      </c>
      <c r="AL95" s="12">
        <v>0</v>
      </c>
      <c r="AM95" s="12">
        <v>0</v>
      </c>
      <c r="AN95" s="12">
        <v>0</v>
      </c>
      <c r="AO95" s="12">
        <v>120</v>
      </c>
      <c r="AP95" s="12">
        <v>104</v>
      </c>
      <c r="AQ95" s="12">
        <v>81</v>
      </c>
      <c r="AR95" s="12">
        <v>85</v>
      </c>
      <c r="AS95" s="59">
        <v>0</v>
      </c>
      <c r="AT95" s="12">
        <v>9</v>
      </c>
      <c r="AU95" s="3">
        <v>6</v>
      </c>
      <c r="AV95" s="54">
        <v>52.238805970149251</v>
      </c>
      <c r="AW95" s="54">
        <v>27.611940298507463</v>
      </c>
      <c r="AX95" s="54">
        <v>18.656716417910449</v>
      </c>
      <c r="AY95" s="68">
        <v>1.4925373134328357</v>
      </c>
      <c r="AZ95" s="59">
        <v>0.11793611793611794</v>
      </c>
      <c r="BA95" s="59">
        <v>7.619815810286254E-2</v>
      </c>
      <c r="BB95" s="81">
        <v>96</v>
      </c>
      <c r="BC95" s="49">
        <v>25.798525798525802</v>
      </c>
      <c r="BD95" s="90" t="s">
        <v>83</v>
      </c>
      <c r="BE95" s="90" t="s">
        <v>83</v>
      </c>
      <c r="BF95" s="49">
        <v>3.6</v>
      </c>
      <c r="BG95" s="49">
        <v>5.3</v>
      </c>
      <c r="BH95" s="49">
        <v>0</v>
      </c>
      <c r="BI95" s="49">
        <v>0</v>
      </c>
      <c r="BJ95" s="85">
        <v>17.100000000000001</v>
      </c>
      <c r="BK95" s="129">
        <v>12094</v>
      </c>
      <c r="BL95" s="129">
        <v>39696</v>
      </c>
      <c r="BM95" s="129">
        <v>51045</v>
      </c>
      <c r="BN95" s="129">
        <v>32264</v>
      </c>
      <c r="BO95" s="59">
        <v>0</v>
      </c>
      <c r="BP95" s="59">
        <v>0.3488</v>
      </c>
      <c r="BQ95" s="59">
        <v>9.3299999999999994E-2</v>
      </c>
      <c r="BR95" s="59">
        <v>1.2699999999999999E-2</v>
      </c>
      <c r="BS95" s="59">
        <v>0</v>
      </c>
      <c r="BT95" s="49">
        <v>6.3</v>
      </c>
      <c r="BU95" s="59">
        <f t="shared" si="6"/>
        <v>0.45479999999999998</v>
      </c>
      <c r="BV95" s="59">
        <v>1.8100000000000002E-2</v>
      </c>
      <c r="BW95" s="59">
        <v>0</v>
      </c>
      <c r="BX95" s="59">
        <v>3.7499999999999999E-2</v>
      </c>
      <c r="BY95" s="59">
        <v>0</v>
      </c>
      <c r="BZ95" s="59">
        <v>1.0999999999999999E-2</v>
      </c>
      <c r="CA95" s="49">
        <v>14.6</v>
      </c>
      <c r="CB95" s="59">
        <f t="shared" si="7"/>
        <v>6.6599999999999993E-2</v>
      </c>
      <c r="CC95" s="59">
        <v>0.37859999999999999</v>
      </c>
      <c r="CD95" s="125">
        <v>0.4128</v>
      </c>
      <c r="CE95" s="125">
        <v>0.18490000000000001</v>
      </c>
      <c r="CF95" s="125">
        <v>1.2699999999999999E-2</v>
      </c>
      <c r="CG95" s="125">
        <v>1.0999999999999999E-2</v>
      </c>
      <c r="CH95" s="85">
        <v>9.6</v>
      </c>
      <c r="CI95" s="39" t="s">
        <v>192</v>
      </c>
      <c r="CJ95" s="18" t="s">
        <v>80</v>
      </c>
      <c r="CK95" s="20"/>
    </row>
    <row r="96" spans="1:89" x14ac:dyDescent="0.25">
      <c r="A96" s="18" t="s">
        <v>80</v>
      </c>
      <c r="B96" s="19" t="s">
        <v>191</v>
      </c>
      <c r="C96" s="39" t="s">
        <v>193</v>
      </c>
      <c r="D96" s="40">
        <v>11</v>
      </c>
      <c r="E96" s="40">
        <v>4</v>
      </c>
      <c r="F96" s="40">
        <v>7</v>
      </c>
      <c r="G96" s="166">
        <v>0</v>
      </c>
      <c r="H96" s="166">
        <v>4</v>
      </c>
      <c r="I96" s="162" t="s">
        <v>83</v>
      </c>
      <c r="J96" s="166">
        <v>3</v>
      </c>
      <c r="K96" s="166">
        <v>2</v>
      </c>
      <c r="L96" s="166">
        <v>2</v>
      </c>
      <c r="M96" s="162" t="s">
        <v>83</v>
      </c>
      <c r="N96" s="119">
        <v>3.7671232876712299E-2</v>
      </c>
      <c r="O96" s="119">
        <v>4.8275862068965503E-2</v>
      </c>
      <c r="P96" s="119">
        <v>0</v>
      </c>
      <c r="Q96" s="119">
        <v>5.4054054054054099E-2</v>
      </c>
      <c r="R96" s="116" t="s">
        <v>83</v>
      </c>
      <c r="S96" s="119">
        <v>6.1224489795918401E-2</v>
      </c>
      <c r="T96" s="119">
        <v>0.04</v>
      </c>
      <c r="U96" s="119">
        <v>4.3478260869565202E-2</v>
      </c>
      <c r="V96" s="116" t="s">
        <v>83</v>
      </c>
      <c r="W96" s="40">
        <v>255</v>
      </c>
      <c r="X96" s="40">
        <f t="shared" si="8"/>
        <v>128</v>
      </c>
      <c r="Y96" s="40">
        <f t="shared" si="5"/>
        <v>255</v>
      </c>
      <c r="Z96" s="105">
        <v>0.51800000000000002</v>
      </c>
      <c r="AA96" s="105">
        <v>0.48199999999999998</v>
      </c>
      <c r="AB96" s="106">
        <v>0</v>
      </c>
      <c r="AC96" s="106">
        <v>0</v>
      </c>
      <c r="AD96" s="106">
        <f>78/255</f>
        <v>0.30588235294117649</v>
      </c>
      <c r="AE96" s="106">
        <f>1/255</f>
        <v>3.9215686274509803E-3</v>
      </c>
      <c r="AF96" s="106">
        <v>0</v>
      </c>
      <c r="AG96" s="106">
        <f>176/255</f>
        <v>0.69019607843137254</v>
      </c>
      <c r="AH96" s="106">
        <v>0</v>
      </c>
      <c r="AI96" s="106">
        <f>79/255</f>
        <v>0.30980392156862746</v>
      </c>
      <c r="AJ96" s="105">
        <v>0.61960784313725492</v>
      </c>
      <c r="AK96" s="105">
        <v>0</v>
      </c>
      <c r="AL96" s="12">
        <v>63</v>
      </c>
      <c r="AM96" s="12">
        <v>64</v>
      </c>
      <c r="AN96" s="12">
        <v>0</v>
      </c>
      <c r="AO96" s="12">
        <v>40</v>
      </c>
      <c r="AP96" s="12">
        <v>48</v>
      </c>
      <c r="AQ96" s="12">
        <v>40</v>
      </c>
      <c r="AR96" s="12">
        <v>0</v>
      </c>
      <c r="AS96" s="59">
        <v>0</v>
      </c>
      <c r="AT96" s="12">
        <v>7</v>
      </c>
      <c r="AU96" s="3">
        <v>1</v>
      </c>
      <c r="AV96" s="54">
        <v>58.974358974358978</v>
      </c>
      <c r="AW96" s="54">
        <v>35.897435897435898</v>
      </c>
      <c r="AX96" s="54">
        <v>3.8461538461538463</v>
      </c>
      <c r="AY96" s="68">
        <v>1.2820512820512819</v>
      </c>
      <c r="AZ96" s="59">
        <v>0</v>
      </c>
      <c r="BA96" s="59">
        <v>0.10801393728222997</v>
      </c>
      <c r="BB96" s="81">
        <v>96</v>
      </c>
      <c r="BC96" s="49">
        <v>18.75</v>
      </c>
      <c r="BD96" s="49">
        <v>4.5</v>
      </c>
      <c r="BE96" s="49">
        <v>7.9</v>
      </c>
      <c r="BF96" s="49">
        <v>9.8000000000000007</v>
      </c>
      <c r="BG96" s="49">
        <v>0</v>
      </c>
      <c r="BH96" s="49">
        <v>0</v>
      </c>
      <c r="BI96" s="90" t="s">
        <v>83</v>
      </c>
      <c r="BJ96" s="3"/>
      <c r="BK96" s="129"/>
      <c r="BL96" s="129"/>
      <c r="BM96" s="129"/>
      <c r="BN96" s="129"/>
      <c r="BO96" s="59"/>
      <c r="BP96" s="59"/>
      <c r="BQ96" s="59"/>
      <c r="BR96" s="59"/>
      <c r="BS96" s="59"/>
      <c r="BT96" s="49"/>
      <c r="BU96" s="59"/>
      <c r="BV96" s="59"/>
      <c r="BW96" s="59"/>
      <c r="BX96" s="59"/>
      <c r="BY96" s="59"/>
      <c r="BZ96" s="59"/>
      <c r="CA96" s="49"/>
      <c r="CB96" s="59"/>
      <c r="CC96" s="59"/>
      <c r="CD96" s="59"/>
      <c r="CE96" s="59"/>
      <c r="CF96" s="59"/>
      <c r="CG96" s="59"/>
      <c r="CH96" s="3"/>
      <c r="CI96" s="39" t="s">
        <v>193</v>
      </c>
      <c r="CJ96" s="18" t="s">
        <v>80</v>
      </c>
      <c r="CK96" s="20"/>
    </row>
    <row r="97" spans="1:89" x14ac:dyDescent="0.25">
      <c r="A97" s="18" t="s">
        <v>80</v>
      </c>
      <c r="B97" s="19" t="s">
        <v>194</v>
      </c>
      <c r="C97" s="39" t="s">
        <v>195</v>
      </c>
      <c r="D97" s="40">
        <v>4</v>
      </c>
      <c r="E97" s="40">
        <v>1</v>
      </c>
      <c r="F97" s="40">
        <v>3</v>
      </c>
      <c r="G97" s="166">
        <v>1</v>
      </c>
      <c r="H97" s="166">
        <v>0</v>
      </c>
      <c r="I97" s="162" t="s">
        <v>83</v>
      </c>
      <c r="J97" s="166">
        <v>1</v>
      </c>
      <c r="K97" s="166">
        <v>0</v>
      </c>
      <c r="L97" s="166">
        <v>1</v>
      </c>
      <c r="M97" s="166">
        <v>1</v>
      </c>
      <c r="N97" s="119">
        <v>1.2861736334405099E-2</v>
      </c>
      <c r="O97" s="119">
        <v>1.53061224489796E-2</v>
      </c>
      <c r="P97" s="119">
        <v>1.88679245283019E-2</v>
      </c>
      <c r="Q97" s="119">
        <v>0</v>
      </c>
      <c r="R97" s="116" t="s">
        <v>83</v>
      </c>
      <c r="S97" s="119">
        <v>2.3809523809523801E-2</v>
      </c>
      <c r="T97" s="119">
        <v>0</v>
      </c>
      <c r="U97" s="119">
        <v>2.04081632653061E-2</v>
      </c>
      <c r="V97" s="119">
        <v>2.2222222222222199E-2</v>
      </c>
      <c r="W97" s="40">
        <v>412</v>
      </c>
      <c r="X97" s="40">
        <f t="shared" si="8"/>
        <v>181</v>
      </c>
      <c r="Y97" s="40">
        <f t="shared" si="5"/>
        <v>284</v>
      </c>
      <c r="Z97" s="105">
        <v>0.45900000000000002</v>
      </c>
      <c r="AA97" s="105">
        <v>0.54100000000000004</v>
      </c>
      <c r="AB97" s="106">
        <v>0</v>
      </c>
      <c r="AC97" s="106">
        <f>7/412</f>
        <v>1.6990291262135922E-2</v>
      </c>
      <c r="AD97" s="106">
        <f>87/412</f>
        <v>0.21116504854368931</v>
      </c>
      <c r="AE97" s="106">
        <f>17/412</f>
        <v>4.12621359223301E-2</v>
      </c>
      <c r="AF97" s="106">
        <v>0</v>
      </c>
      <c r="AG97" s="106">
        <f>300/412</f>
        <v>0.72815533980582525</v>
      </c>
      <c r="AH97" s="106">
        <f>1/412</f>
        <v>2.4271844660194173E-3</v>
      </c>
      <c r="AI97" s="106">
        <f>112/412</f>
        <v>0.27184466019417475</v>
      </c>
      <c r="AJ97" s="105">
        <v>0.62621359223300976</v>
      </c>
      <c r="AK97" s="105">
        <v>0.01</v>
      </c>
      <c r="AL97" s="12">
        <v>46</v>
      </c>
      <c r="AM97" s="12">
        <v>57</v>
      </c>
      <c r="AN97" s="12">
        <v>0</v>
      </c>
      <c r="AO97" s="12">
        <v>36</v>
      </c>
      <c r="AP97" s="12">
        <v>55</v>
      </c>
      <c r="AQ97" s="12">
        <v>46</v>
      </c>
      <c r="AR97" s="12">
        <v>44</v>
      </c>
      <c r="AS97" s="59">
        <v>0</v>
      </c>
      <c r="AT97" s="12">
        <v>5</v>
      </c>
      <c r="AU97" s="3">
        <v>6</v>
      </c>
      <c r="AV97" s="54">
        <v>71.74887892376681</v>
      </c>
      <c r="AW97" s="54">
        <v>23.318385650224215</v>
      </c>
      <c r="AX97" s="54">
        <v>3.1390134529147984</v>
      </c>
      <c r="AY97" s="68">
        <v>1.7937219730941705</v>
      </c>
      <c r="AZ97" s="59">
        <v>6.3770669558145844E-3</v>
      </c>
      <c r="BA97" s="59">
        <v>0.24229074889867841</v>
      </c>
      <c r="BB97" s="76">
        <v>93.709820840170394</v>
      </c>
      <c r="BC97" s="49">
        <v>34.868421052631597</v>
      </c>
      <c r="BD97" s="93">
        <v>0</v>
      </c>
      <c r="BE97" s="93">
        <v>0</v>
      </c>
      <c r="BF97" s="49">
        <v>0</v>
      </c>
      <c r="BG97" s="49">
        <v>0</v>
      </c>
      <c r="BH97" s="49">
        <v>0</v>
      </c>
      <c r="BI97" s="49">
        <v>0</v>
      </c>
      <c r="BJ97" s="85">
        <v>20.8</v>
      </c>
      <c r="BK97" s="129">
        <v>10024</v>
      </c>
      <c r="BL97" s="129">
        <v>47120</v>
      </c>
      <c r="BM97" s="129">
        <v>41780</v>
      </c>
      <c r="BN97" s="129">
        <v>36940</v>
      </c>
      <c r="BO97" s="59">
        <v>0</v>
      </c>
      <c r="BP97" s="59">
        <v>0.4259</v>
      </c>
      <c r="BQ97" s="59">
        <v>0.11609999999999999</v>
      </c>
      <c r="BR97" s="59">
        <v>0</v>
      </c>
      <c r="BS97" s="59">
        <v>0</v>
      </c>
      <c r="BT97" s="49">
        <v>9.3000000000000007</v>
      </c>
      <c r="BU97" s="59">
        <f t="shared" si="6"/>
        <v>0.54200000000000004</v>
      </c>
      <c r="BV97" s="59">
        <v>3.8699999999999998E-2</v>
      </c>
      <c r="BW97" s="59">
        <v>0</v>
      </c>
      <c r="BX97" s="59">
        <v>6.13E-2</v>
      </c>
      <c r="BY97" s="59">
        <v>0</v>
      </c>
      <c r="BZ97" s="59">
        <v>0</v>
      </c>
      <c r="CA97" s="49">
        <v>14.7</v>
      </c>
      <c r="CB97" s="59">
        <f t="shared" si="7"/>
        <v>0.1</v>
      </c>
      <c r="CC97" s="59">
        <v>0.35799999999999998</v>
      </c>
      <c r="CD97" s="125">
        <v>0.44519999999999998</v>
      </c>
      <c r="CE97" s="125">
        <v>0.1968</v>
      </c>
      <c r="CF97" s="125">
        <v>0</v>
      </c>
      <c r="CG97" s="125">
        <v>0</v>
      </c>
      <c r="CH97" s="85">
        <v>9.3000000000000007</v>
      </c>
      <c r="CI97" s="39" t="s">
        <v>195</v>
      </c>
      <c r="CJ97" s="18" t="s">
        <v>80</v>
      </c>
      <c r="CK97" s="20"/>
    </row>
    <row r="98" spans="1:89" x14ac:dyDescent="0.25">
      <c r="A98" s="18" t="s">
        <v>80</v>
      </c>
      <c r="B98" s="19" t="s">
        <v>194</v>
      </c>
      <c r="C98" s="39" t="s">
        <v>196</v>
      </c>
      <c r="D98" s="40">
        <v>11</v>
      </c>
      <c r="E98" s="40">
        <v>1</v>
      </c>
      <c r="F98" s="40">
        <v>10</v>
      </c>
      <c r="G98" s="166">
        <v>0</v>
      </c>
      <c r="H98" s="166">
        <v>1</v>
      </c>
      <c r="I98" s="162" t="s">
        <v>83</v>
      </c>
      <c r="J98" s="166">
        <v>2</v>
      </c>
      <c r="K98" s="166">
        <v>5</v>
      </c>
      <c r="L98" s="166">
        <v>3</v>
      </c>
      <c r="M98" s="166">
        <v>0</v>
      </c>
      <c r="N98" s="119">
        <v>1.84254606365159E-2</v>
      </c>
      <c r="O98" s="119">
        <v>2.5000000000000001E-2</v>
      </c>
      <c r="P98" s="119">
        <v>0</v>
      </c>
      <c r="Q98" s="119">
        <v>1.0638297872340399E-2</v>
      </c>
      <c r="R98" s="116" t="s">
        <v>83</v>
      </c>
      <c r="S98" s="119">
        <v>1.6E-2</v>
      </c>
      <c r="T98" s="119">
        <v>5.1546391752577303E-2</v>
      </c>
      <c r="U98" s="119">
        <v>3.09278350515464E-2</v>
      </c>
      <c r="V98" s="119">
        <v>0</v>
      </c>
      <c r="W98" s="40">
        <v>752</v>
      </c>
      <c r="X98" s="40">
        <f t="shared" si="8"/>
        <v>377</v>
      </c>
      <c r="Y98" s="40">
        <f t="shared" si="5"/>
        <v>559</v>
      </c>
      <c r="Z98" s="105">
        <v>0.48699999999999999</v>
      </c>
      <c r="AA98" s="105">
        <v>0.51300000000000001</v>
      </c>
      <c r="AB98" s="106">
        <v>0</v>
      </c>
      <c r="AC98" s="106">
        <f>1/752</f>
        <v>1.3297872340425532E-3</v>
      </c>
      <c r="AD98" s="106">
        <f>293/752</f>
        <v>0.3896276595744681</v>
      </c>
      <c r="AE98" s="106">
        <f>8/752</f>
        <v>1.0638297872340425E-2</v>
      </c>
      <c r="AF98" s="106">
        <v>0</v>
      </c>
      <c r="AG98" s="106">
        <f>426/752</f>
        <v>0.56648936170212771</v>
      </c>
      <c r="AH98" s="106">
        <f>24/752</f>
        <v>3.1914893617021274E-2</v>
      </c>
      <c r="AI98" s="106">
        <f>326/752</f>
        <v>0.43351063829787234</v>
      </c>
      <c r="AJ98" s="105">
        <v>0.7207446808510638</v>
      </c>
      <c r="AK98" s="105">
        <v>0</v>
      </c>
      <c r="AL98" s="12">
        <v>95</v>
      </c>
      <c r="AM98" s="12">
        <v>87</v>
      </c>
      <c r="AN98" s="12">
        <v>0</v>
      </c>
      <c r="AO98" s="12">
        <v>117</v>
      </c>
      <c r="AP98" s="12">
        <v>90</v>
      </c>
      <c r="AQ98" s="12">
        <v>91</v>
      </c>
      <c r="AR98" s="12">
        <v>79</v>
      </c>
      <c r="AS98" s="59">
        <v>0</v>
      </c>
      <c r="AT98" s="12">
        <v>5</v>
      </c>
      <c r="AU98" s="3">
        <v>6</v>
      </c>
      <c r="AV98" s="54">
        <v>46.206896551724135</v>
      </c>
      <c r="AW98" s="54">
        <v>27.931034482758619</v>
      </c>
      <c r="AX98" s="54">
        <v>25.517241379310345</v>
      </c>
      <c r="AY98" s="68">
        <v>0.34482758620689657</v>
      </c>
      <c r="AZ98" s="59">
        <v>1.4959010499065152E-2</v>
      </c>
      <c r="BA98" s="59">
        <v>0.28732747804265996</v>
      </c>
      <c r="BB98" s="77">
        <v>90.964607985579207</v>
      </c>
      <c r="BC98" s="49">
        <v>54.601990049751301</v>
      </c>
      <c r="BD98" s="49">
        <v>7.7</v>
      </c>
      <c r="BE98" s="49">
        <v>4.8</v>
      </c>
      <c r="BF98" s="49">
        <v>5.3</v>
      </c>
      <c r="BG98" s="49">
        <v>3.6</v>
      </c>
      <c r="BH98" s="49">
        <v>0</v>
      </c>
      <c r="BI98" s="49">
        <v>3.6</v>
      </c>
      <c r="BJ98" s="85">
        <v>19.600000000000001</v>
      </c>
      <c r="BK98" s="129">
        <v>9531</v>
      </c>
      <c r="BL98" s="129">
        <v>46570</v>
      </c>
      <c r="BM98" s="129">
        <v>45974</v>
      </c>
      <c r="BN98" s="129">
        <v>35786</v>
      </c>
      <c r="BO98" s="59">
        <v>0</v>
      </c>
      <c r="BP98" s="59">
        <v>0.39550000000000002</v>
      </c>
      <c r="BQ98" s="59">
        <v>0.13900000000000001</v>
      </c>
      <c r="BR98" s="59">
        <v>0</v>
      </c>
      <c r="BS98" s="59">
        <v>1.15E-2</v>
      </c>
      <c r="BT98" s="49">
        <v>10.1</v>
      </c>
      <c r="BU98" s="59">
        <f t="shared" si="6"/>
        <v>0.54599999999999993</v>
      </c>
      <c r="BV98" s="59">
        <v>2.29E-2</v>
      </c>
      <c r="BW98" s="59">
        <v>0</v>
      </c>
      <c r="BX98" s="59">
        <v>4.58E-2</v>
      </c>
      <c r="BY98" s="59">
        <v>0</v>
      </c>
      <c r="BZ98" s="59">
        <v>0</v>
      </c>
      <c r="CA98" s="49">
        <v>13</v>
      </c>
      <c r="CB98" s="59">
        <f t="shared" si="7"/>
        <v>6.8699999999999997E-2</v>
      </c>
      <c r="CC98" s="59">
        <v>0.36809999999999998</v>
      </c>
      <c r="CD98" s="125">
        <v>0.41260000000000002</v>
      </c>
      <c r="CE98" s="125">
        <v>0.20780000000000001</v>
      </c>
      <c r="CF98" s="125">
        <v>0</v>
      </c>
      <c r="CG98" s="125">
        <v>1.15E-2</v>
      </c>
      <c r="CH98" s="85">
        <v>9.6</v>
      </c>
      <c r="CI98" s="39" t="s">
        <v>196</v>
      </c>
      <c r="CJ98" s="18" t="s">
        <v>80</v>
      </c>
      <c r="CK98" s="20"/>
    </row>
    <row r="99" spans="1:89" x14ac:dyDescent="0.25">
      <c r="A99" s="18" t="s">
        <v>80</v>
      </c>
      <c r="B99" s="19" t="s">
        <v>194</v>
      </c>
      <c r="C99" s="39" t="s">
        <v>197</v>
      </c>
      <c r="D99" s="40">
        <v>9</v>
      </c>
      <c r="E99" s="40" t="s">
        <v>83</v>
      </c>
      <c r="F99" s="40">
        <v>9</v>
      </c>
      <c r="G99" s="162" t="s">
        <v>83</v>
      </c>
      <c r="H99" s="162" t="s">
        <v>83</v>
      </c>
      <c r="I99" s="166">
        <v>0</v>
      </c>
      <c r="J99" s="166">
        <v>0</v>
      </c>
      <c r="K99" s="166">
        <v>3</v>
      </c>
      <c r="L99" s="166">
        <v>3</v>
      </c>
      <c r="M99" s="166">
        <v>3</v>
      </c>
      <c r="N99" s="119">
        <v>1.7681728880157201E-2</v>
      </c>
      <c r="O99" s="119">
        <v>1.7681728880157201E-2</v>
      </c>
      <c r="P99" s="116" t="s">
        <v>83</v>
      </c>
      <c r="Q99" s="116" t="s">
        <v>83</v>
      </c>
      <c r="R99" s="119">
        <v>0</v>
      </c>
      <c r="S99" s="119">
        <v>0</v>
      </c>
      <c r="T99" s="119">
        <v>2.15827338129496E-2</v>
      </c>
      <c r="U99" s="119">
        <v>2.15827338129496E-2</v>
      </c>
      <c r="V99" s="119">
        <v>3.4090909090909102E-2</v>
      </c>
      <c r="W99" s="40">
        <v>860</v>
      </c>
      <c r="X99" s="40">
        <f t="shared" si="8"/>
        <v>492</v>
      </c>
      <c r="Y99" s="40">
        <f t="shared" si="5"/>
        <v>492</v>
      </c>
      <c r="Z99" s="105">
        <v>0.50900000000000001</v>
      </c>
      <c r="AA99" s="105">
        <v>0.49099999999999999</v>
      </c>
      <c r="AB99" s="106">
        <f>3/860</f>
        <v>3.4883720930232558E-3</v>
      </c>
      <c r="AC99" s="106">
        <v>0</v>
      </c>
      <c r="AD99" s="106">
        <f>129/860</f>
        <v>0.15</v>
      </c>
      <c r="AE99" s="106">
        <f>16/860</f>
        <v>1.8604651162790697E-2</v>
      </c>
      <c r="AF99" s="106">
        <f>1/860</f>
        <v>1.1627906976744186E-3</v>
      </c>
      <c r="AG99" s="106">
        <f>702/860</f>
        <v>0.81627906976744191</v>
      </c>
      <c r="AH99" s="106">
        <f>9/860</f>
        <v>1.0465116279069767E-2</v>
      </c>
      <c r="AI99" s="106">
        <f>158/860</f>
        <v>0.18372093023255814</v>
      </c>
      <c r="AJ99" s="105">
        <v>0.6581395348837209</v>
      </c>
      <c r="AK99" s="105">
        <v>0</v>
      </c>
      <c r="AL99" s="12">
        <v>0</v>
      </c>
      <c r="AM99" s="12">
        <v>0</v>
      </c>
      <c r="AN99" s="12">
        <v>3</v>
      </c>
      <c r="AO99" s="12">
        <v>136</v>
      </c>
      <c r="AP99" s="12">
        <v>135</v>
      </c>
      <c r="AQ99" s="12">
        <v>132</v>
      </c>
      <c r="AR99" s="12">
        <v>86</v>
      </c>
      <c r="AS99" s="59">
        <v>2.1582733812949641E-2</v>
      </c>
      <c r="AT99" s="12">
        <v>9</v>
      </c>
      <c r="AU99" s="3">
        <v>6</v>
      </c>
      <c r="AV99" s="54">
        <v>50</v>
      </c>
      <c r="AW99" s="54">
        <v>33.774834437086092</v>
      </c>
      <c r="AX99" s="54">
        <v>12.913907284768211</v>
      </c>
      <c r="AY99" s="68">
        <v>3.3112582781456954</v>
      </c>
      <c r="AZ99" s="59">
        <v>8.548722519310754E-3</v>
      </c>
      <c r="BA99" s="59">
        <v>0.13621262458471761</v>
      </c>
      <c r="BB99" s="76">
        <v>92.124384484200704</v>
      </c>
      <c r="BC99" s="49">
        <v>44.087256027554503</v>
      </c>
      <c r="BD99" s="90" t="s">
        <v>83</v>
      </c>
      <c r="BE99" s="90" t="s">
        <v>83</v>
      </c>
      <c r="BF99" s="49">
        <v>6.8</v>
      </c>
      <c r="BG99" s="49">
        <v>6.5</v>
      </c>
      <c r="BH99" s="49">
        <v>2.5</v>
      </c>
      <c r="BI99" s="49">
        <v>0</v>
      </c>
      <c r="BJ99" s="85">
        <v>18.600000000000001</v>
      </c>
      <c r="BK99" s="129">
        <v>8795</v>
      </c>
      <c r="BL99" s="129">
        <v>45663</v>
      </c>
      <c r="BM99" s="129">
        <v>44386</v>
      </c>
      <c r="BN99" s="129">
        <v>37024</v>
      </c>
      <c r="BO99" s="59">
        <v>0</v>
      </c>
      <c r="BP99" s="59">
        <v>0.47610000000000002</v>
      </c>
      <c r="BQ99" s="59">
        <v>0.1108</v>
      </c>
      <c r="BR99" s="59">
        <v>0</v>
      </c>
      <c r="BS99" s="59">
        <v>0</v>
      </c>
      <c r="BT99" s="49">
        <v>8.9</v>
      </c>
      <c r="BU99" s="59">
        <f t="shared" si="6"/>
        <v>0.58689999999999998</v>
      </c>
      <c r="BV99" s="59">
        <v>2.3099999999999999E-2</v>
      </c>
      <c r="BW99" s="59">
        <v>0</v>
      </c>
      <c r="BX99" s="59">
        <v>4.6199999999999998E-2</v>
      </c>
      <c r="BY99" s="59">
        <v>0</v>
      </c>
      <c r="BZ99" s="59">
        <v>0</v>
      </c>
      <c r="CA99" s="49">
        <v>10.3</v>
      </c>
      <c r="CB99" s="59">
        <f t="shared" si="7"/>
        <v>6.93E-2</v>
      </c>
      <c r="CC99" s="59">
        <v>0.32650000000000001</v>
      </c>
      <c r="CD99" s="125">
        <v>0.49340000000000001</v>
      </c>
      <c r="CE99" s="125">
        <v>0.1802</v>
      </c>
      <c r="CF99" s="125">
        <v>0</v>
      </c>
      <c r="CG99" s="125">
        <v>0</v>
      </c>
      <c r="CH99" s="85">
        <v>9.6</v>
      </c>
      <c r="CI99" s="39" t="s">
        <v>197</v>
      </c>
      <c r="CJ99" s="18" t="s">
        <v>80</v>
      </c>
      <c r="CK99" s="20"/>
    </row>
    <row r="100" spans="1:89" x14ac:dyDescent="0.25">
      <c r="A100" s="18" t="s">
        <v>80</v>
      </c>
      <c r="B100" s="19" t="s">
        <v>194</v>
      </c>
      <c r="C100" s="39" t="s">
        <v>198</v>
      </c>
      <c r="D100" s="40">
        <v>14</v>
      </c>
      <c r="E100" s="40">
        <v>2</v>
      </c>
      <c r="F100" s="40">
        <v>12</v>
      </c>
      <c r="G100" s="166">
        <v>1</v>
      </c>
      <c r="H100" s="166">
        <v>1</v>
      </c>
      <c r="I100" s="166">
        <v>0</v>
      </c>
      <c r="J100" s="166">
        <v>2</v>
      </c>
      <c r="K100" s="166">
        <v>2</v>
      </c>
      <c r="L100" s="166">
        <v>5</v>
      </c>
      <c r="M100" s="166">
        <v>3</v>
      </c>
      <c r="N100" s="119">
        <v>2.04081632653061E-2</v>
      </c>
      <c r="O100" s="119">
        <v>2.60303687635575E-2</v>
      </c>
      <c r="P100" s="119">
        <v>8.6956521739130401E-3</v>
      </c>
      <c r="Q100" s="119">
        <v>9.0909090909090905E-3</v>
      </c>
      <c r="R100" s="119">
        <v>0</v>
      </c>
      <c r="S100" s="119">
        <v>1.7094017094017099E-2</v>
      </c>
      <c r="T100" s="119">
        <v>1.6129032258064498E-2</v>
      </c>
      <c r="U100" s="119">
        <v>4.67289719626168E-2</v>
      </c>
      <c r="V100" s="119">
        <v>2.9126213592233E-2</v>
      </c>
      <c r="W100" s="40">
        <v>864</v>
      </c>
      <c r="X100" s="40">
        <f t="shared" si="8"/>
        <v>436</v>
      </c>
      <c r="Y100" s="40">
        <f t="shared" si="5"/>
        <v>653</v>
      </c>
      <c r="Z100" s="105">
        <v>0.46899999999999997</v>
      </c>
      <c r="AA100" s="105">
        <v>0.53100000000000003</v>
      </c>
      <c r="AB100" s="106">
        <f>3/864</f>
        <v>3.472222222222222E-3</v>
      </c>
      <c r="AC100" s="106">
        <f>6/864</f>
        <v>6.9444444444444441E-3</v>
      </c>
      <c r="AD100" s="106">
        <f>573/864</f>
        <v>0.66319444444444442</v>
      </c>
      <c r="AE100" s="106">
        <f>5/864</f>
        <v>5.7870370370370367E-3</v>
      </c>
      <c r="AF100" s="106">
        <v>0</v>
      </c>
      <c r="AG100" s="106">
        <f>271/864</f>
        <v>0.31365740740740738</v>
      </c>
      <c r="AH100" s="106">
        <f>6/864</f>
        <v>6.9444444444444441E-3</v>
      </c>
      <c r="AI100" s="106">
        <f>593/864</f>
        <v>0.68634259259259256</v>
      </c>
      <c r="AJ100" s="105">
        <v>0.85069444444444442</v>
      </c>
      <c r="AK100" s="105">
        <v>0</v>
      </c>
      <c r="AL100" s="12">
        <v>119</v>
      </c>
      <c r="AM100" s="12">
        <v>98</v>
      </c>
      <c r="AN100" s="12">
        <v>11</v>
      </c>
      <c r="AO100" s="12">
        <v>103</v>
      </c>
      <c r="AP100" s="12">
        <v>118</v>
      </c>
      <c r="AQ100" s="12">
        <v>102</v>
      </c>
      <c r="AR100" s="12">
        <v>102</v>
      </c>
      <c r="AS100" s="59">
        <v>9.6491228070175433E-2</v>
      </c>
      <c r="AT100" s="12">
        <v>5</v>
      </c>
      <c r="AU100" s="3">
        <v>6</v>
      </c>
      <c r="AV100" s="54">
        <v>63.72315035799523</v>
      </c>
      <c r="AW100" s="54">
        <v>31.980906921241047</v>
      </c>
      <c r="AX100" s="54">
        <v>4.2959427207637226</v>
      </c>
      <c r="AY100" s="68">
        <v>0</v>
      </c>
      <c r="AZ100" s="59">
        <v>0.1490505260549973</v>
      </c>
      <c r="BA100" s="59">
        <v>0.39219934994582883</v>
      </c>
      <c r="BB100" s="77">
        <v>91.297112490735401</v>
      </c>
      <c r="BC100" s="49">
        <v>46.779303062301999</v>
      </c>
      <c r="BD100" s="49">
        <v>21.7</v>
      </c>
      <c r="BE100" s="49">
        <v>6.5</v>
      </c>
      <c r="BF100" s="49">
        <v>10.9</v>
      </c>
      <c r="BG100" s="49">
        <v>3.5</v>
      </c>
      <c r="BH100" s="49">
        <v>1.2</v>
      </c>
      <c r="BI100" s="49">
        <v>1.9</v>
      </c>
      <c r="BJ100" s="85">
        <v>17.7</v>
      </c>
      <c r="BK100" s="129">
        <v>9820</v>
      </c>
      <c r="BL100" s="129">
        <v>46027</v>
      </c>
      <c r="BM100" s="129">
        <v>44471</v>
      </c>
      <c r="BN100" s="129">
        <v>37643</v>
      </c>
      <c r="BO100" s="59">
        <v>0</v>
      </c>
      <c r="BP100" s="59">
        <v>0.45850000000000002</v>
      </c>
      <c r="BQ100" s="59">
        <v>0.13780000000000001</v>
      </c>
      <c r="BR100" s="59">
        <v>0</v>
      </c>
      <c r="BS100" s="59">
        <v>0</v>
      </c>
      <c r="BT100" s="49">
        <v>9.8000000000000007</v>
      </c>
      <c r="BU100" s="59">
        <f t="shared" si="6"/>
        <v>0.59630000000000005</v>
      </c>
      <c r="BV100" s="59">
        <v>1.7399999999999999E-2</v>
      </c>
      <c r="BW100" s="59">
        <v>8.9999999999999998E-4</v>
      </c>
      <c r="BX100" s="59">
        <v>4.0599999999999997E-2</v>
      </c>
      <c r="BY100" s="59">
        <v>0</v>
      </c>
      <c r="BZ100" s="59">
        <v>0</v>
      </c>
      <c r="CA100" s="49">
        <v>8.9</v>
      </c>
      <c r="CB100" s="59">
        <f t="shared" si="7"/>
        <v>5.8899999999999994E-2</v>
      </c>
      <c r="CC100" s="59">
        <v>0.30890000000000001</v>
      </c>
      <c r="CD100" s="125">
        <v>0.48230000000000001</v>
      </c>
      <c r="CE100" s="125">
        <v>0.20880000000000001</v>
      </c>
      <c r="CF100" s="125">
        <v>0</v>
      </c>
      <c r="CG100" s="125">
        <v>0</v>
      </c>
      <c r="CH100" s="85">
        <v>9.9</v>
      </c>
      <c r="CI100" s="39" t="s">
        <v>198</v>
      </c>
      <c r="CJ100" s="18" t="s">
        <v>80</v>
      </c>
      <c r="CK100" s="20"/>
    </row>
    <row r="101" spans="1:89" x14ac:dyDescent="0.25">
      <c r="A101" s="18" t="s">
        <v>80</v>
      </c>
      <c r="B101" s="19" t="s">
        <v>199</v>
      </c>
      <c r="C101" s="39" t="s">
        <v>200</v>
      </c>
      <c r="D101" s="40">
        <v>44</v>
      </c>
      <c r="E101" s="40" t="s">
        <v>83</v>
      </c>
      <c r="F101" s="40">
        <v>44</v>
      </c>
      <c r="G101" s="162" t="s">
        <v>83</v>
      </c>
      <c r="H101" s="162" t="s">
        <v>83</v>
      </c>
      <c r="I101" s="166">
        <v>1</v>
      </c>
      <c r="J101" s="166">
        <v>16</v>
      </c>
      <c r="K101" s="166">
        <v>14</v>
      </c>
      <c r="L101" s="166">
        <v>4</v>
      </c>
      <c r="M101" s="166">
        <v>9</v>
      </c>
      <c r="N101" s="119">
        <v>5.67741935483871E-2</v>
      </c>
      <c r="O101" s="119">
        <v>5.67741935483871E-2</v>
      </c>
      <c r="P101" s="116" t="s">
        <v>83</v>
      </c>
      <c r="Q101" s="116" t="s">
        <v>83</v>
      </c>
      <c r="R101" s="119">
        <v>9.0909090909090898E-2</v>
      </c>
      <c r="S101" s="119">
        <v>7.2727272727272696E-2</v>
      </c>
      <c r="T101" s="119">
        <v>6.1135371179039298E-2</v>
      </c>
      <c r="U101" s="119">
        <v>2.54777070063694E-2</v>
      </c>
      <c r="V101" s="119">
        <v>5.6962025316455701E-2</v>
      </c>
      <c r="W101" s="40">
        <v>717</v>
      </c>
      <c r="X101" s="40">
        <f t="shared" si="8"/>
        <v>717</v>
      </c>
      <c r="Y101" s="40">
        <f t="shared" si="5"/>
        <v>717</v>
      </c>
      <c r="Z101" s="105">
        <v>0.49</v>
      </c>
      <c r="AA101" s="105">
        <v>0.51100000000000001</v>
      </c>
      <c r="AB101" s="106">
        <f>1/717</f>
        <v>1.3947001394700139E-3</v>
      </c>
      <c r="AC101" s="106">
        <f>5/717</f>
        <v>6.9735006973500697E-3</v>
      </c>
      <c r="AD101" s="106">
        <f>382/717</f>
        <v>0.53277545327754527</v>
      </c>
      <c r="AE101" s="106">
        <f>6/717</f>
        <v>8.368200836820083E-3</v>
      </c>
      <c r="AF101" s="106">
        <v>0</v>
      </c>
      <c r="AG101" s="106">
        <f>320/717</f>
        <v>0.44630404463040446</v>
      </c>
      <c r="AH101" s="106">
        <f>3/717</f>
        <v>4.1841004184100415E-3</v>
      </c>
      <c r="AI101" s="106">
        <f>397/717</f>
        <v>0.55369595536959548</v>
      </c>
      <c r="AJ101" s="105">
        <v>0.78661087866108792</v>
      </c>
      <c r="AK101" s="105">
        <v>3.0000000000000001E-3</v>
      </c>
      <c r="AL101" s="12">
        <v>0</v>
      </c>
      <c r="AM101" s="12">
        <v>0</v>
      </c>
      <c r="AN101" s="12">
        <v>14</v>
      </c>
      <c r="AO101" s="12">
        <v>193</v>
      </c>
      <c r="AP101" s="12">
        <v>215</v>
      </c>
      <c r="AQ101" s="12">
        <v>148</v>
      </c>
      <c r="AR101" s="12">
        <v>147</v>
      </c>
      <c r="AS101" s="59">
        <v>6.7632850241545889E-2</v>
      </c>
      <c r="AT101" s="12">
        <v>9</v>
      </c>
      <c r="AU101" s="3">
        <v>6</v>
      </c>
      <c r="AV101" s="54">
        <v>78.191489361702125</v>
      </c>
      <c r="AW101" s="54">
        <v>20.478723404255319</v>
      </c>
      <c r="AX101" s="54">
        <v>0.26595744680851063</v>
      </c>
      <c r="AY101" s="68">
        <v>1.0638297872340425</v>
      </c>
      <c r="AZ101" s="59">
        <v>0.13725490196078433</v>
      </c>
      <c r="BA101" s="59">
        <v>3.4563827893136445E-2</v>
      </c>
      <c r="BB101" s="77">
        <v>90.949569919880005</v>
      </c>
      <c r="BC101" s="49">
        <v>50.718954248366003</v>
      </c>
      <c r="BD101" s="90" t="s">
        <v>83</v>
      </c>
      <c r="BE101" s="90" t="s">
        <v>83</v>
      </c>
      <c r="BF101" s="49">
        <v>6.8</v>
      </c>
      <c r="BG101" s="49">
        <v>2.1</v>
      </c>
      <c r="BH101" s="49">
        <v>0.7</v>
      </c>
      <c r="BI101" s="49">
        <v>0</v>
      </c>
      <c r="BJ101" s="85">
        <v>17.5</v>
      </c>
      <c r="BK101" s="129">
        <v>11597</v>
      </c>
      <c r="BL101" s="129">
        <v>44886</v>
      </c>
      <c r="BM101" s="129">
        <v>49910</v>
      </c>
      <c r="BN101" s="129">
        <v>37984</v>
      </c>
      <c r="BO101" s="59">
        <v>0</v>
      </c>
      <c r="BP101" s="59">
        <v>0.34499999999999997</v>
      </c>
      <c r="BQ101" s="59">
        <v>0.24</v>
      </c>
      <c r="BR101" s="59">
        <v>0</v>
      </c>
      <c r="BS101" s="59">
        <v>0</v>
      </c>
      <c r="BT101" s="49">
        <v>13.9</v>
      </c>
      <c r="BU101" s="59">
        <f t="shared" si="6"/>
        <v>0.58499999999999996</v>
      </c>
      <c r="BV101" s="59">
        <v>2.1499999999999998E-2</v>
      </c>
      <c r="BW101" s="59">
        <v>0</v>
      </c>
      <c r="BX101" s="59">
        <v>4.2700000000000002E-2</v>
      </c>
      <c r="BY101" s="59">
        <v>0</v>
      </c>
      <c r="BZ101" s="59">
        <v>0</v>
      </c>
      <c r="CA101" s="49">
        <v>26.3</v>
      </c>
      <c r="CB101" s="59">
        <f t="shared" si="7"/>
        <v>6.4200000000000007E-2</v>
      </c>
      <c r="CC101" s="59">
        <v>0.28079999999999999</v>
      </c>
      <c r="CD101" s="125">
        <v>0.35670000000000002</v>
      </c>
      <c r="CE101" s="125">
        <v>0.33810000000000001</v>
      </c>
      <c r="CF101" s="125">
        <v>1.3599999999999999E-2</v>
      </c>
      <c r="CG101" s="125">
        <v>1.0699999999999999E-2</v>
      </c>
      <c r="CH101" s="85">
        <v>15.5</v>
      </c>
      <c r="CI101" s="39" t="s">
        <v>200</v>
      </c>
      <c r="CJ101" s="18" t="s">
        <v>80</v>
      </c>
      <c r="CK101" s="20"/>
    </row>
    <row r="102" spans="1:89" x14ac:dyDescent="0.25">
      <c r="A102" s="18" t="s">
        <v>80</v>
      </c>
      <c r="B102" s="19" t="s">
        <v>201</v>
      </c>
      <c r="C102" s="39" t="s">
        <v>202</v>
      </c>
      <c r="D102" s="40">
        <v>0</v>
      </c>
      <c r="E102" s="40">
        <v>0</v>
      </c>
      <c r="F102" s="40">
        <v>0</v>
      </c>
      <c r="G102" s="166">
        <v>0</v>
      </c>
      <c r="H102" s="166">
        <v>0</v>
      </c>
      <c r="I102" s="166">
        <v>0</v>
      </c>
      <c r="J102" s="166">
        <v>0</v>
      </c>
      <c r="K102" s="166">
        <v>0</v>
      </c>
      <c r="L102" s="166">
        <v>0</v>
      </c>
      <c r="M102" s="166">
        <v>0</v>
      </c>
      <c r="N102" s="119">
        <v>0</v>
      </c>
      <c r="O102" s="119">
        <v>0</v>
      </c>
      <c r="P102" s="119">
        <v>0</v>
      </c>
      <c r="Q102" s="119">
        <v>0</v>
      </c>
      <c r="R102" s="119">
        <v>0</v>
      </c>
      <c r="S102" s="119">
        <v>0</v>
      </c>
      <c r="T102" s="119">
        <v>0</v>
      </c>
      <c r="U102" s="119">
        <v>0</v>
      </c>
      <c r="V102" s="119">
        <v>0</v>
      </c>
      <c r="W102" s="40">
        <v>240</v>
      </c>
      <c r="X102" s="40">
        <f t="shared" si="8"/>
        <v>62</v>
      </c>
      <c r="Y102" s="40">
        <f t="shared" si="5"/>
        <v>105</v>
      </c>
      <c r="Z102" s="105">
        <v>0.52100000000000002</v>
      </c>
      <c r="AA102" s="105">
        <v>0.47899999999999998</v>
      </c>
      <c r="AB102" s="106">
        <f>5/240</f>
        <v>2.0833333333333332E-2</v>
      </c>
      <c r="AC102" s="106">
        <v>0</v>
      </c>
      <c r="AD102" s="106">
        <v>0</v>
      </c>
      <c r="AE102" s="106">
        <f>1/240</f>
        <v>4.1666666666666666E-3</v>
      </c>
      <c r="AF102" s="106">
        <v>0</v>
      </c>
      <c r="AG102" s="106">
        <f>231/240</f>
        <v>0.96250000000000002</v>
      </c>
      <c r="AH102" s="106">
        <f>3/240</f>
        <v>1.2500000000000001E-2</v>
      </c>
      <c r="AI102" s="106">
        <f>9/240</f>
        <v>3.7499999999999999E-2</v>
      </c>
      <c r="AJ102" s="105">
        <v>0.67500000000000004</v>
      </c>
      <c r="AK102" s="105">
        <v>0</v>
      </c>
      <c r="AL102" s="12">
        <v>23</v>
      </c>
      <c r="AM102" s="12">
        <v>20</v>
      </c>
      <c r="AN102" s="12">
        <v>1</v>
      </c>
      <c r="AO102" s="12">
        <v>22</v>
      </c>
      <c r="AP102" s="12">
        <v>17</v>
      </c>
      <c r="AQ102" s="12">
        <v>14</v>
      </c>
      <c r="AR102" s="12">
        <v>8</v>
      </c>
      <c r="AS102" s="59">
        <v>4.3478260869565216E-2</v>
      </c>
      <c r="AT102" s="12">
        <v>1</v>
      </c>
      <c r="AU102" s="3">
        <v>6</v>
      </c>
      <c r="AV102" s="54">
        <v>83.620689655172413</v>
      </c>
      <c r="AW102" s="54">
        <v>16.379310344827587</v>
      </c>
      <c r="AX102" s="54">
        <v>0</v>
      </c>
      <c r="AY102" s="68">
        <v>0</v>
      </c>
      <c r="AZ102" s="59">
        <v>6.1158100195185441E-3</v>
      </c>
      <c r="BA102" s="59">
        <v>0.11194029850746269</v>
      </c>
      <c r="BB102" s="76">
        <v>92.978332560486194</v>
      </c>
      <c r="BC102" s="49">
        <v>29.8507462686567</v>
      </c>
      <c r="BD102" s="93">
        <v>0</v>
      </c>
      <c r="BE102" s="93">
        <v>0</v>
      </c>
      <c r="BF102" s="49">
        <v>0</v>
      </c>
      <c r="BG102" s="49">
        <v>0</v>
      </c>
      <c r="BH102" s="49">
        <v>0</v>
      </c>
      <c r="BI102" s="49">
        <v>0</v>
      </c>
      <c r="BJ102" s="85"/>
      <c r="BK102" s="129">
        <v>9510</v>
      </c>
      <c r="BL102" s="129">
        <v>45236</v>
      </c>
      <c r="BM102" s="129">
        <v>45077</v>
      </c>
      <c r="BN102" s="129">
        <v>36759</v>
      </c>
      <c r="BO102" s="59">
        <v>0</v>
      </c>
      <c r="BP102" s="59">
        <v>0.40679999999999999</v>
      </c>
      <c r="BQ102" s="59">
        <v>0.12590000000000001</v>
      </c>
      <c r="BR102" s="59">
        <v>0</v>
      </c>
      <c r="BS102" s="59">
        <v>0</v>
      </c>
      <c r="BT102" s="49">
        <v>9.3000000000000007</v>
      </c>
      <c r="BU102" s="59">
        <f t="shared" si="6"/>
        <v>0.53269999999999995</v>
      </c>
      <c r="BV102" s="59">
        <v>3.5499999999999997E-2</v>
      </c>
      <c r="BW102" s="59">
        <v>0</v>
      </c>
      <c r="BX102" s="59">
        <v>6.4199999999999993E-2</v>
      </c>
      <c r="BY102" s="59">
        <v>0</v>
      </c>
      <c r="BZ102" s="59">
        <v>0</v>
      </c>
      <c r="CA102" s="49">
        <v>19.5</v>
      </c>
      <c r="CB102" s="59">
        <f t="shared" si="7"/>
        <v>9.9699999999999983E-2</v>
      </c>
      <c r="CC102" s="59">
        <v>0.35270000000000001</v>
      </c>
      <c r="CD102" s="125">
        <v>0.41610000000000003</v>
      </c>
      <c r="CE102" s="125">
        <v>0.2223</v>
      </c>
      <c r="CF102" s="125">
        <v>8.8999999999999999E-3</v>
      </c>
      <c r="CG102" s="125">
        <v>0</v>
      </c>
      <c r="CH102" s="85">
        <v>10.6</v>
      </c>
      <c r="CI102" s="39" t="s">
        <v>202</v>
      </c>
      <c r="CJ102" s="18" t="s">
        <v>80</v>
      </c>
      <c r="CK102" s="20"/>
    </row>
    <row r="103" spans="1:89" x14ac:dyDescent="0.25">
      <c r="A103" s="18" t="s">
        <v>80</v>
      </c>
      <c r="B103" s="19" t="s">
        <v>201</v>
      </c>
      <c r="C103" s="39" t="s">
        <v>203</v>
      </c>
      <c r="D103" s="40">
        <v>19</v>
      </c>
      <c r="E103" s="40" t="s">
        <v>83</v>
      </c>
      <c r="F103" s="40">
        <v>19</v>
      </c>
      <c r="G103" s="162" t="s">
        <v>83</v>
      </c>
      <c r="H103" s="162" t="s">
        <v>83</v>
      </c>
      <c r="I103" s="166">
        <v>0</v>
      </c>
      <c r="J103" s="166">
        <v>10</v>
      </c>
      <c r="K103" s="166">
        <v>4</v>
      </c>
      <c r="L103" s="166">
        <v>2</v>
      </c>
      <c r="M103" s="166">
        <v>3</v>
      </c>
      <c r="N103" s="119">
        <v>2.4050632911392401E-2</v>
      </c>
      <c r="O103" s="119">
        <v>2.4050632911392401E-2</v>
      </c>
      <c r="P103" s="116" t="s">
        <v>83</v>
      </c>
      <c r="Q103" s="116" t="s">
        <v>83</v>
      </c>
      <c r="R103" s="119">
        <v>0</v>
      </c>
      <c r="S103" s="119">
        <v>3.9840637450199202E-2</v>
      </c>
      <c r="T103" s="119">
        <v>2.1621621621621599E-2</v>
      </c>
      <c r="U103" s="119">
        <v>1.30718954248366E-2</v>
      </c>
      <c r="V103" s="119">
        <v>1.63934426229508E-2</v>
      </c>
      <c r="W103" s="40">
        <v>732</v>
      </c>
      <c r="X103" s="40">
        <f t="shared" si="8"/>
        <v>732</v>
      </c>
      <c r="Y103" s="40">
        <f t="shared" si="5"/>
        <v>732</v>
      </c>
      <c r="Z103" s="105">
        <v>0.47499999999999998</v>
      </c>
      <c r="AA103" s="105">
        <v>0.52500000000000002</v>
      </c>
      <c r="AB103" s="106">
        <f>4/732</f>
        <v>5.4644808743169399E-3</v>
      </c>
      <c r="AC103" s="106">
        <f>9/732</f>
        <v>1.2295081967213115E-2</v>
      </c>
      <c r="AD103" s="106">
        <f>62/732</f>
        <v>8.4699453551912565E-2</v>
      </c>
      <c r="AE103" s="106">
        <f>15/732</f>
        <v>2.0491803278688523E-2</v>
      </c>
      <c r="AF103" s="106">
        <v>0</v>
      </c>
      <c r="AG103" s="106">
        <f>637/732</f>
        <v>0.8702185792349727</v>
      </c>
      <c r="AH103" s="106">
        <f>5/732</f>
        <v>6.8306010928961746E-3</v>
      </c>
      <c r="AI103" s="106">
        <f>95/732</f>
        <v>0.12978142076502733</v>
      </c>
      <c r="AJ103" s="105">
        <v>0.59153005464480879</v>
      </c>
      <c r="AK103" s="105">
        <v>0</v>
      </c>
      <c r="AL103" s="12">
        <v>0</v>
      </c>
      <c r="AM103" s="12">
        <v>0</v>
      </c>
      <c r="AN103" s="12">
        <v>14</v>
      </c>
      <c r="AO103" s="12">
        <v>224</v>
      </c>
      <c r="AP103" s="12">
        <v>177</v>
      </c>
      <c r="AQ103" s="12">
        <v>174</v>
      </c>
      <c r="AR103" s="12">
        <v>143</v>
      </c>
      <c r="AS103" s="59">
        <v>5.8823529411764705E-2</v>
      </c>
      <c r="AT103" s="12">
        <v>9</v>
      </c>
      <c r="AU103" s="3">
        <v>6</v>
      </c>
      <c r="AV103" s="54">
        <v>65.432098765432102</v>
      </c>
      <c r="AW103" s="54">
        <v>17.777777777777779</v>
      </c>
      <c r="AX103" s="54">
        <v>16.049382716049383</v>
      </c>
      <c r="AY103" s="68">
        <v>0.74074074074074081</v>
      </c>
      <c r="AZ103" s="59">
        <v>0.11450381679389313</v>
      </c>
      <c r="BA103" s="59">
        <v>7.8880407124681931E-2</v>
      </c>
      <c r="BB103" s="77">
        <v>91.489861827499197</v>
      </c>
      <c r="BC103" s="49">
        <v>21.473951715374799</v>
      </c>
      <c r="BD103" s="90" t="s">
        <v>83</v>
      </c>
      <c r="BE103" s="90" t="s">
        <v>83</v>
      </c>
      <c r="BF103" s="49">
        <v>19.100000000000001</v>
      </c>
      <c r="BG103" s="49">
        <v>11.9</v>
      </c>
      <c r="BH103" s="49">
        <v>0</v>
      </c>
      <c r="BI103" s="49">
        <v>6.9</v>
      </c>
      <c r="BJ103" s="85">
        <v>18.600000000000001</v>
      </c>
      <c r="BK103" s="129">
        <v>9167</v>
      </c>
      <c r="BL103" s="129">
        <v>43829</v>
      </c>
      <c r="BM103" s="129">
        <v>45014</v>
      </c>
      <c r="BN103" s="129">
        <v>35928</v>
      </c>
      <c r="BO103" s="59">
        <v>1.26E-2</v>
      </c>
      <c r="BP103" s="59">
        <v>0.3599</v>
      </c>
      <c r="BQ103" s="59">
        <v>0.1699</v>
      </c>
      <c r="BR103" s="59">
        <v>0</v>
      </c>
      <c r="BS103" s="59">
        <v>0</v>
      </c>
      <c r="BT103" s="49">
        <v>9.3000000000000007</v>
      </c>
      <c r="BU103" s="59">
        <f t="shared" si="6"/>
        <v>0.54239999999999999</v>
      </c>
      <c r="BV103" s="59">
        <v>2.5100000000000001E-2</v>
      </c>
      <c r="BW103" s="59">
        <v>0</v>
      </c>
      <c r="BX103" s="59">
        <v>3.6499999999999998E-2</v>
      </c>
      <c r="BY103" s="59">
        <v>0</v>
      </c>
      <c r="BZ103" s="59">
        <v>0</v>
      </c>
      <c r="CA103" s="49">
        <v>18.5</v>
      </c>
      <c r="CB103" s="59">
        <f t="shared" si="7"/>
        <v>6.1600000000000002E-2</v>
      </c>
      <c r="CC103" s="59">
        <v>0.36799999999999999</v>
      </c>
      <c r="CD103" s="125">
        <v>0.38779999999999998</v>
      </c>
      <c r="CE103" s="125">
        <v>0.24049999999999999</v>
      </c>
      <c r="CF103" s="125">
        <v>3.5999999999999999E-3</v>
      </c>
      <c r="CG103" s="125">
        <v>0</v>
      </c>
      <c r="CH103" s="85">
        <v>10.8</v>
      </c>
      <c r="CI103" s="39" t="s">
        <v>203</v>
      </c>
      <c r="CJ103" s="18" t="s">
        <v>80</v>
      </c>
      <c r="CK103" s="20"/>
    </row>
    <row r="104" spans="1:89" x14ac:dyDescent="0.25">
      <c r="A104" s="18" t="s">
        <v>80</v>
      </c>
      <c r="B104" s="19" t="s">
        <v>201</v>
      </c>
      <c r="C104" s="39" t="s">
        <v>204</v>
      </c>
      <c r="D104" s="40">
        <v>3</v>
      </c>
      <c r="E104" s="40">
        <v>0</v>
      </c>
      <c r="F104" s="40">
        <v>3</v>
      </c>
      <c r="G104" s="166">
        <v>0</v>
      </c>
      <c r="H104" s="166">
        <v>0</v>
      </c>
      <c r="I104" s="166">
        <v>1</v>
      </c>
      <c r="J104" s="166">
        <v>0</v>
      </c>
      <c r="K104" s="166">
        <v>1</v>
      </c>
      <c r="L104" s="166">
        <v>0</v>
      </c>
      <c r="M104" s="166">
        <v>1</v>
      </c>
      <c r="N104" s="119">
        <v>1.2500000000000001E-2</v>
      </c>
      <c r="O104" s="119">
        <v>0.02</v>
      </c>
      <c r="P104" s="119">
        <v>0</v>
      </c>
      <c r="Q104" s="119">
        <v>0</v>
      </c>
      <c r="R104" s="119">
        <v>0.16666666666666699</v>
      </c>
      <c r="S104" s="119">
        <v>0</v>
      </c>
      <c r="T104" s="119">
        <v>2.04081632653061E-2</v>
      </c>
      <c r="U104" s="119">
        <v>0</v>
      </c>
      <c r="V104" s="119">
        <v>3.03030303030303E-2</v>
      </c>
      <c r="W104" s="40">
        <v>220</v>
      </c>
      <c r="X104" s="40">
        <f t="shared" si="8"/>
        <v>137</v>
      </c>
      <c r="Y104" s="40">
        <f t="shared" si="5"/>
        <v>220</v>
      </c>
      <c r="Z104" s="105">
        <v>0.40899999999999997</v>
      </c>
      <c r="AA104" s="105">
        <v>0.59099999999999997</v>
      </c>
      <c r="AB104" s="106">
        <f>2/220</f>
        <v>9.0909090909090905E-3</v>
      </c>
      <c r="AC104" s="106">
        <f>1/220</f>
        <v>4.5454545454545452E-3</v>
      </c>
      <c r="AD104" s="106">
        <f>29/220</f>
        <v>0.13181818181818181</v>
      </c>
      <c r="AE104" s="106">
        <v>0</v>
      </c>
      <c r="AF104" s="106">
        <f>2/220</f>
        <v>9.0909090909090905E-3</v>
      </c>
      <c r="AG104" s="106">
        <f>185/220</f>
        <v>0.84090909090909094</v>
      </c>
      <c r="AH104" s="106">
        <f>1/220</f>
        <v>4.5454545454545452E-3</v>
      </c>
      <c r="AI104" s="106">
        <f>35/220</f>
        <v>0.15909090909090909</v>
      </c>
      <c r="AJ104" s="105">
        <v>0.77272727272727271</v>
      </c>
      <c r="AK104" s="105">
        <v>0</v>
      </c>
      <c r="AL104" s="12">
        <v>35</v>
      </c>
      <c r="AM104" s="12">
        <v>48</v>
      </c>
      <c r="AN104" s="12">
        <v>5</v>
      </c>
      <c r="AO104" s="12">
        <v>33</v>
      </c>
      <c r="AP104" s="12">
        <v>44</v>
      </c>
      <c r="AQ104" s="12">
        <v>30</v>
      </c>
      <c r="AR104" s="12">
        <v>25</v>
      </c>
      <c r="AS104" s="59">
        <v>0.13157894736842105</v>
      </c>
      <c r="AT104" s="12">
        <v>7</v>
      </c>
      <c r="AU104" s="3">
        <v>6</v>
      </c>
      <c r="AV104" s="54">
        <v>73.571428571428584</v>
      </c>
      <c r="AW104" s="54">
        <v>14.285714285714285</v>
      </c>
      <c r="AX104" s="54">
        <v>2.8571428571428572</v>
      </c>
      <c r="AY104" s="68">
        <v>9.2857142857142865</v>
      </c>
      <c r="AZ104" s="59">
        <v>0.32217573221757323</v>
      </c>
      <c r="BA104" s="59">
        <v>9.2050209205020925E-2</v>
      </c>
      <c r="BB104" s="76">
        <v>92.516465085165706</v>
      </c>
      <c r="BC104" s="49">
        <v>29.2887029288703</v>
      </c>
      <c r="BD104" s="49">
        <v>3</v>
      </c>
      <c r="BE104" s="49">
        <v>0</v>
      </c>
      <c r="BF104" s="49">
        <v>10</v>
      </c>
      <c r="BG104" s="49">
        <v>4.7</v>
      </c>
      <c r="BH104" s="49">
        <v>8</v>
      </c>
      <c r="BI104" s="49">
        <v>0</v>
      </c>
      <c r="BJ104" s="85">
        <v>16.5</v>
      </c>
      <c r="BK104" s="129">
        <v>10252</v>
      </c>
      <c r="BL104" s="129">
        <v>47778</v>
      </c>
      <c r="BM104" s="129">
        <v>45503</v>
      </c>
      <c r="BN104" s="129">
        <v>37067</v>
      </c>
      <c r="BO104" s="59">
        <v>3.6999999999999998E-2</v>
      </c>
      <c r="BP104" s="59">
        <v>0.37790000000000001</v>
      </c>
      <c r="BQ104" s="59">
        <v>7.4499999999999997E-2</v>
      </c>
      <c r="BR104" s="59">
        <v>0</v>
      </c>
      <c r="BS104" s="59">
        <v>0</v>
      </c>
      <c r="BT104" s="49">
        <v>14.2</v>
      </c>
      <c r="BU104" s="59">
        <f t="shared" si="6"/>
        <v>0.4894</v>
      </c>
      <c r="BV104" s="59">
        <v>3.6999999999999998E-2</v>
      </c>
      <c r="BW104" s="59">
        <v>0</v>
      </c>
      <c r="BX104" s="59">
        <v>5.79E-2</v>
      </c>
      <c r="BY104" s="59">
        <v>0</v>
      </c>
      <c r="BZ104" s="59">
        <v>0</v>
      </c>
      <c r="CA104" s="49">
        <v>18.5</v>
      </c>
      <c r="CB104" s="59">
        <f t="shared" si="7"/>
        <v>9.4899999999999998E-2</v>
      </c>
      <c r="CC104" s="59">
        <v>0.44069999999999998</v>
      </c>
      <c r="CD104" s="125">
        <v>0.38779999999999998</v>
      </c>
      <c r="CE104" s="125">
        <v>0.1678</v>
      </c>
      <c r="CF104" s="125">
        <v>3.7000000000000002E-3</v>
      </c>
      <c r="CG104" s="125">
        <v>0</v>
      </c>
      <c r="CH104" s="85">
        <v>12.2</v>
      </c>
      <c r="CI104" s="39" t="s">
        <v>204</v>
      </c>
      <c r="CJ104" s="18" t="s">
        <v>80</v>
      </c>
      <c r="CK104" s="20"/>
    </row>
    <row r="105" spans="1:89" x14ac:dyDescent="0.25">
      <c r="A105" s="18" t="s">
        <v>80</v>
      </c>
      <c r="B105" s="19" t="s">
        <v>205</v>
      </c>
      <c r="C105" s="39" t="s">
        <v>206</v>
      </c>
      <c r="D105" s="40">
        <v>1</v>
      </c>
      <c r="E105" s="40">
        <v>1</v>
      </c>
      <c r="F105" s="40">
        <v>0</v>
      </c>
      <c r="G105" s="166">
        <v>1</v>
      </c>
      <c r="H105" s="166">
        <v>0</v>
      </c>
      <c r="I105" s="166">
        <v>0</v>
      </c>
      <c r="J105" s="166">
        <v>0</v>
      </c>
      <c r="K105" s="166">
        <v>0</v>
      </c>
      <c r="L105" s="166">
        <v>0</v>
      </c>
      <c r="M105" s="166">
        <v>0</v>
      </c>
      <c r="N105" s="119">
        <v>2.1052631578947398E-3</v>
      </c>
      <c r="O105" s="119">
        <v>0</v>
      </c>
      <c r="P105" s="119">
        <v>1.05263157894737E-2</v>
      </c>
      <c r="Q105" s="119">
        <v>0</v>
      </c>
      <c r="R105" s="119">
        <v>0</v>
      </c>
      <c r="S105" s="119">
        <v>0</v>
      </c>
      <c r="T105" s="119">
        <v>0</v>
      </c>
      <c r="U105" s="119">
        <v>0</v>
      </c>
      <c r="V105" s="119">
        <v>0</v>
      </c>
      <c r="W105" s="40">
        <v>538</v>
      </c>
      <c r="X105" s="40">
        <f t="shared" si="8"/>
        <v>275</v>
      </c>
      <c r="Y105" s="40">
        <f t="shared" si="5"/>
        <v>435</v>
      </c>
      <c r="Z105" s="105">
        <v>0.47</v>
      </c>
      <c r="AA105" s="105">
        <v>0.53</v>
      </c>
      <c r="AB105" s="106">
        <f>5/538</f>
        <v>9.2936802973977699E-3</v>
      </c>
      <c r="AC105" s="106">
        <f>6/538</f>
        <v>1.1152416356877323E-2</v>
      </c>
      <c r="AD105" s="106">
        <f>36/538</f>
        <v>6.6914498141263934E-2</v>
      </c>
      <c r="AE105" s="106">
        <f>24/538</f>
        <v>4.4609665427509292E-2</v>
      </c>
      <c r="AF105" s="106">
        <v>0</v>
      </c>
      <c r="AG105" s="106">
        <f>462/538</f>
        <v>0.85873605947955389</v>
      </c>
      <c r="AH105" s="106">
        <f>5/538</f>
        <v>9.2936802973977699E-3</v>
      </c>
      <c r="AI105" s="106">
        <f>76/538</f>
        <v>0.14126394052044611</v>
      </c>
      <c r="AJ105" s="105">
        <v>0.53531598513011147</v>
      </c>
      <c r="AK105" s="105">
        <v>1.9E-2</v>
      </c>
      <c r="AL105" s="12">
        <v>90</v>
      </c>
      <c r="AM105" s="12">
        <v>70</v>
      </c>
      <c r="AN105" s="12">
        <v>3</v>
      </c>
      <c r="AO105" s="12">
        <v>78</v>
      </c>
      <c r="AP105" s="12">
        <v>70</v>
      </c>
      <c r="AQ105" s="12">
        <v>62</v>
      </c>
      <c r="AR105" s="12">
        <v>62</v>
      </c>
      <c r="AS105" s="59">
        <v>3.7037037037037035E-2</v>
      </c>
      <c r="AT105" s="12">
        <v>6</v>
      </c>
      <c r="AU105" s="3">
        <v>6</v>
      </c>
      <c r="AV105" s="54">
        <v>75.531914893617028</v>
      </c>
      <c r="AW105" s="54">
        <v>18.617021276595743</v>
      </c>
      <c r="AX105" s="54">
        <v>5.5851063829787231</v>
      </c>
      <c r="AY105" s="68">
        <v>0.26595744680851063</v>
      </c>
      <c r="AZ105" s="59">
        <v>0.28692699490662138</v>
      </c>
      <c r="BA105" s="59">
        <v>1.0367505110451487E-2</v>
      </c>
      <c r="BB105" s="81">
        <v>96</v>
      </c>
      <c r="BC105" s="49">
        <v>14.9579831932773</v>
      </c>
      <c r="BD105" s="49">
        <v>9.1</v>
      </c>
      <c r="BE105" s="49">
        <v>1.4</v>
      </c>
      <c r="BF105" s="49">
        <v>6.8</v>
      </c>
      <c r="BG105" s="49">
        <v>2.8</v>
      </c>
      <c r="BH105" s="49">
        <v>3.3</v>
      </c>
      <c r="BI105" s="49">
        <v>1.6</v>
      </c>
      <c r="BJ105" s="85">
        <v>20</v>
      </c>
      <c r="BK105" s="129">
        <v>10146</v>
      </c>
      <c r="BL105" s="129">
        <v>51130</v>
      </c>
      <c r="BM105" s="129">
        <v>39051</v>
      </c>
      <c r="BN105" s="129">
        <v>44019</v>
      </c>
      <c r="BO105" s="59">
        <v>2.8999999999999998E-3</v>
      </c>
      <c r="BP105" s="59">
        <v>0.51160000000000005</v>
      </c>
      <c r="BQ105" s="59">
        <v>0.154</v>
      </c>
      <c r="BR105" s="59">
        <v>0</v>
      </c>
      <c r="BS105" s="59">
        <v>0</v>
      </c>
      <c r="BT105" s="49">
        <v>15.3</v>
      </c>
      <c r="BU105" s="59">
        <f t="shared" si="6"/>
        <v>0.66850000000000009</v>
      </c>
      <c r="BV105" s="59">
        <v>5.2299999999999999E-2</v>
      </c>
      <c r="BW105" s="59">
        <v>1.7399999999999999E-2</v>
      </c>
      <c r="BX105" s="59">
        <v>1.7399999999999999E-2</v>
      </c>
      <c r="BY105" s="59">
        <v>0</v>
      </c>
      <c r="BZ105" s="59">
        <v>0</v>
      </c>
      <c r="CA105" s="49">
        <v>8.4</v>
      </c>
      <c r="CB105" s="59">
        <f t="shared" si="7"/>
        <v>8.7099999999999997E-2</v>
      </c>
      <c r="CC105" s="59">
        <v>0.248</v>
      </c>
      <c r="CD105" s="125">
        <v>0.55810000000000004</v>
      </c>
      <c r="CE105" s="125">
        <v>0.19389999999999999</v>
      </c>
      <c r="CF105" s="125">
        <v>0</v>
      </c>
      <c r="CG105" s="125">
        <v>0</v>
      </c>
      <c r="CH105" s="85">
        <v>14.5</v>
      </c>
      <c r="CI105" s="39" t="s">
        <v>206</v>
      </c>
      <c r="CJ105" s="18" t="s">
        <v>80</v>
      </c>
      <c r="CK105" s="20"/>
    </row>
    <row r="106" spans="1:89" x14ac:dyDescent="0.25">
      <c r="A106" s="18" t="s">
        <v>80</v>
      </c>
      <c r="B106" s="19" t="s">
        <v>205</v>
      </c>
      <c r="C106" s="39" t="s">
        <v>207</v>
      </c>
      <c r="D106" s="40">
        <v>15</v>
      </c>
      <c r="E106" s="40">
        <v>4</v>
      </c>
      <c r="F106" s="40">
        <v>11</v>
      </c>
      <c r="G106" s="166">
        <v>2</v>
      </c>
      <c r="H106" s="166">
        <v>2</v>
      </c>
      <c r="I106" s="166">
        <v>0</v>
      </c>
      <c r="J106" s="166">
        <v>5</v>
      </c>
      <c r="K106" s="166">
        <v>3</v>
      </c>
      <c r="L106" s="166">
        <v>2</v>
      </c>
      <c r="M106" s="166">
        <v>1</v>
      </c>
      <c r="N106" s="119">
        <v>2.85171102661597E-2</v>
      </c>
      <c r="O106" s="119">
        <v>3.2640949554896097E-2</v>
      </c>
      <c r="P106" s="119">
        <v>0.02</v>
      </c>
      <c r="Q106" s="119">
        <v>2.2471910112359599E-2</v>
      </c>
      <c r="R106" s="119">
        <v>0</v>
      </c>
      <c r="S106" s="119">
        <v>4.9019607843137303E-2</v>
      </c>
      <c r="T106" s="119">
        <v>3.6144578313252997E-2</v>
      </c>
      <c r="U106" s="119">
        <v>2.9411764705882401E-2</v>
      </c>
      <c r="V106" s="119">
        <v>1.3698630136986301E-2</v>
      </c>
      <c r="W106" s="40">
        <v>464</v>
      </c>
      <c r="X106" s="40">
        <f t="shared" si="8"/>
        <v>300</v>
      </c>
      <c r="Y106" s="40">
        <f t="shared" ref="Y106:Y128" si="9">SUM(AL106:AR106)</f>
        <v>464</v>
      </c>
      <c r="Z106" s="105">
        <v>0.48699999999999999</v>
      </c>
      <c r="AA106" s="105">
        <v>0.51300000000000001</v>
      </c>
      <c r="AB106" s="106">
        <v>0</v>
      </c>
      <c r="AC106" s="106">
        <v>0</v>
      </c>
      <c r="AD106" s="106">
        <f>393/464</f>
        <v>0.84698275862068961</v>
      </c>
      <c r="AE106" s="106">
        <f>2/464</f>
        <v>4.3103448275862068E-3</v>
      </c>
      <c r="AF106" s="106">
        <v>0</v>
      </c>
      <c r="AG106" s="106">
        <f>67/464</f>
        <v>0.14439655172413793</v>
      </c>
      <c r="AH106" s="106">
        <f>2/464</f>
        <v>4.3103448275862068E-3</v>
      </c>
      <c r="AI106" s="106">
        <f>397/464</f>
        <v>0.8556034482758621</v>
      </c>
      <c r="AJ106" s="105">
        <v>0.88577586206896552</v>
      </c>
      <c r="AK106" s="105">
        <v>0</v>
      </c>
      <c r="AL106" s="12">
        <v>89</v>
      </c>
      <c r="AM106" s="12">
        <v>75</v>
      </c>
      <c r="AN106" s="12">
        <v>10</v>
      </c>
      <c r="AO106" s="12">
        <v>88</v>
      </c>
      <c r="AP106" s="12">
        <v>69</v>
      </c>
      <c r="AQ106" s="12">
        <v>69</v>
      </c>
      <c r="AR106" s="12">
        <v>64</v>
      </c>
      <c r="AS106" s="59">
        <v>0.10204081632653061</v>
      </c>
      <c r="AT106" s="12">
        <v>7</v>
      </c>
      <c r="AU106" s="3">
        <v>6</v>
      </c>
      <c r="AV106" s="54">
        <v>82.548476454293635</v>
      </c>
      <c r="AW106" s="54">
        <v>14.40443213296399</v>
      </c>
      <c r="AX106" s="54">
        <v>3.0470914127423825</v>
      </c>
      <c r="AY106" s="68">
        <v>0</v>
      </c>
      <c r="AZ106" s="59">
        <v>0.28244274809160308</v>
      </c>
      <c r="BA106" s="59">
        <v>9.5419847328244281E-2</v>
      </c>
      <c r="BB106" s="77">
        <v>91.904874964633294</v>
      </c>
      <c r="BC106" s="49">
        <v>32.717190388170103</v>
      </c>
      <c r="BD106" s="49">
        <v>11.6</v>
      </c>
      <c r="BE106" s="49">
        <v>2.7</v>
      </c>
      <c r="BF106" s="49">
        <v>13.6</v>
      </c>
      <c r="BG106" s="49">
        <v>2.8</v>
      </c>
      <c r="BH106" s="49">
        <v>5.3</v>
      </c>
      <c r="BI106" s="49">
        <v>1.4</v>
      </c>
      <c r="BJ106" s="85">
        <v>16.600000000000001</v>
      </c>
      <c r="BK106" s="129">
        <v>12393</v>
      </c>
      <c r="BL106" s="129">
        <v>48701</v>
      </c>
      <c r="BM106" s="129">
        <v>44016</v>
      </c>
      <c r="BN106" s="129">
        <v>42948</v>
      </c>
      <c r="BO106" s="59">
        <v>1.7899999999999999E-2</v>
      </c>
      <c r="BP106" s="59">
        <v>0.57940000000000003</v>
      </c>
      <c r="BQ106" s="59">
        <v>5.0200000000000002E-2</v>
      </c>
      <c r="BR106" s="59">
        <v>0</v>
      </c>
      <c r="BS106" s="59">
        <v>0</v>
      </c>
      <c r="BT106" s="49">
        <v>9.5</v>
      </c>
      <c r="BU106" s="59">
        <f t="shared" si="6"/>
        <v>0.64750000000000008</v>
      </c>
      <c r="BV106" s="59">
        <v>3.0499999999999999E-2</v>
      </c>
      <c r="BW106" s="59">
        <v>0</v>
      </c>
      <c r="BX106" s="59">
        <v>3.0700000000000002E-2</v>
      </c>
      <c r="BY106" s="59">
        <v>0</v>
      </c>
      <c r="BZ106" s="59">
        <v>0</v>
      </c>
      <c r="CA106" s="49">
        <v>12.5</v>
      </c>
      <c r="CB106" s="59">
        <f t="shared" si="7"/>
        <v>6.1200000000000004E-2</v>
      </c>
      <c r="CC106" s="59">
        <v>0.25919999999999999</v>
      </c>
      <c r="CD106" s="125">
        <v>0.61270000000000002</v>
      </c>
      <c r="CE106" s="125">
        <v>0.12820000000000001</v>
      </c>
      <c r="CF106" s="125">
        <v>0</v>
      </c>
      <c r="CG106" s="125">
        <v>0</v>
      </c>
      <c r="CH106" s="85">
        <v>10.5</v>
      </c>
      <c r="CI106" s="39" t="s">
        <v>207</v>
      </c>
      <c r="CJ106" s="18" t="s">
        <v>80</v>
      </c>
      <c r="CK106" s="20"/>
    </row>
    <row r="107" spans="1:89" x14ac:dyDescent="0.25">
      <c r="A107" s="18" t="s">
        <v>80</v>
      </c>
      <c r="B107" s="19" t="s">
        <v>205</v>
      </c>
      <c r="C107" s="39" t="s">
        <v>208</v>
      </c>
      <c r="D107" s="40">
        <v>2</v>
      </c>
      <c r="E107" s="40">
        <v>1</v>
      </c>
      <c r="F107" s="40">
        <v>1</v>
      </c>
      <c r="G107" s="166">
        <v>0</v>
      </c>
      <c r="H107" s="166">
        <v>1</v>
      </c>
      <c r="I107" s="166">
        <v>0</v>
      </c>
      <c r="J107" s="166">
        <v>1</v>
      </c>
      <c r="K107" s="166">
        <v>0</v>
      </c>
      <c r="L107" s="166">
        <v>0</v>
      </c>
      <c r="M107" s="166">
        <v>0</v>
      </c>
      <c r="N107" s="119">
        <v>3.6968576709796698E-3</v>
      </c>
      <c r="O107" s="119">
        <v>2.9069767441860499E-3</v>
      </c>
      <c r="P107" s="119">
        <v>0</v>
      </c>
      <c r="Q107" s="119">
        <v>9.1743119266055103E-3</v>
      </c>
      <c r="R107" s="119">
        <v>0</v>
      </c>
      <c r="S107" s="119">
        <v>8.4745762711864406E-3</v>
      </c>
      <c r="T107" s="119">
        <v>0</v>
      </c>
      <c r="U107" s="119">
        <v>0</v>
      </c>
      <c r="V107" s="119">
        <v>0</v>
      </c>
      <c r="W107" s="40">
        <v>511</v>
      </c>
      <c r="X107" s="40">
        <f t="shared" si="8"/>
        <v>328</v>
      </c>
      <c r="Y107" s="40">
        <f t="shared" si="9"/>
        <v>511</v>
      </c>
      <c r="Z107" s="105">
        <v>0.47599999999999998</v>
      </c>
      <c r="AA107" s="105">
        <v>0.52500000000000002</v>
      </c>
      <c r="AB107" s="106">
        <v>0</v>
      </c>
      <c r="AC107" s="106">
        <f>1/511</f>
        <v>1.9569471624266144E-3</v>
      </c>
      <c r="AD107" s="106">
        <f>127/511</f>
        <v>0.24853228962818003</v>
      </c>
      <c r="AE107" s="106">
        <f>6/511</f>
        <v>1.1741682974559686E-2</v>
      </c>
      <c r="AF107" s="106">
        <v>0</v>
      </c>
      <c r="AG107" s="106">
        <f>373/511</f>
        <v>0.72994129158512722</v>
      </c>
      <c r="AH107" s="106">
        <f>4/511</f>
        <v>7.8277886497064575E-3</v>
      </c>
      <c r="AI107" s="106">
        <f>138/511</f>
        <v>0.27005870841487278</v>
      </c>
      <c r="AJ107" s="105">
        <v>0.48923679060665359</v>
      </c>
      <c r="AK107" s="105">
        <v>4.0000000000000001E-3</v>
      </c>
      <c r="AL107" s="12">
        <v>86</v>
      </c>
      <c r="AM107" s="12">
        <v>97</v>
      </c>
      <c r="AN107" s="12">
        <v>2</v>
      </c>
      <c r="AO107" s="12">
        <v>109</v>
      </c>
      <c r="AP107" s="12">
        <v>63</v>
      </c>
      <c r="AQ107" s="12">
        <v>71</v>
      </c>
      <c r="AR107" s="12">
        <v>83</v>
      </c>
      <c r="AS107" s="59">
        <v>1.8018018018018018E-2</v>
      </c>
      <c r="AT107" s="12">
        <v>7</v>
      </c>
      <c r="AU107" s="3">
        <v>6</v>
      </c>
      <c r="AV107" s="54">
        <v>75.886524822695037</v>
      </c>
      <c r="AW107" s="54">
        <v>11.702127659574469</v>
      </c>
      <c r="AX107" s="54">
        <v>11.702127659574469</v>
      </c>
      <c r="AY107" s="68">
        <v>0.70921985815602839</v>
      </c>
      <c r="AZ107" s="59">
        <v>0.18114602587800369</v>
      </c>
      <c r="BA107" s="59">
        <v>8.5444587290487567E-3</v>
      </c>
      <c r="BB107" s="81">
        <v>96</v>
      </c>
      <c r="BC107" s="49">
        <v>13.9705882352941</v>
      </c>
      <c r="BD107" s="49">
        <v>6.2</v>
      </c>
      <c r="BE107" s="49">
        <v>11.3</v>
      </c>
      <c r="BF107" s="49">
        <v>9.6999999999999993</v>
      </c>
      <c r="BG107" s="49">
        <v>6.3</v>
      </c>
      <c r="BH107" s="49">
        <v>0</v>
      </c>
      <c r="BI107" s="49">
        <v>1.2</v>
      </c>
      <c r="BJ107" s="85">
        <v>19.899999999999999</v>
      </c>
      <c r="BK107" s="129">
        <v>10608</v>
      </c>
      <c r="BL107" s="129">
        <v>51034</v>
      </c>
      <c r="BM107" s="129">
        <v>44449</v>
      </c>
      <c r="BN107" s="129">
        <v>43626</v>
      </c>
      <c r="BO107" s="59">
        <v>2.8E-3</v>
      </c>
      <c r="BP107" s="59">
        <v>0.56340000000000001</v>
      </c>
      <c r="BQ107" s="59">
        <v>3.9800000000000002E-2</v>
      </c>
      <c r="BR107" s="59">
        <v>1.7100000000000001E-2</v>
      </c>
      <c r="BS107" s="59">
        <v>0</v>
      </c>
      <c r="BT107" s="49">
        <v>14.7</v>
      </c>
      <c r="BU107" s="59">
        <f t="shared" si="6"/>
        <v>0.6231000000000001</v>
      </c>
      <c r="BV107" s="59">
        <v>3.4099999999999998E-2</v>
      </c>
      <c r="BW107" s="59">
        <v>0</v>
      </c>
      <c r="BX107" s="59">
        <v>3.4099999999999998E-2</v>
      </c>
      <c r="BY107" s="59">
        <v>0</v>
      </c>
      <c r="BZ107" s="59">
        <v>0</v>
      </c>
      <c r="CA107" s="49">
        <v>15.8</v>
      </c>
      <c r="CB107" s="59">
        <f t="shared" si="7"/>
        <v>6.8199999999999997E-2</v>
      </c>
      <c r="CC107" s="59">
        <v>0.26140000000000002</v>
      </c>
      <c r="CD107" s="125">
        <v>0.6008</v>
      </c>
      <c r="CE107" s="125">
        <v>0.1208</v>
      </c>
      <c r="CF107" s="125">
        <v>1.7100000000000001E-2</v>
      </c>
      <c r="CG107" s="125">
        <v>0</v>
      </c>
      <c r="CH107" s="85">
        <v>13.9</v>
      </c>
      <c r="CI107" s="39" t="s">
        <v>208</v>
      </c>
      <c r="CJ107" s="18" t="s">
        <v>80</v>
      </c>
      <c r="CK107" s="20"/>
    </row>
    <row r="108" spans="1:89" x14ac:dyDescent="0.25">
      <c r="A108" s="18" t="s">
        <v>80</v>
      </c>
      <c r="B108" s="19" t="s">
        <v>205</v>
      </c>
      <c r="C108" s="39" t="s">
        <v>209</v>
      </c>
      <c r="D108" s="40">
        <v>58</v>
      </c>
      <c r="E108" s="40" t="s">
        <v>83</v>
      </c>
      <c r="F108" s="40">
        <v>58</v>
      </c>
      <c r="G108" s="162" t="s">
        <v>83</v>
      </c>
      <c r="H108" s="162" t="s">
        <v>83</v>
      </c>
      <c r="I108" s="166">
        <v>0</v>
      </c>
      <c r="J108" s="166">
        <v>16</v>
      </c>
      <c r="K108" s="166">
        <v>19</v>
      </c>
      <c r="L108" s="166">
        <v>11</v>
      </c>
      <c r="M108" s="166">
        <v>12</v>
      </c>
      <c r="N108" s="119">
        <v>4.6661303298471402E-2</v>
      </c>
      <c r="O108" s="119">
        <v>4.6661303298471402E-2</v>
      </c>
      <c r="P108" s="116" t="s">
        <v>83</v>
      </c>
      <c r="Q108" s="116" t="s">
        <v>83</v>
      </c>
      <c r="R108" s="119">
        <v>0</v>
      </c>
      <c r="S108" s="119">
        <v>3.6281179138322003E-2</v>
      </c>
      <c r="T108" s="119">
        <v>6.4846416382252595E-2</v>
      </c>
      <c r="U108" s="119">
        <v>4.3824701195219098E-2</v>
      </c>
      <c r="V108" s="119">
        <v>5.0847457627118599E-2</v>
      </c>
      <c r="W108" s="40">
        <v>1098</v>
      </c>
      <c r="X108" s="40">
        <f t="shared" si="8"/>
        <v>1098</v>
      </c>
      <c r="Y108" s="40">
        <f t="shared" si="9"/>
        <v>1098</v>
      </c>
      <c r="Z108" s="105">
        <v>0.495</v>
      </c>
      <c r="AA108" s="105">
        <v>0.50600000000000001</v>
      </c>
      <c r="AB108" s="106">
        <f>1/1098</f>
        <v>9.1074681238615665E-4</v>
      </c>
      <c r="AC108" s="106">
        <f>78/1098</f>
        <v>7.1038251366120214E-2</v>
      </c>
      <c r="AD108" s="106">
        <f>560/1098</f>
        <v>0.51001821493624777</v>
      </c>
      <c r="AE108" s="106">
        <f>14/1098</f>
        <v>1.2750455373406194E-2</v>
      </c>
      <c r="AF108" s="106">
        <v>0</v>
      </c>
      <c r="AG108" s="106">
        <f>441/1098</f>
        <v>0.40163934426229508</v>
      </c>
      <c r="AH108" s="106">
        <f>4/1098</f>
        <v>3.6429872495446266E-3</v>
      </c>
      <c r="AI108" s="106">
        <f>657/1098</f>
        <v>0.59836065573770492</v>
      </c>
      <c r="AJ108" s="105">
        <v>0.72131147540983609</v>
      </c>
      <c r="AK108" s="105">
        <v>8.0000000000000002E-3</v>
      </c>
      <c r="AL108" s="12">
        <v>0</v>
      </c>
      <c r="AM108" s="12">
        <v>0</v>
      </c>
      <c r="AN108" s="12">
        <v>18</v>
      </c>
      <c r="AO108" s="12">
        <v>384</v>
      </c>
      <c r="AP108" s="12">
        <v>252</v>
      </c>
      <c r="AQ108" s="12">
        <v>238</v>
      </c>
      <c r="AR108" s="12">
        <v>206</v>
      </c>
      <c r="AS108" s="59">
        <v>4.4776119402985072E-2</v>
      </c>
      <c r="AT108" s="12">
        <v>9</v>
      </c>
      <c r="AU108" s="3">
        <v>6</v>
      </c>
      <c r="AV108" s="54">
        <v>66.4259927797834</v>
      </c>
      <c r="AW108" s="54">
        <v>19.494584837545126</v>
      </c>
      <c r="AX108" s="54">
        <v>13.176895306859207</v>
      </c>
      <c r="AY108" s="68">
        <v>0.90252707581227432</v>
      </c>
      <c r="AZ108" s="59">
        <v>0.28687196110210694</v>
      </c>
      <c r="BA108" s="59">
        <v>2.5906143612899873E-2</v>
      </c>
      <c r="BB108" s="77">
        <v>89.858705592647397</v>
      </c>
      <c r="BC108" s="49">
        <v>39.631705364291399</v>
      </c>
      <c r="BD108" s="90" t="s">
        <v>83</v>
      </c>
      <c r="BE108" s="90" t="s">
        <v>83</v>
      </c>
      <c r="BF108" s="49">
        <v>16.8</v>
      </c>
      <c r="BG108" s="49">
        <v>8.4</v>
      </c>
      <c r="BH108" s="49">
        <v>5.5</v>
      </c>
      <c r="BI108" s="49">
        <v>3.8</v>
      </c>
      <c r="BJ108" s="85">
        <v>17.899999999999999</v>
      </c>
      <c r="BK108" s="129">
        <v>10228</v>
      </c>
      <c r="BL108" s="129">
        <v>48783</v>
      </c>
      <c r="BM108" s="129">
        <v>46614</v>
      </c>
      <c r="BN108" s="129">
        <v>43332</v>
      </c>
      <c r="BO108" s="59">
        <v>1.4E-3</v>
      </c>
      <c r="BP108" s="59">
        <v>0.59570000000000001</v>
      </c>
      <c r="BQ108" s="59">
        <v>6.59E-2</v>
      </c>
      <c r="BR108" s="59">
        <v>0</v>
      </c>
      <c r="BS108" s="59">
        <v>0</v>
      </c>
      <c r="BT108" s="49">
        <v>10.8</v>
      </c>
      <c r="BU108" s="59">
        <f t="shared" si="6"/>
        <v>0.66299999999999992</v>
      </c>
      <c r="BV108" s="59">
        <v>3.4000000000000002E-2</v>
      </c>
      <c r="BW108" s="59">
        <v>8.5000000000000006E-3</v>
      </c>
      <c r="BX108" s="59">
        <v>3.4000000000000002E-2</v>
      </c>
      <c r="BY108" s="59">
        <v>0</v>
      </c>
      <c r="BZ108" s="59">
        <v>0</v>
      </c>
      <c r="CA108" s="49">
        <v>15.9</v>
      </c>
      <c r="CB108" s="59">
        <f t="shared" si="7"/>
        <v>7.6500000000000012E-2</v>
      </c>
      <c r="CC108" s="59">
        <v>0.21790000000000001</v>
      </c>
      <c r="CD108" s="125">
        <v>0.64470000000000005</v>
      </c>
      <c r="CE108" s="125">
        <v>0.13750000000000001</v>
      </c>
      <c r="CF108" s="125">
        <v>0</v>
      </c>
      <c r="CG108" s="125">
        <v>0</v>
      </c>
      <c r="CH108" s="85">
        <v>11</v>
      </c>
      <c r="CI108" s="39" t="s">
        <v>209</v>
      </c>
      <c r="CJ108" s="18" t="s">
        <v>80</v>
      </c>
      <c r="CK108" s="20"/>
    </row>
    <row r="109" spans="1:89" x14ac:dyDescent="0.25">
      <c r="A109" s="18" t="s">
        <v>80</v>
      </c>
      <c r="B109" s="19" t="s">
        <v>205</v>
      </c>
      <c r="C109" s="39" t="s">
        <v>210</v>
      </c>
      <c r="D109" s="40">
        <v>39</v>
      </c>
      <c r="E109" s="40" t="s">
        <v>83</v>
      </c>
      <c r="F109" s="40">
        <v>39</v>
      </c>
      <c r="G109" s="162" t="s">
        <v>83</v>
      </c>
      <c r="H109" s="162" t="s">
        <v>83</v>
      </c>
      <c r="I109" s="166">
        <v>1</v>
      </c>
      <c r="J109" s="166">
        <v>10</v>
      </c>
      <c r="K109" s="166">
        <v>11</v>
      </c>
      <c r="L109" s="166">
        <v>10</v>
      </c>
      <c r="M109" s="166">
        <v>7</v>
      </c>
      <c r="N109" s="119">
        <v>1.9857433808553999E-2</v>
      </c>
      <c r="O109" s="119">
        <v>1.9857433808553999E-2</v>
      </c>
      <c r="P109" s="116" t="s">
        <v>83</v>
      </c>
      <c r="Q109" s="116" t="s">
        <v>83</v>
      </c>
      <c r="R109" s="119">
        <v>2.5641025641025599E-2</v>
      </c>
      <c r="S109" s="119">
        <v>1.6722408026755901E-2</v>
      </c>
      <c r="T109" s="119">
        <v>2.0793950850661599E-2</v>
      </c>
      <c r="U109" s="119">
        <v>2.6041666666666699E-2</v>
      </c>
      <c r="V109" s="119">
        <v>1.69082125603865E-2</v>
      </c>
      <c r="W109" s="40">
        <v>1800</v>
      </c>
      <c r="X109" s="40">
        <f t="shared" si="8"/>
        <v>1800</v>
      </c>
      <c r="Y109" s="40">
        <f t="shared" si="9"/>
        <v>1800</v>
      </c>
      <c r="Z109" s="105">
        <v>0.49299999999999999</v>
      </c>
      <c r="AA109" s="105">
        <v>0.50700000000000001</v>
      </c>
      <c r="AB109" s="106">
        <f>6/1800</f>
        <v>3.3333333333333335E-3</v>
      </c>
      <c r="AC109" s="106">
        <f>38/1800</f>
        <v>2.1111111111111112E-2</v>
      </c>
      <c r="AD109" s="106">
        <f>724/1800</f>
        <v>0.4022222222222222</v>
      </c>
      <c r="AE109" s="106">
        <f>71/1800</f>
        <v>3.9444444444444442E-2</v>
      </c>
      <c r="AF109" s="106">
        <f>1/1800</f>
        <v>5.5555555555555556E-4</v>
      </c>
      <c r="AG109" s="106">
        <f>955/1800</f>
        <v>0.53055555555555556</v>
      </c>
      <c r="AH109" s="106">
        <f>5/1800</f>
        <v>2.7777777777777779E-3</v>
      </c>
      <c r="AI109" s="106">
        <f>845/1800</f>
        <v>0.46944444444444444</v>
      </c>
      <c r="AJ109" s="105">
        <v>0.61833333333333329</v>
      </c>
      <c r="AK109" s="105">
        <v>1.7999999999999999E-2</v>
      </c>
      <c r="AL109" s="12">
        <v>0</v>
      </c>
      <c r="AM109" s="12">
        <v>0</v>
      </c>
      <c r="AN109" s="12">
        <v>34</v>
      </c>
      <c r="AO109" s="12">
        <v>541</v>
      </c>
      <c r="AP109" s="12">
        <v>493</v>
      </c>
      <c r="AQ109" s="12">
        <v>384</v>
      </c>
      <c r="AR109" s="12">
        <v>348</v>
      </c>
      <c r="AS109" s="59">
        <v>5.9130434782608696E-2</v>
      </c>
      <c r="AT109" s="12">
        <v>9</v>
      </c>
      <c r="AU109" s="3">
        <v>6</v>
      </c>
      <c r="AV109" s="54">
        <v>52.112676056338024</v>
      </c>
      <c r="AW109" s="54">
        <v>24.455825864276566</v>
      </c>
      <c r="AX109" s="54">
        <v>22.919334186939821</v>
      </c>
      <c r="AY109" s="68">
        <v>0.51216389244558258</v>
      </c>
      <c r="AZ109" s="59">
        <v>0.20952868852459017</v>
      </c>
      <c r="BA109" s="59">
        <v>1.8718499692544383E-2</v>
      </c>
      <c r="BB109" s="76">
        <v>91.653311140119797</v>
      </c>
      <c r="BC109" s="49">
        <v>29.853756933938499</v>
      </c>
      <c r="BD109" s="90" t="s">
        <v>83</v>
      </c>
      <c r="BE109" s="90" t="s">
        <v>83</v>
      </c>
      <c r="BF109" s="49">
        <v>15.8</v>
      </c>
      <c r="BG109" s="49">
        <v>9.1999999999999993</v>
      </c>
      <c r="BH109" s="49">
        <v>5.9</v>
      </c>
      <c r="BI109" s="49">
        <v>7.7</v>
      </c>
      <c r="BJ109" s="85">
        <v>18.7</v>
      </c>
      <c r="BK109" s="129">
        <v>8621</v>
      </c>
      <c r="BL109" s="129">
        <v>49230</v>
      </c>
      <c r="BM109" s="129">
        <v>43229</v>
      </c>
      <c r="BN109" s="129">
        <v>43118</v>
      </c>
      <c r="BO109" s="59">
        <v>7.7000000000000002E-3</v>
      </c>
      <c r="BP109" s="59">
        <v>0.55610000000000004</v>
      </c>
      <c r="BQ109" s="59">
        <v>7.4300000000000005E-2</v>
      </c>
      <c r="BR109" s="59">
        <v>6.6E-3</v>
      </c>
      <c r="BS109" s="59">
        <v>0</v>
      </c>
      <c r="BT109" s="49">
        <v>11.7</v>
      </c>
      <c r="BU109" s="59">
        <f t="shared" si="6"/>
        <v>0.64470000000000016</v>
      </c>
      <c r="BV109" s="59">
        <v>3.9600000000000003E-2</v>
      </c>
      <c r="BW109" s="59">
        <v>0</v>
      </c>
      <c r="BX109" s="59">
        <v>1.9800000000000002E-2</v>
      </c>
      <c r="BY109" s="59">
        <v>6.6E-3</v>
      </c>
      <c r="BZ109" s="59">
        <v>6.6E-3</v>
      </c>
      <c r="CA109" s="49">
        <v>15.1</v>
      </c>
      <c r="CB109" s="59">
        <f t="shared" si="7"/>
        <v>7.2599999999999998E-2</v>
      </c>
      <c r="CC109" s="59">
        <v>0.25469999999999998</v>
      </c>
      <c r="CD109" s="125">
        <v>0.58840000000000003</v>
      </c>
      <c r="CE109" s="125">
        <v>0.1371</v>
      </c>
      <c r="CF109" s="125">
        <v>1.32E-2</v>
      </c>
      <c r="CG109" s="125">
        <v>6.6E-3</v>
      </c>
      <c r="CH109" s="85">
        <v>12.8</v>
      </c>
      <c r="CI109" s="39" t="s">
        <v>210</v>
      </c>
      <c r="CJ109" s="18" t="s">
        <v>80</v>
      </c>
      <c r="CK109" s="20"/>
    </row>
    <row r="110" spans="1:89" x14ac:dyDescent="0.25">
      <c r="A110" s="18" t="s">
        <v>80</v>
      </c>
      <c r="B110" s="19" t="s">
        <v>211</v>
      </c>
      <c r="C110" s="39" t="s">
        <v>212</v>
      </c>
      <c r="D110" s="40">
        <v>46</v>
      </c>
      <c r="E110" s="40">
        <v>17</v>
      </c>
      <c r="F110" s="40">
        <v>29</v>
      </c>
      <c r="G110" s="166">
        <v>4</v>
      </c>
      <c r="H110" s="166">
        <v>13</v>
      </c>
      <c r="I110" s="166">
        <v>1</v>
      </c>
      <c r="J110" s="166">
        <v>12</v>
      </c>
      <c r="K110" s="166">
        <v>8</v>
      </c>
      <c r="L110" s="166">
        <v>3</v>
      </c>
      <c r="M110" s="166">
        <v>5</v>
      </c>
      <c r="N110" s="119">
        <v>3.1356509884117201E-2</v>
      </c>
      <c r="O110" s="119">
        <v>3.38785046728972E-2</v>
      </c>
      <c r="P110" s="119">
        <v>1.4285714285714299E-2</v>
      </c>
      <c r="Q110" s="119">
        <v>3.92749244712991E-2</v>
      </c>
      <c r="R110" s="119">
        <v>1.85185185185185E-2</v>
      </c>
      <c r="S110" s="119">
        <v>5.5555555555555601E-2</v>
      </c>
      <c r="T110" s="119">
        <v>3.7914691943128E-2</v>
      </c>
      <c r="U110" s="119">
        <v>1.60427807486631E-2</v>
      </c>
      <c r="V110" s="119">
        <v>2.6595744680851099E-2</v>
      </c>
      <c r="W110" s="40">
        <v>1363</v>
      </c>
      <c r="X110" s="40">
        <f t="shared" si="8"/>
        <v>801</v>
      </c>
      <c r="Y110" s="40">
        <f t="shared" si="9"/>
        <v>1363</v>
      </c>
      <c r="Z110" s="105">
        <v>0.47599999999999998</v>
      </c>
      <c r="AA110" s="105">
        <v>0.52400000000000002</v>
      </c>
      <c r="AB110" s="106">
        <f>4/1363</f>
        <v>2.93470286133529E-3</v>
      </c>
      <c r="AC110" s="106">
        <f>4/1363</f>
        <v>2.93470286133529E-3</v>
      </c>
      <c r="AD110" s="106">
        <f>828/1363</f>
        <v>0.60748349229640497</v>
      </c>
      <c r="AE110" s="106">
        <f>13/1363</f>
        <v>9.5377842993396925E-3</v>
      </c>
      <c r="AF110" s="106">
        <v>0</v>
      </c>
      <c r="AG110" s="106">
        <f>512/1363</f>
        <v>0.37564196625091711</v>
      </c>
      <c r="AH110" s="106">
        <f>2/1363</f>
        <v>1.467351430667645E-3</v>
      </c>
      <c r="AI110" s="106">
        <f>851/1363</f>
        <v>0.62435803374908294</v>
      </c>
      <c r="AJ110" s="105">
        <v>0.72193690388848131</v>
      </c>
      <c r="AK110" s="105">
        <v>4.0000000000000001E-3</v>
      </c>
      <c r="AL110" s="12">
        <v>261</v>
      </c>
      <c r="AM110" s="12">
        <v>301</v>
      </c>
      <c r="AN110" s="12">
        <v>53</v>
      </c>
      <c r="AO110" s="12">
        <v>194</v>
      </c>
      <c r="AP110" s="12">
        <v>191</v>
      </c>
      <c r="AQ110" s="12">
        <v>182</v>
      </c>
      <c r="AR110" s="12">
        <v>181</v>
      </c>
      <c r="AS110" s="59">
        <v>0.2145748987854251</v>
      </c>
      <c r="AT110" s="12">
        <v>7</v>
      </c>
      <c r="AU110" s="3">
        <v>6</v>
      </c>
      <c r="AV110" s="54">
        <v>83.15649867374006</v>
      </c>
      <c r="AW110" s="54">
        <v>13.12997347480106</v>
      </c>
      <c r="AX110" s="54">
        <v>3.3156498673740056</v>
      </c>
      <c r="AY110" s="68">
        <v>0.39787798408488062</v>
      </c>
      <c r="AZ110" s="59">
        <v>0.32543554006968639</v>
      </c>
      <c r="BA110" s="59">
        <v>0.26202090592334493</v>
      </c>
      <c r="BB110" s="77">
        <v>93.675570422176193</v>
      </c>
      <c r="BC110" s="49">
        <v>28.278688524590201</v>
      </c>
      <c r="BD110" s="49">
        <v>7.9</v>
      </c>
      <c r="BE110" s="49">
        <v>11.9</v>
      </c>
      <c r="BF110" s="49">
        <v>6.3</v>
      </c>
      <c r="BG110" s="49">
        <v>2.1</v>
      </c>
      <c r="BH110" s="49">
        <v>2.5</v>
      </c>
      <c r="BI110" s="49">
        <v>2.1</v>
      </c>
      <c r="BJ110" s="85">
        <v>18</v>
      </c>
      <c r="BK110" s="129">
        <v>14965</v>
      </c>
      <c r="BL110" s="129">
        <v>53607</v>
      </c>
      <c r="BM110" s="129">
        <v>51817</v>
      </c>
      <c r="BN110" s="129">
        <v>46607</v>
      </c>
      <c r="BO110" s="59">
        <v>3.1699999999999999E-2</v>
      </c>
      <c r="BP110" s="59">
        <v>0.42849999999999999</v>
      </c>
      <c r="BQ110" s="59">
        <v>0.16189999999999999</v>
      </c>
      <c r="BR110" s="59">
        <v>2.18E-2</v>
      </c>
      <c r="BS110" s="59">
        <v>6.3E-3</v>
      </c>
      <c r="BT110" s="49">
        <v>10.9</v>
      </c>
      <c r="BU110" s="59">
        <f t="shared" si="6"/>
        <v>0.6502</v>
      </c>
      <c r="BV110" s="59">
        <v>3.1699999999999999E-2</v>
      </c>
      <c r="BW110" s="59">
        <v>1.2699999999999999E-2</v>
      </c>
      <c r="BX110" s="59">
        <v>2.5399999999999999E-2</v>
      </c>
      <c r="BY110" s="59">
        <v>6.3E-3</v>
      </c>
      <c r="BZ110" s="59">
        <v>0</v>
      </c>
      <c r="CA110" s="49">
        <v>14.8</v>
      </c>
      <c r="CB110" s="59">
        <f t="shared" si="7"/>
        <v>7.6100000000000001E-2</v>
      </c>
      <c r="CC110" s="59">
        <v>0.28039999999999998</v>
      </c>
      <c r="CD110" s="125">
        <v>0.46650000000000003</v>
      </c>
      <c r="CE110" s="125">
        <v>0.21859999999999999</v>
      </c>
      <c r="CF110" s="125">
        <v>2.81E-2</v>
      </c>
      <c r="CG110" s="125">
        <v>6.3E-3</v>
      </c>
      <c r="CH110" s="85">
        <v>11</v>
      </c>
      <c r="CI110" s="39" t="s">
        <v>212</v>
      </c>
      <c r="CJ110" s="18" t="s">
        <v>80</v>
      </c>
      <c r="CK110" s="20"/>
    </row>
    <row r="111" spans="1:89" x14ac:dyDescent="0.25">
      <c r="A111" s="18" t="s">
        <v>80</v>
      </c>
      <c r="B111" s="19" t="s">
        <v>211</v>
      </c>
      <c r="C111" s="39" t="s">
        <v>213</v>
      </c>
      <c r="D111" s="40">
        <v>11</v>
      </c>
      <c r="E111" s="40">
        <v>0</v>
      </c>
      <c r="F111" s="40">
        <v>11</v>
      </c>
      <c r="G111" s="166">
        <v>0</v>
      </c>
      <c r="H111" s="166">
        <v>0</v>
      </c>
      <c r="I111" s="166">
        <v>0</v>
      </c>
      <c r="J111" s="166">
        <v>3</v>
      </c>
      <c r="K111" s="166">
        <v>1</v>
      </c>
      <c r="L111" s="166">
        <v>4</v>
      </c>
      <c r="M111" s="166">
        <v>3</v>
      </c>
      <c r="N111" s="119">
        <v>3.1518624641833803E-2</v>
      </c>
      <c r="O111" s="119">
        <v>5.52763819095477E-2</v>
      </c>
      <c r="P111" s="119">
        <v>0</v>
      </c>
      <c r="Q111" s="119">
        <v>0</v>
      </c>
      <c r="R111" s="119">
        <v>0</v>
      </c>
      <c r="S111" s="119">
        <v>5.0847457627118599E-2</v>
      </c>
      <c r="T111" s="119">
        <v>2.1739130434782601E-2</v>
      </c>
      <c r="U111" s="119">
        <v>8.3333333333333301E-2</v>
      </c>
      <c r="V111" s="119">
        <v>9.0909090909090898E-2</v>
      </c>
      <c r="W111" s="40">
        <v>320</v>
      </c>
      <c r="X111" s="40">
        <f t="shared" si="8"/>
        <v>177</v>
      </c>
      <c r="Y111" s="40">
        <f t="shared" si="9"/>
        <v>320</v>
      </c>
      <c r="Z111" s="105">
        <v>0.52200000000000002</v>
      </c>
      <c r="AA111" s="105">
        <v>0.47799999999999998</v>
      </c>
      <c r="AB111" s="106">
        <v>0</v>
      </c>
      <c r="AC111" s="106">
        <v>0</v>
      </c>
      <c r="AD111" s="106">
        <f>262/320</f>
        <v>0.81874999999999998</v>
      </c>
      <c r="AE111" s="106">
        <f>3/320</f>
        <v>9.3749999999999997E-3</v>
      </c>
      <c r="AF111" s="106">
        <v>0</v>
      </c>
      <c r="AG111" s="106">
        <f>55/320</f>
        <v>0.171875</v>
      </c>
      <c r="AH111" s="106">
        <v>0</v>
      </c>
      <c r="AI111" s="106">
        <f>265/320</f>
        <v>0.828125</v>
      </c>
      <c r="AJ111" s="105">
        <v>0.78125</v>
      </c>
      <c r="AK111" s="105">
        <v>8.9999999999999993E-3</v>
      </c>
      <c r="AL111" s="12">
        <v>62</v>
      </c>
      <c r="AM111" s="12">
        <v>81</v>
      </c>
      <c r="AN111" s="12">
        <v>12</v>
      </c>
      <c r="AO111" s="12">
        <v>53</v>
      </c>
      <c r="AP111" s="12">
        <v>38</v>
      </c>
      <c r="AQ111" s="12">
        <v>43</v>
      </c>
      <c r="AR111" s="12">
        <v>31</v>
      </c>
      <c r="AS111" s="59">
        <v>0.18461538461538463</v>
      </c>
      <c r="AT111" s="12">
        <v>7</v>
      </c>
      <c r="AU111" s="3">
        <v>6</v>
      </c>
      <c r="AV111" s="54">
        <v>96.774193548387103</v>
      </c>
      <c r="AW111" s="54">
        <v>2.956989247311828</v>
      </c>
      <c r="AX111" s="54">
        <v>0.26881720430107531</v>
      </c>
      <c r="AY111" s="68">
        <v>0</v>
      </c>
      <c r="AZ111" s="59">
        <v>0.34210526315789475</v>
      </c>
      <c r="BA111" s="59">
        <v>0.22514619883040934</v>
      </c>
      <c r="BB111" s="76">
        <v>94.109278445040601</v>
      </c>
      <c r="BC111" s="49">
        <v>35.174418604651201</v>
      </c>
      <c r="BD111" s="49">
        <v>4.8</v>
      </c>
      <c r="BE111" s="49">
        <v>13.4</v>
      </c>
      <c r="BF111" s="49">
        <v>3.8</v>
      </c>
      <c r="BG111" s="49">
        <v>0</v>
      </c>
      <c r="BH111" s="49">
        <v>0</v>
      </c>
      <c r="BI111" s="49">
        <v>0</v>
      </c>
      <c r="BJ111" s="85">
        <v>18.899999999999999</v>
      </c>
      <c r="BK111" s="129">
        <v>17812</v>
      </c>
      <c r="BL111" s="129">
        <v>52112</v>
      </c>
      <c r="BM111" s="129">
        <v>57528</v>
      </c>
      <c r="BN111" s="129">
        <v>46554</v>
      </c>
      <c r="BO111" s="59">
        <v>0</v>
      </c>
      <c r="BP111" s="59">
        <v>0.4108</v>
      </c>
      <c r="BQ111" s="59">
        <v>0.17929999999999999</v>
      </c>
      <c r="BR111" s="59">
        <v>0</v>
      </c>
      <c r="BS111" s="59">
        <v>5.8299999999999998E-2</v>
      </c>
      <c r="BT111" s="49">
        <v>8.1999999999999993</v>
      </c>
      <c r="BU111" s="59">
        <f t="shared" si="6"/>
        <v>0.64839999999999998</v>
      </c>
      <c r="BV111" s="59">
        <v>4.02E-2</v>
      </c>
      <c r="BW111" s="59">
        <v>0</v>
      </c>
      <c r="BX111" s="59">
        <v>6.0299999999999999E-2</v>
      </c>
      <c r="BY111" s="59">
        <v>0</v>
      </c>
      <c r="BZ111" s="59">
        <v>0</v>
      </c>
      <c r="CA111" s="49">
        <v>21.4</v>
      </c>
      <c r="CB111" s="59">
        <f t="shared" si="7"/>
        <v>0.10050000000000001</v>
      </c>
      <c r="CC111" s="59">
        <v>0.21099999999999999</v>
      </c>
      <c r="CD111" s="125">
        <v>0.45100000000000001</v>
      </c>
      <c r="CE111" s="125">
        <v>0.27979999999999999</v>
      </c>
      <c r="CF111" s="125">
        <v>0</v>
      </c>
      <c r="CG111" s="125">
        <v>5.8299999999999998E-2</v>
      </c>
      <c r="CH111" s="85">
        <v>9.6999999999999993</v>
      </c>
      <c r="CI111" s="39" t="s">
        <v>213</v>
      </c>
      <c r="CJ111" s="18" t="s">
        <v>80</v>
      </c>
      <c r="CK111" s="20"/>
    </row>
    <row r="112" spans="1:89" x14ac:dyDescent="0.25">
      <c r="A112" s="18" t="s">
        <v>80</v>
      </c>
      <c r="B112" s="19" t="s">
        <v>211</v>
      </c>
      <c r="C112" s="39" t="s">
        <v>214</v>
      </c>
      <c r="D112" s="40">
        <v>10</v>
      </c>
      <c r="E112" s="40">
        <v>3</v>
      </c>
      <c r="F112" s="40">
        <v>7</v>
      </c>
      <c r="G112" s="166">
        <v>0</v>
      </c>
      <c r="H112" s="166">
        <v>3</v>
      </c>
      <c r="I112" s="166">
        <v>1</v>
      </c>
      <c r="J112" s="166">
        <v>1</v>
      </c>
      <c r="K112" s="166">
        <v>3</v>
      </c>
      <c r="L112" s="166">
        <v>2</v>
      </c>
      <c r="M112" s="166">
        <v>0</v>
      </c>
      <c r="N112" s="119">
        <v>3.32225913621262E-2</v>
      </c>
      <c r="O112" s="119">
        <v>3.97727272727273E-2</v>
      </c>
      <c r="P112" s="119">
        <v>0</v>
      </c>
      <c r="Q112" s="119">
        <v>4.2857142857142899E-2</v>
      </c>
      <c r="R112" s="119">
        <v>0.1</v>
      </c>
      <c r="S112" s="119">
        <v>0.02</v>
      </c>
      <c r="T112" s="119">
        <v>5.5555555555555601E-2</v>
      </c>
      <c r="U112" s="119">
        <v>5.5555555555555601E-2</v>
      </c>
      <c r="V112" s="119">
        <v>0</v>
      </c>
      <c r="W112" s="40">
        <v>677</v>
      </c>
      <c r="X112" s="40">
        <f t="shared" si="8"/>
        <v>151</v>
      </c>
      <c r="Y112" s="40">
        <f t="shared" si="9"/>
        <v>258</v>
      </c>
      <c r="Z112" s="105">
        <v>0.502</v>
      </c>
      <c r="AA112" s="105">
        <v>0.498</v>
      </c>
      <c r="AB112" s="106">
        <v>0</v>
      </c>
      <c r="AC112" s="106">
        <f>14/677</f>
        <v>2.0679468242245199E-2</v>
      </c>
      <c r="AD112" s="106">
        <f>503/677</f>
        <v>0.7429837518463811</v>
      </c>
      <c r="AE112" s="106">
        <f>19/677</f>
        <v>2.8064992614475627E-2</v>
      </c>
      <c r="AF112" s="106">
        <v>0</v>
      </c>
      <c r="AG112" s="106">
        <f>133/677</f>
        <v>0.1964549483013294</v>
      </c>
      <c r="AH112" s="106">
        <f>8/677</f>
        <v>1.1816838995568686E-2</v>
      </c>
      <c r="AI112" s="106">
        <f>544/677</f>
        <v>0.80354505169867063</v>
      </c>
      <c r="AJ112" s="105">
        <v>0.74593796159527326</v>
      </c>
      <c r="AK112" s="105">
        <v>8.9999999999999993E-3</v>
      </c>
      <c r="AL112" s="12">
        <v>45</v>
      </c>
      <c r="AM112" s="12">
        <v>62</v>
      </c>
      <c r="AN112" s="12">
        <v>6</v>
      </c>
      <c r="AO112" s="12">
        <v>47</v>
      </c>
      <c r="AP112" s="12">
        <v>43</v>
      </c>
      <c r="AQ112" s="12">
        <v>32</v>
      </c>
      <c r="AR112" s="12">
        <v>23</v>
      </c>
      <c r="AS112" s="59">
        <v>0.11320754716981132</v>
      </c>
      <c r="AT112" s="12">
        <v>1</v>
      </c>
      <c r="AU112" s="3">
        <v>6</v>
      </c>
      <c r="AV112" s="54">
        <v>95.205479452054803</v>
      </c>
      <c r="AW112" s="54">
        <v>4.5662100456620998</v>
      </c>
      <c r="AX112" s="54">
        <v>0</v>
      </c>
      <c r="AY112" s="68">
        <v>0.22831050228310501</v>
      </c>
      <c r="AZ112" s="59">
        <v>0.19816272965879264</v>
      </c>
      <c r="BA112" s="59">
        <v>0.18503937007874016</v>
      </c>
      <c r="BB112" s="77">
        <v>94.829835496016798</v>
      </c>
      <c r="BC112" s="49">
        <v>25</v>
      </c>
      <c r="BD112" s="49">
        <v>8.5</v>
      </c>
      <c r="BE112" s="49">
        <v>18</v>
      </c>
      <c r="BF112" s="49">
        <v>0</v>
      </c>
      <c r="BG112" s="49">
        <v>0</v>
      </c>
      <c r="BH112" s="49">
        <v>9.6999999999999993</v>
      </c>
      <c r="BI112" s="49">
        <v>0</v>
      </c>
      <c r="BJ112" s="85">
        <v>19.7</v>
      </c>
      <c r="BK112" s="129">
        <v>17689</v>
      </c>
      <c r="BL112" s="129">
        <v>51963</v>
      </c>
      <c r="BM112" s="129">
        <v>55218</v>
      </c>
      <c r="BN112" s="129">
        <v>44793</v>
      </c>
      <c r="BO112" s="59">
        <v>8.9999999999999993E-3</v>
      </c>
      <c r="BP112" s="59">
        <v>0.3992</v>
      </c>
      <c r="BQ112" s="59">
        <v>0.2117</v>
      </c>
      <c r="BR112" s="59">
        <v>0</v>
      </c>
      <c r="BS112" s="59">
        <v>1.8100000000000002E-2</v>
      </c>
      <c r="BT112" s="49">
        <v>10.5</v>
      </c>
      <c r="BU112" s="59">
        <f t="shared" si="6"/>
        <v>0.63800000000000001</v>
      </c>
      <c r="BV112" s="59">
        <v>2.7099999999999999E-2</v>
      </c>
      <c r="BW112" s="59">
        <v>8.9999999999999993E-3</v>
      </c>
      <c r="BX112" s="59">
        <v>3.5099999999999999E-2</v>
      </c>
      <c r="BY112" s="59">
        <v>0</v>
      </c>
      <c r="BZ112" s="59">
        <v>0</v>
      </c>
      <c r="CA112" s="49">
        <v>10.3</v>
      </c>
      <c r="CB112" s="59">
        <f t="shared" si="7"/>
        <v>7.1199999999999999E-2</v>
      </c>
      <c r="CC112" s="59">
        <v>0.25130000000000002</v>
      </c>
      <c r="CD112" s="125">
        <v>0.43859999999999999</v>
      </c>
      <c r="CE112" s="125">
        <v>0.29199999999999998</v>
      </c>
      <c r="CF112" s="125">
        <v>0</v>
      </c>
      <c r="CG112" s="125">
        <v>1.8100000000000002E-2</v>
      </c>
      <c r="CH112" s="85">
        <v>9.3000000000000007</v>
      </c>
      <c r="CI112" s="39" t="s">
        <v>214</v>
      </c>
      <c r="CJ112" s="18" t="s">
        <v>80</v>
      </c>
      <c r="CK112" s="20"/>
    </row>
    <row r="113" spans="1:89" x14ac:dyDescent="0.25">
      <c r="A113" s="18" t="s">
        <v>80</v>
      </c>
      <c r="B113" s="19" t="s">
        <v>215</v>
      </c>
      <c r="C113" s="39" t="s">
        <v>216</v>
      </c>
      <c r="D113" s="40">
        <v>3</v>
      </c>
      <c r="E113" s="40" t="s">
        <v>83</v>
      </c>
      <c r="F113" s="40">
        <v>3</v>
      </c>
      <c r="G113" s="162" t="s">
        <v>83</v>
      </c>
      <c r="H113" s="162" t="s">
        <v>83</v>
      </c>
      <c r="I113" s="166">
        <v>0</v>
      </c>
      <c r="J113" s="166">
        <v>0</v>
      </c>
      <c r="K113" s="166">
        <v>1</v>
      </c>
      <c r="L113" s="166">
        <v>0</v>
      </c>
      <c r="M113" s="166">
        <v>2</v>
      </c>
      <c r="N113" s="119">
        <v>1.14068441064639E-2</v>
      </c>
      <c r="O113" s="119">
        <v>1.14068441064639E-2</v>
      </c>
      <c r="P113" s="116" t="s">
        <v>83</v>
      </c>
      <c r="Q113" s="116" t="s">
        <v>83</v>
      </c>
      <c r="R113" s="119">
        <v>0</v>
      </c>
      <c r="S113" s="119">
        <v>0</v>
      </c>
      <c r="T113" s="119">
        <v>1.6666666666666701E-2</v>
      </c>
      <c r="U113" s="119">
        <v>0</v>
      </c>
      <c r="V113" s="119">
        <v>3.125E-2</v>
      </c>
      <c r="W113" s="40">
        <v>241</v>
      </c>
      <c r="X113" s="40">
        <f t="shared" si="8"/>
        <v>241</v>
      </c>
      <c r="Y113" s="40">
        <f t="shared" si="9"/>
        <v>241</v>
      </c>
      <c r="Z113" s="105">
        <v>0.49399999999999999</v>
      </c>
      <c r="AA113" s="105">
        <v>0.50600000000000001</v>
      </c>
      <c r="AB113" s="106">
        <f>1/241</f>
        <v>4.1493775933609959E-3</v>
      </c>
      <c r="AC113" s="106">
        <v>0</v>
      </c>
      <c r="AD113" s="106">
        <f>183/241</f>
        <v>0.75933609958506221</v>
      </c>
      <c r="AE113" s="106">
        <f>2/241</f>
        <v>8.2987551867219917E-3</v>
      </c>
      <c r="AF113" s="106">
        <v>0</v>
      </c>
      <c r="AG113" s="106">
        <f>55/241</f>
        <v>0.22821576763485477</v>
      </c>
      <c r="AH113" s="106">
        <v>0</v>
      </c>
      <c r="AI113" s="106">
        <f>186/241</f>
        <v>0.77178423236514526</v>
      </c>
      <c r="AJ113" s="105">
        <v>0.77593360995850624</v>
      </c>
      <c r="AK113" s="105">
        <v>0</v>
      </c>
      <c r="AL113" s="12">
        <v>0</v>
      </c>
      <c r="AM113" s="12">
        <v>0</v>
      </c>
      <c r="AN113" s="12">
        <v>7</v>
      </c>
      <c r="AO113" s="12">
        <v>62</v>
      </c>
      <c r="AP113" s="12">
        <v>53</v>
      </c>
      <c r="AQ113" s="12">
        <v>68</v>
      </c>
      <c r="AR113" s="12">
        <v>51</v>
      </c>
      <c r="AS113" s="59">
        <v>0.10144927536231885</v>
      </c>
      <c r="AT113" s="3">
        <v>9</v>
      </c>
      <c r="AU113" s="3">
        <v>6</v>
      </c>
      <c r="AV113" s="54">
        <v>78.461538461538467</v>
      </c>
      <c r="AW113" s="54">
        <v>16.153846153846153</v>
      </c>
      <c r="AX113" s="54">
        <v>5.384615384615385</v>
      </c>
      <c r="AY113" s="68">
        <v>0</v>
      </c>
      <c r="AZ113" s="59">
        <v>0.27203065134099619</v>
      </c>
      <c r="BA113" s="59">
        <v>6.6696335732142464E-3</v>
      </c>
      <c r="BB113" s="76">
        <v>93.493274417719803</v>
      </c>
      <c r="BC113" s="49">
        <v>24.521072796934899</v>
      </c>
      <c r="BD113" s="90" t="s">
        <v>83</v>
      </c>
      <c r="BE113" s="90" t="s">
        <v>83</v>
      </c>
      <c r="BF113" s="49">
        <v>1.8</v>
      </c>
      <c r="BG113" s="49">
        <v>3.8</v>
      </c>
      <c r="BH113" s="49">
        <v>1.5</v>
      </c>
      <c r="BI113" s="49">
        <v>3.4</v>
      </c>
      <c r="BJ113" s="85">
        <v>15.4</v>
      </c>
      <c r="BK113" s="129">
        <v>14548</v>
      </c>
      <c r="BL113" s="129">
        <v>53029</v>
      </c>
      <c r="BM113" s="129">
        <v>47198</v>
      </c>
      <c r="BN113" s="129">
        <v>44095</v>
      </c>
      <c r="BO113" s="59">
        <v>0</v>
      </c>
      <c r="BP113" s="59">
        <v>0.32219999999999999</v>
      </c>
      <c r="BQ113" s="59">
        <v>0.2702</v>
      </c>
      <c r="BR113" s="59">
        <v>0</v>
      </c>
      <c r="BS113" s="59">
        <v>0</v>
      </c>
      <c r="BT113" s="49">
        <v>14.9</v>
      </c>
      <c r="BU113" s="59">
        <f t="shared" si="6"/>
        <v>0.59240000000000004</v>
      </c>
      <c r="BV113" s="59">
        <v>5.3999999999999999E-2</v>
      </c>
      <c r="BW113" s="59">
        <v>0</v>
      </c>
      <c r="BX113" s="59">
        <v>5.3999999999999999E-2</v>
      </c>
      <c r="BY113" s="59">
        <v>0</v>
      </c>
      <c r="BZ113" s="59">
        <v>0</v>
      </c>
      <c r="CA113" s="49">
        <v>26.5</v>
      </c>
      <c r="CB113" s="59">
        <f t="shared" si="7"/>
        <v>0.108</v>
      </c>
      <c r="CC113" s="59">
        <v>0.32619999999999999</v>
      </c>
      <c r="CD113" s="125">
        <v>0.32250000000000001</v>
      </c>
      <c r="CE113" s="125">
        <v>0.3513</v>
      </c>
      <c r="CF113" s="125">
        <v>0</v>
      </c>
      <c r="CG113" s="125">
        <v>0</v>
      </c>
      <c r="CH113" s="85">
        <v>16.600000000000001</v>
      </c>
      <c r="CI113" s="39" t="s">
        <v>216</v>
      </c>
      <c r="CJ113" s="18" t="s">
        <v>80</v>
      </c>
      <c r="CK113" s="20"/>
    </row>
    <row r="114" spans="1:89" x14ac:dyDescent="0.25">
      <c r="A114" s="18" t="s">
        <v>80</v>
      </c>
      <c r="B114" s="19" t="s">
        <v>215</v>
      </c>
      <c r="C114" s="39" t="s">
        <v>217</v>
      </c>
      <c r="D114" s="40">
        <v>2</v>
      </c>
      <c r="E114" s="40">
        <v>1</v>
      </c>
      <c r="F114" s="40">
        <v>1</v>
      </c>
      <c r="G114" s="166">
        <v>1</v>
      </c>
      <c r="H114" s="166">
        <v>0</v>
      </c>
      <c r="I114" s="166">
        <v>0</v>
      </c>
      <c r="J114" s="166">
        <v>1</v>
      </c>
      <c r="K114" s="166">
        <v>0</v>
      </c>
      <c r="L114" s="166">
        <v>0</v>
      </c>
      <c r="M114" s="166">
        <v>0</v>
      </c>
      <c r="N114" s="119">
        <v>5.9701492537313399E-3</v>
      </c>
      <c r="O114" s="119">
        <v>5.40540540540541E-3</v>
      </c>
      <c r="P114" s="119">
        <v>1.2500000000000001E-2</v>
      </c>
      <c r="Q114" s="119">
        <v>0</v>
      </c>
      <c r="R114" s="119">
        <v>0</v>
      </c>
      <c r="S114" s="119">
        <v>2.32558139534884E-2</v>
      </c>
      <c r="T114" s="119">
        <v>0</v>
      </c>
      <c r="U114" s="119">
        <v>0</v>
      </c>
      <c r="V114" s="119">
        <v>0</v>
      </c>
      <c r="W114" s="40">
        <v>778</v>
      </c>
      <c r="X114" s="40">
        <f t="shared" si="8"/>
        <v>177</v>
      </c>
      <c r="Y114" s="40">
        <f t="shared" si="9"/>
        <v>312</v>
      </c>
      <c r="Z114" s="105">
        <v>0.49199999999999999</v>
      </c>
      <c r="AA114" s="105">
        <v>0.50800000000000001</v>
      </c>
      <c r="AB114" s="106">
        <v>0</v>
      </c>
      <c r="AC114" s="106">
        <v>0</v>
      </c>
      <c r="AD114" s="106">
        <f>102/778</f>
        <v>0.13110539845758354</v>
      </c>
      <c r="AE114" s="106">
        <f>21/778</f>
        <v>2.6992287917737789E-2</v>
      </c>
      <c r="AF114" s="106">
        <v>0</v>
      </c>
      <c r="AG114" s="106">
        <f>646/778</f>
        <v>0.83033419023136246</v>
      </c>
      <c r="AH114" s="106">
        <f>9/778</f>
        <v>1.1568123393316195E-2</v>
      </c>
      <c r="AI114" s="106">
        <f>132/778</f>
        <v>0.16966580976863754</v>
      </c>
      <c r="AJ114" s="105">
        <v>0.4884318766066838</v>
      </c>
      <c r="AK114" s="105">
        <v>0</v>
      </c>
      <c r="AL114" s="12">
        <v>71</v>
      </c>
      <c r="AM114" s="12">
        <v>64</v>
      </c>
      <c r="AN114" s="12">
        <v>5</v>
      </c>
      <c r="AO114" s="12">
        <v>42</v>
      </c>
      <c r="AP114" s="12">
        <v>42</v>
      </c>
      <c r="AQ114" s="12">
        <v>46</v>
      </c>
      <c r="AR114" s="12">
        <v>42</v>
      </c>
      <c r="AS114" s="59">
        <v>0.10638297872340426</v>
      </c>
      <c r="AT114" s="3">
        <v>1</v>
      </c>
      <c r="AU114" s="3">
        <v>6</v>
      </c>
      <c r="AV114" s="54">
        <v>56.457564575645755</v>
      </c>
      <c r="AW114" s="54">
        <v>22.140221402214021</v>
      </c>
      <c r="AX114" s="54">
        <v>14.760147601476014</v>
      </c>
      <c r="AY114" s="68">
        <v>6.6420664206642073</v>
      </c>
      <c r="AZ114" s="59">
        <v>0.20479041916167665</v>
      </c>
      <c r="BA114" s="59">
        <v>4.8257784082189623E-3</v>
      </c>
      <c r="BB114" s="77">
        <v>93.2633582463842</v>
      </c>
      <c r="BC114" s="49">
        <v>35.271807838179498</v>
      </c>
      <c r="BD114" s="49">
        <v>0</v>
      </c>
      <c r="BE114" s="49">
        <v>0</v>
      </c>
      <c r="BF114" s="49">
        <v>2.7</v>
      </c>
      <c r="BG114" s="49">
        <v>2.6</v>
      </c>
      <c r="BH114" s="49">
        <v>2.4</v>
      </c>
      <c r="BI114" s="49">
        <v>0</v>
      </c>
      <c r="BJ114" s="85">
        <v>19.600000000000001</v>
      </c>
      <c r="BK114" s="129">
        <v>9551</v>
      </c>
      <c r="BL114" s="129">
        <v>51102</v>
      </c>
      <c r="BM114" s="129">
        <v>43920</v>
      </c>
      <c r="BN114" s="129">
        <v>43426</v>
      </c>
      <c r="BO114" s="59">
        <v>0</v>
      </c>
      <c r="BP114" s="59">
        <v>0.42799999999999999</v>
      </c>
      <c r="BQ114" s="59">
        <v>0.2359</v>
      </c>
      <c r="BR114" s="59">
        <v>0</v>
      </c>
      <c r="BS114" s="59">
        <v>0</v>
      </c>
      <c r="BT114" s="49">
        <v>15.5</v>
      </c>
      <c r="BU114" s="59">
        <f t="shared" si="6"/>
        <v>0.66389999999999993</v>
      </c>
      <c r="BV114" s="59">
        <v>1.5299999999999999E-2</v>
      </c>
      <c r="BW114" s="59">
        <v>1.5299999999999999E-2</v>
      </c>
      <c r="BX114" s="59">
        <v>2.98E-2</v>
      </c>
      <c r="BY114" s="59">
        <v>0</v>
      </c>
      <c r="BZ114" s="59">
        <v>0</v>
      </c>
      <c r="CA114" s="49">
        <v>12.7</v>
      </c>
      <c r="CB114" s="59">
        <f t="shared" si="7"/>
        <v>6.0399999999999995E-2</v>
      </c>
      <c r="CC114" s="59">
        <v>0.24540000000000001</v>
      </c>
      <c r="CD114" s="125">
        <v>0.44330000000000003</v>
      </c>
      <c r="CE114" s="125">
        <v>0.31130000000000002</v>
      </c>
      <c r="CF114" s="125">
        <v>0</v>
      </c>
      <c r="CG114" s="125">
        <v>0</v>
      </c>
      <c r="CH114" s="85">
        <v>14.3</v>
      </c>
      <c r="CI114" s="39" t="s">
        <v>217</v>
      </c>
      <c r="CJ114" s="18" t="s">
        <v>80</v>
      </c>
      <c r="CK114" s="20"/>
    </row>
    <row r="115" spans="1:89" x14ac:dyDescent="0.25">
      <c r="A115" s="18" t="s">
        <v>80</v>
      </c>
      <c r="B115" s="19" t="s">
        <v>215</v>
      </c>
      <c r="C115" s="39" t="s">
        <v>218</v>
      </c>
      <c r="D115" s="40">
        <v>2</v>
      </c>
      <c r="E115" s="40">
        <v>0</v>
      </c>
      <c r="F115" s="40">
        <v>2</v>
      </c>
      <c r="G115" s="166">
        <v>0</v>
      </c>
      <c r="H115" s="166">
        <v>0</v>
      </c>
      <c r="I115" s="166">
        <v>0</v>
      </c>
      <c r="J115" s="166">
        <v>0</v>
      </c>
      <c r="K115" s="166">
        <v>1</v>
      </c>
      <c r="L115" s="166">
        <v>0</v>
      </c>
      <c r="M115" s="166">
        <v>1</v>
      </c>
      <c r="N115" s="119">
        <v>7.7821011673151804E-3</v>
      </c>
      <c r="O115" s="119">
        <v>1.22699386503067E-2</v>
      </c>
      <c r="P115" s="119">
        <v>0</v>
      </c>
      <c r="Q115" s="119">
        <v>0</v>
      </c>
      <c r="R115" s="119">
        <v>0</v>
      </c>
      <c r="S115" s="119">
        <v>0</v>
      </c>
      <c r="T115" s="119">
        <v>2.2222222222222199E-2</v>
      </c>
      <c r="U115" s="119">
        <v>0</v>
      </c>
      <c r="V115" s="119">
        <v>2.7027027027027001E-2</v>
      </c>
      <c r="W115" s="40">
        <v>648</v>
      </c>
      <c r="X115" s="40">
        <f t="shared" si="8"/>
        <v>159</v>
      </c>
      <c r="Y115" s="40">
        <f t="shared" si="9"/>
        <v>247</v>
      </c>
      <c r="Z115" s="105">
        <v>0.50800000000000001</v>
      </c>
      <c r="AA115" s="105">
        <v>0.49199999999999999</v>
      </c>
      <c r="AB115" s="106">
        <v>0</v>
      </c>
      <c r="AC115" s="106">
        <f>4/648</f>
        <v>6.1728395061728392E-3</v>
      </c>
      <c r="AD115" s="106">
        <f>62/648</f>
        <v>9.5679012345679007E-2</v>
      </c>
      <c r="AE115" s="106">
        <f>16/648</f>
        <v>2.4691358024691357E-2</v>
      </c>
      <c r="AF115" s="106">
        <v>0</v>
      </c>
      <c r="AG115" s="106">
        <f>549/648</f>
        <v>0.84722222222222221</v>
      </c>
      <c r="AH115" s="106">
        <f>17/648</f>
        <v>2.6234567901234566E-2</v>
      </c>
      <c r="AI115" s="106">
        <f>99/648</f>
        <v>0.15277777777777779</v>
      </c>
      <c r="AJ115" s="105">
        <v>0.57561728395061729</v>
      </c>
      <c r="AK115" s="105">
        <v>0</v>
      </c>
      <c r="AL115" s="12">
        <v>46</v>
      </c>
      <c r="AM115" s="12">
        <v>42</v>
      </c>
      <c r="AN115" s="12">
        <v>2</v>
      </c>
      <c r="AO115" s="12">
        <v>35</v>
      </c>
      <c r="AP115" s="12">
        <v>45</v>
      </c>
      <c r="AQ115" s="12">
        <v>41</v>
      </c>
      <c r="AR115" s="12">
        <v>36</v>
      </c>
      <c r="AS115" s="59">
        <v>5.4054054054054057E-2</v>
      </c>
      <c r="AT115" s="3">
        <v>1</v>
      </c>
      <c r="AU115" s="3">
        <v>6</v>
      </c>
      <c r="AV115" s="54">
        <v>60.816326530612244</v>
      </c>
      <c r="AW115" s="54">
        <v>21.632653061224492</v>
      </c>
      <c r="AX115" s="54">
        <v>14.69387755102041</v>
      </c>
      <c r="AY115" s="68">
        <v>2.8571428571428572</v>
      </c>
      <c r="AZ115" s="59">
        <v>0.20319303338171263</v>
      </c>
      <c r="BA115" s="59">
        <v>9.6689005107774822E-3</v>
      </c>
      <c r="BB115" s="76">
        <v>94.756394674303493</v>
      </c>
      <c r="BC115" s="49">
        <v>16.9254658385093</v>
      </c>
      <c r="BD115" s="49">
        <v>8.6999999999999993</v>
      </c>
      <c r="BE115" s="49">
        <v>0</v>
      </c>
      <c r="BF115" s="49">
        <v>3.1</v>
      </c>
      <c r="BG115" s="49">
        <v>0</v>
      </c>
      <c r="BH115" s="49">
        <v>0</v>
      </c>
      <c r="BI115" s="49">
        <v>0</v>
      </c>
      <c r="BJ115" s="85">
        <v>20.100000000000001</v>
      </c>
      <c r="BK115" s="129">
        <v>10445</v>
      </c>
      <c r="BL115" s="129">
        <v>51706</v>
      </c>
      <c r="BM115" s="129">
        <v>47433</v>
      </c>
      <c r="BN115" s="129">
        <v>43294</v>
      </c>
      <c r="BO115" s="59">
        <v>0</v>
      </c>
      <c r="BP115" s="59">
        <v>0.38090000000000002</v>
      </c>
      <c r="BQ115" s="59">
        <v>0.22189999999999999</v>
      </c>
      <c r="BR115" s="59">
        <v>0</v>
      </c>
      <c r="BS115" s="59">
        <v>3.1699999999999999E-2</v>
      </c>
      <c r="BT115" s="49">
        <v>14.7</v>
      </c>
      <c r="BU115" s="59">
        <f t="shared" si="6"/>
        <v>0.63449999999999995</v>
      </c>
      <c r="BV115" s="59">
        <v>3.1699999999999999E-2</v>
      </c>
      <c r="BW115" s="59">
        <v>0</v>
      </c>
      <c r="BX115" s="59">
        <v>1.5599999999999999E-2</v>
      </c>
      <c r="BY115" s="59">
        <v>0</v>
      </c>
      <c r="BZ115" s="59">
        <v>1.5900000000000001E-2</v>
      </c>
      <c r="CA115" s="49">
        <v>18</v>
      </c>
      <c r="CB115" s="59">
        <f t="shared" si="7"/>
        <v>6.3199999999999992E-2</v>
      </c>
      <c r="CC115" s="59">
        <v>0.30159999999999998</v>
      </c>
      <c r="CD115" s="125">
        <v>0.38100000000000001</v>
      </c>
      <c r="CE115" s="125">
        <v>0.26979999999999998</v>
      </c>
      <c r="CF115" s="125">
        <v>0</v>
      </c>
      <c r="CG115" s="125">
        <v>4.7600000000000003E-2</v>
      </c>
      <c r="CH115" s="85">
        <v>14.5</v>
      </c>
      <c r="CI115" s="39" t="s">
        <v>218</v>
      </c>
      <c r="CJ115" s="18" t="s">
        <v>80</v>
      </c>
      <c r="CK115" s="20"/>
    </row>
    <row r="116" spans="1:89" x14ac:dyDescent="0.25">
      <c r="A116" s="18" t="s">
        <v>80</v>
      </c>
      <c r="B116" s="19" t="s">
        <v>219</v>
      </c>
      <c r="C116" s="39" t="s">
        <v>220</v>
      </c>
      <c r="D116" s="40">
        <v>132</v>
      </c>
      <c r="E116" s="40" t="s">
        <v>83</v>
      </c>
      <c r="F116" s="40">
        <v>132</v>
      </c>
      <c r="G116" s="162" t="s">
        <v>83</v>
      </c>
      <c r="H116" s="162" t="s">
        <v>83</v>
      </c>
      <c r="I116" s="166">
        <v>4</v>
      </c>
      <c r="J116" s="166">
        <v>58</v>
      </c>
      <c r="K116" s="166">
        <v>26</v>
      </c>
      <c r="L116" s="166">
        <v>25</v>
      </c>
      <c r="M116" s="166">
        <v>19</v>
      </c>
      <c r="N116" s="119">
        <v>7.9518072289156597E-2</v>
      </c>
      <c r="O116" s="119">
        <v>7.9518072289156597E-2</v>
      </c>
      <c r="P116" s="116" t="s">
        <v>83</v>
      </c>
      <c r="Q116" s="116" t="s">
        <v>83</v>
      </c>
      <c r="R116" s="119">
        <v>3.6697247706422E-2</v>
      </c>
      <c r="S116" s="119">
        <v>0.10820895522388101</v>
      </c>
      <c r="T116" s="119">
        <v>7.1625344352617096E-2</v>
      </c>
      <c r="U116" s="119">
        <v>7.1839080459770097E-2</v>
      </c>
      <c r="V116" s="119">
        <v>6.25E-2</v>
      </c>
      <c r="W116" s="40">
        <v>1443</v>
      </c>
      <c r="X116" s="40">
        <f t="shared" si="8"/>
        <v>1443</v>
      </c>
      <c r="Y116" s="40">
        <f t="shared" si="9"/>
        <v>1443</v>
      </c>
      <c r="Z116" s="105">
        <v>0.45400000000000001</v>
      </c>
      <c r="AA116" s="105">
        <v>0.54600000000000004</v>
      </c>
      <c r="AB116" s="106">
        <f>2/1443</f>
        <v>1.386001386001386E-3</v>
      </c>
      <c r="AC116" s="106">
        <f>46/1443</f>
        <v>3.1878031878031877E-2</v>
      </c>
      <c r="AD116" s="106">
        <f>524/1443</f>
        <v>0.36313236313236313</v>
      </c>
      <c r="AE116" s="106">
        <f>597/1443</f>
        <v>0.41372141372141374</v>
      </c>
      <c r="AF116" s="106">
        <f>2/1443</f>
        <v>1.386001386001386E-3</v>
      </c>
      <c r="AG116" s="106">
        <f>250/1443</f>
        <v>0.17325017325017325</v>
      </c>
      <c r="AH116" s="106">
        <f>22/1443</f>
        <v>1.5246015246015246E-2</v>
      </c>
      <c r="AI116" s="106">
        <f>1193/1443</f>
        <v>0.82674982674982678</v>
      </c>
      <c r="AJ116" s="105">
        <v>0.67013167013167008</v>
      </c>
      <c r="AK116" s="105">
        <v>0.19</v>
      </c>
      <c r="AL116" s="12">
        <v>0</v>
      </c>
      <c r="AM116" s="12">
        <v>0</v>
      </c>
      <c r="AN116" s="12">
        <v>96</v>
      </c>
      <c r="AO116" s="12">
        <v>420</v>
      </c>
      <c r="AP116" s="12">
        <v>316</v>
      </c>
      <c r="AQ116" s="12">
        <v>316</v>
      </c>
      <c r="AR116" s="12">
        <v>295</v>
      </c>
      <c r="AS116" s="59">
        <v>0.18604651162790697</v>
      </c>
      <c r="AT116" s="3">
        <v>9</v>
      </c>
      <c r="AU116" s="3">
        <v>6</v>
      </c>
      <c r="AV116" s="54">
        <v>41.706924315619972</v>
      </c>
      <c r="AW116" s="54">
        <v>18.035426731078903</v>
      </c>
      <c r="AX116" s="54">
        <v>33.333333333333329</v>
      </c>
      <c r="AY116" s="68">
        <v>6.9243156199677944</v>
      </c>
      <c r="AZ116" s="59">
        <v>0.36915297092288241</v>
      </c>
      <c r="BA116" s="59">
        <v>0.22187104930467763</v>
      </c>
      <c r="BB116" s="77">
        <v>88.357667031343993</v>
      </c>
      <c r="BC116" s="49">
        <v>70.329670329670293</v>
      </c>
      <c r="BD116" s="90" t="s">
        <v>83</v>
      </c>
      <c r="BE116" s="90" t="s">
        <v>83</v>
      </c>
      <c r="BF116" s="49">
        <v>27</v>
      </c>
      <c r="BG116" s="49">
        <v>13.3</v>
      </c>
      <c r="BH116" s="49">
        <v>12.3</v>
      </c>
      <c r="BI116" s="49">
        <v>1</v>
      </c>
      <c r="BJ116" s="85">
        <v>17.600000000000001</v>
      </c>
      <c r="BK116" s="129">
        <v>11252</v>
      </c>
      <c r="BL116" s="129">
        <v>49321</v>
      </c>
      <c r="BM116" s="129">
        <v>48879</v>
      </c>
      <c r="BN116" s="129">
        <v>40784</v>
      </c>
      <c r="BO116" s="59">
        <v>0</v>
      </c>
      <c r="BP116" s="59">
        <v>0.32169999999999999</v>
      </c>
      <c r="BQ116" s="59">
        <v>0.20080000000000001</v>
      </c>
      <c r="BR116" s="59">
        <v>6.4999999999999997E-3</v>
      </c>
      <c r="BS116" s="59">
        <v>6.4999999999999997E-3</v>
      </c>
      <c r="BT116" s="49">
        <v>15</v>
      </c>
      <c r="BU116" s="59">
        <f t="shared" si="6"/>
        <v>0.53549999999999986</v>
      </c>
      <c r="BV116" s="59">
        <v>3.7100000000000001E-2</v>
      </c>
      <c r="BW116" s="59">
        <v>1.46E-2</v>
      </c>
      <c r="BX116" s="59">
        <v>5.04E-2</v>
      </c>
      <c r="BY116" s="59">
        <v>0</v>
      </c>
      <c r="BZ116" s="59">
        <v>1.6999999999999999E-3</v>
      </c>
      <c r="CA116" s="49">
        <v>18.899999999999999</v>
      </c>
      <c r="CB116" s="59">
        <f t="shared" si="7"/>
        <v>0.10379999999999999</v>
      </c>
      <c r="CC116" s="59">
        <v>0.27710000000000001</v>
      </c>
      <c r="CD116" s="125">
        <v>0.39219999999999999</v>
      </c>
      <c r="CE116" s="125">
        <v>0.316</v>
      </c>
      <c r="CF116" s="125">
        <v>6.4999999999999997E-3</v>
      </c>
      <c r="CG116" s="125">
        <v>8.2000000000000007E-3</v>
      </c>
      <c r="CH116" s="85">
        <v>15.2</v>
      </c>
      <c r="CI116" s="39" t="s">
        <v>220</v>
      </c>
      <c r="CJ116" s="18" t="s">
        <v>80</v>
      </c>
      <c r="CK116" s="20"/>
    </row>
    <row r="117" spans="1:89" x14ac:dyDescent="0.25">
      <c r="A117" s="18" t="s">
        <v>80</v>
      </c>
      <c r="B117" s="19" t="s">
        <v>219</v>
      </c>
      <c r="C117" s="39" t="s">
        <v>221</v>
      </c>
      <c r="D117" s="40">
        <v>32</v>
      </c>
      <c r="E117" s="40" t="s">
        <v>83</v>
      </c>
      <c r="F117" s="40">
        <v>32</v>
      </c>
      <c r="G117" s="162" t="s">
        <v>83</v>
      </c>
      <c r="H117" s="162" t="s">
        <v>83</v>
      </c>
      <c r="I117" s="166">
        <v>1</v>
      </c>
      <c r="J117" s="166">
        <v>8</v>
      </c>
      <c r="K117" s="166">
        <v>10</v>
      </c>
      <c r="L117" s="166">
        <v>4</v>
      </c>
      <c r="M117" s="166">
        <v>9</v>
      </c>
      <c r="N117" s="119">
        <v>3.00751879699248E-2</v>
      </c>
      <c r="O117" s="119">
        <v>3.00751879699248E-2</v>
      </c>
      <c r="P117" s="116" t="s">
        <v>83</v>
      </c>
      <c r="Q117" s="116" t="s">
        <v>83</v>
      </c>
      <c r="R117" s="119">
        <v>2.6315789473684199E-2</v>
      </c>
      <c r="S117" s="119">
        <v>3.0534351145038201E-2</v>
      </c>
      <c r="T117" s="119">
        <v>3.3670033670033697E-2</v>
      </c>
      <c r="U117" s="119">
        <v>1.8264840182648401E-2</v>
      </c>
      <c r="V117" s="119">
        <v>3.6290322580645198E-2</v>
      </c>
      <c r="W117" s="40">
        <v>960</v>
      </c>
      <c r="X117" s="40">
        <f t="shared" si="8"/>
        <v>960</v>
      </c>
      <c r="Y117" s="40">
        <f t="shared" si="9"/>
        <v>960</v>
      </c>
      <c r="Z117" s="105">
        <v>0.503</v>
      </c>
      <c r="AA117" s="105">
        <v>0.497</v>
      </c>
      <c r="AB117" s="106">
        <f>4/960</f>
        <v>4.1666666666666666E-3</v>
      </c>
      <c r="AC117" s="106">
        <f>57/960</f>
        <v>5.9374999999999997E-2</v>
      </c>
      <c r="AD117" s="106">
        <f>637/960</f>
        <v>0.6635416666666667</v>
      </c>
      <c r="AE117" s="106">
        <f>112/960</f>
        <v>0.11666666666666667</v>
      </c>
      <c r="AF117" s="106">
        <f>2/960</f>
        <v>2.0833333333333333E-3</v>
      </c>
      <c r="AG117" s="106">
        <f>128/960</f>
        <v>0.13333333333333333</v>
      </c>
      <c r="AH117" s="106">
        <f>20/960</f>
        <v>2.0833333333333332E-2</v>
      </c>
      <c r="AI117" s="106">
        <f>832/960</f>
        <v>0.8666666666666667</v>
      </c>
      <c r="AJ117" s="105">
        <v>0.74791666666666667</v>
      </c>
      <c r="AK117" s="105">
        <v>0.12</v>
      </c>
      <c r="AL117" s="12">
        <v>0</v>
      </c>
      <c r="AM117" s="12">
        <v>0</v>
      </c>
      <c r="AN117" s="12">
        <v>36</v>
      </c>
      <c r="AO117" s="12">
        <v>225</v>
      </c>
      <c r="AP117" s="12">
        <v>259</v>
      </c>
      <c r="AQ117" s="12">
        <v>208</v>
      </c>
      <c r="AR117" s="12">
        <v>232</v>
      </c>
      <c r="AS117" s="59">
        <v>0.13793103448275862</v>
      </c>
      <c r="AT117" s="3">
        <v>9</v>
      </c>
      <c r="AU117" s="3">
        <v>6</v>
      </c>
      <c r="AV117" s="54">
        <v>50.49751243781094</v>
      </c>
      <c r="AW117" s="54">
        <v>16.169154228855724</v>
      </c>
      <c r="AX117" s="54">
        <v>22.388059701492537</v>
      </c>
      <c r="AY117" s="68">
        <v>10.945273631840797</v>
      </c>
      <c r="AZ117" s="59">
        <v>0.43726235741444869</v>
      </c>
      <c r="BA117" s="59">
        <v>0.31558935361216728</v>
      </c>
      <c r="BB117" s="76">
        <v>92.593549477228393</v>
      </c>
      <c r="BC117" s="49">
        <v>58.731617647058798</v>
      </c>
      <c r="BD117" s="90" t="s">
        <v>83</v>
      </c>
      <c r="BE117" s="90" t="s">
        <v>83</v>
      </c>
      <c r="BF117" s="49">
        <v>10.4</v>
      </c>
      <c r="BG117" s="49">
        <v>6.8</v>
      </c>
      <c r="BH117" s="49">
        <v>2.7</v>
      </c>
      <c r="BI117" s="49">
        <v>3.6</v>
      </c>
      <c r="BJ117" s="85">
        <v>17.5</v>
      </c>
      <c r="BK117" s="129">
        <v>10289</v>
      </c>
      <c r="BL117" s="129">
        <v>49283</v>
      </c>
      <c r="BM117" s="129">
        <v>52900</v>
      </c>
      <c r="BN117" s="129">
        <v>42178</v>
      </c>
      <c r="BO117" s="59">
        <v>0</v>
      </c>
      <c r="BP117" s="59">
        <v>0.3236</v>
      </c>
      <c r="BQ117" s="59">
        <v>0.21329999999999999</v>
      </c>
      <c r="BR117" s="59">
        <v>0</v>
      </c>
      <c r="BS117" s="59">
        <v>2.0899999999999998E-2</v>
      </c>
      <c r="BT117" s="49">
        <v>12.6</v>
      </c>
      <c r="BU117" s="59">
        <f t="shared" si="6"/>
        <v>0.55779999999999996</v>
      </c>
      <c r="BV117" s="59">
        <v>4.6699999999999998E-2</v>
      </c>
      <c r="BW117" s="59">
        <v>0</v>
      </c>
      <c r="BX117" s="59">
        <v>5.2400000000000002E-2</v>
      </c>
      <c r="BY117" s="59">
        <v>0</v>
      </c>
      <c r="BZ117" s="59">
        <v>0</v>
      </c>
      <c r="CA117" s="49">
        <v>18</v>
      </c>
      <c r="CB117" s="59">
        <f t="shared" si="7"/>
        <v>9.9099999999999994E-2</v>
      </c>
      <c r="CC117" s="59">
        <v>0.25369999999999998</v>
      </c>
      <c r="CD117" s="125">
        <v>0.38640000000000002</v>
      </c>
      <c r="CE117" s="125">
        <v>0.33889999999999998</v>
      </c>
      <c r="CF117" s="125">
        <v>0</v>
      </c>
      <c r="CG117" s="125">
        <v>2.0899999999999998E-2</v>
      </c>
      <c r="CH117" s="85">
        <v>13.5</v>
      </c>
      <c r="CI117" s="39" t="s">
        <v>221</v>
      </c>
      <c r="CJ117" s="18" t="s">
        <v>80</v>
      </c>
      <c r="CK117" s="20"/>
    </row>
    <row r="118" spans="1:89" x14ac:dyDescent="0.25">
      <c r="A118" s="18" t="s">
        <v>80</v>
      </c>
      <c r="B118" s="19" t="s">
        <v>219</v>
      </c>
      <c r="C118" s="39" t="s">
        <v>222</v>
      </c>
      <c r="D118" s="40">
        <v>78</v>
      </c>
      <c r="E118" s="40" t="s">
        <v>83</v>
      </c>
      <c r="F118" s="40">
        <v>78</v>
      </c>
      <c r="G118" s="162" t="s">
        <v>83</v>
      </c>
      <c r="H118" s="162" t="s">
        <v>83</v>
      </c>
      <c r="I118" s="166">
        <v>3</v>
      </c>
      <c r="J118" s="166">
        <v>35</v>
      </c>
      <c r="K118" s="166">
        <v>14</v>
      </c>
      <c r="L118" s="166">
        <v>9</v>
      </c>
      <c r="M118" s="166">
        <v>17</v>
      </c>
      <c r="N118" s="119">
        <v>6.0889929742388799E-2</v>
      </c>
      <c r="O118" s="119">
        <v>6.0889929742388799E-2</v>
      </c>
      <c r="P118" s="116" t="s">
        <v>83</v>
      </c>
      <c r="Q118" s="116" t="s">
        <v>83</v>
      </c>
      <c r="R118" s="119">
        <v>5.1724137931034503E-2</v>
      </c>
      <c r="S118" s="119">
        <v>9.0439276485788103E-2</v>
      </c>
      <c r="T118" s="119">
        <v>4.3343653250774002E-2</v>
      </c>
      <c r="U118" s="119">
        <v>3.7656903765690398E-2</v>
      </c>
      <c r="V118" s="119">
        <v>6.2043795620437998E-2</v>
      </c>
      <c r="W118" s="40">
        <v>1160</v>
      </c>
      <c r="X118" s="40">
        <f t="shared" si="8"/>
        <v>1160</v>
      </c>
      <c r="Y118" s="40">
        <f t="shared" si="9"/>
        <v>1160</v>
      </c>
      <c r="Z118" s="105">
        <v>0.46800000000000003</v>
      </c>
      <c r="AA118" s="105">
        <v>0.53200000000000003</v>
      </c>
      <c r="AB118" s="106">
        <f>2/1160</f>
        <v>1.7241379310344827E-3</v>
      </c>
      <c r="AC118" s="106">
        <f>27/1160</f>
        <v>2.3275862068965519E-2</v>
      </c>
      <c r="AD118" s="106">
        <f>403/1160</f>
        <v>0.34741379310344828</v>
      </c>
      <c r="AE118" s="106">
        <f>267/1160</f>
        <v>0.23017241379310344</v>
      </c>
      <c r="AF118" s="106">
        <f>3/1160</f>
        <v>2.5862068965517241E-3</v>
      </c>
      <c r="AG118" s="106">
        <f>442/1160</f>
        <v>0.38103448275862067</v>
      </c>
      <c r="AH118" s="106">
        <f>16/1160</f>
        <v>1.3793103448275862E-2</v>
      </c>
      <c r="AI118" s="106">
        <f>718/1160</f>
        <v>0.61896551724137927</v>
      </c>
      <c r="AJ118" s="105">
        <v>0.67672413793103448</v>
      </c>
      <c r="AK118" s="105">
        <v>0.106</v>
      </c>
      <c r="AL118" s="12">
        <v>0</v>
      </c>
      <c r="AM118" s="12">
        <v>0</v>
      </c>
      <c r="AN118" s="12">
        <v>52</v>
      </c>
      <c r="AO118" s="12">
        <v>328</v>
      </c>
      <c r="AP118" s="12">
        <v>300</v>
      </c>
      <c r="AQ118" s="12">
        <v>217</v>
      </c>
      <c r="AR118" s="12">
        <v>263</v>
      </c>
      <c r="AS118" s="59">
        <v>0.1368421052631579</v>
      </c>
      <c r="AT118" s="3">
        <v>9</v>
      </c>
      <c r="AU118" s="3">
        <v>6</v>
      </c>
      <c r="AV118" s="54">
        <v>50.100200400801597</v>
      </c>
      <c r="AW118" s="54">
        <v>10.420841683366733</v>
      </c>
      <c r="AX118" s="54">
        <v>25.651302605210418</v>
      </c>
      <c r="AY118" s="68">
        <v>13.827655310621243</v>
      </c>
      <c r="AZ118" s="59">
        <v>0.21035856573705181</v>
      </c>
      <c r="BA118" s="59">
        <v>0.14422310756972112</v>
      </c>
      <c r="BB118" s="77">
        <v>90.204916323543003</v>
      </c>
      <c r="BC118" s="49">
        <v>54.730258014073499</v>
      </c>
      <c r="BD118" s="90" t="s">
        <v>83</v>
      </c>
      <c r="BE118" s="90" t="s">
        <v>83</v>
      </c>
      <c r="BF118" s="49">
        <v>12.1</v>
      </c>
      <c r="BG118" s="49">
        <v>6.5</v>
      </c>
      <c r="BH118" s="49">
        <v>12.4</v>
      </c>
      <c r="BI118" s="49">
        <v>5.8</v>
      </c>
      <c r="BJ118" s="85">
        <v>19.100000000000001</v>
      </c>
      <c r="BK118" s="129">
        <v>10837</v>
      </c>
      <c r="BL118" s="129">
        <v>53393</v>
      </c>
      <c r="BM118" s="129">
        <v>48366</v>
      </c>
      <c r="BN118" s="129">
        <v>42698</v>
      </c>
      <c r="BO118" s="59">
        <v>8.6E-3</v>
      </c>
      <c r="BP118" s="59">
        <v>0.3271</v>
      </c>
      <c r="BQ118" s="59">
        <v>0.1938</v>
      </c>
      <c r="BR118" s="59">
        <v>0</v>
      </c>
      <c r="BS118" s="59">
        <v>8.6E-3</v>
      </c>
      <c r="BT118" s="49">
        <v>20.399999999999999</v>
      </c>
      <c r="BU118" s="59">
        <f t="shared" si="6"/>
        <v>0.53810000000000002</v>
      </c>
      <c r="BV118" s="59">
        <v>4.2799999999999998E-2</v>
      </c>
      <c r="BW118" s="59">
        <v>0</v>
      </c>
      <c r="BX118" s="59">
        <v>4.2900000000000001E-2</v>
      </c>
      <c r="BY118" s="59">
        <v>0</v>
      </c>
      <c r="BZ118" s="59">
        <v>0</v>
      </c>
      <c r="CA118" s="49">
        <v>23</v>
      </c>
      <c r="CB118" s="59">
        <f t="shared" si="7"/>
        <v>8.5699999999999998E-2</v>
      </c>
      <c r="CC118" s="59">
        <v>0.30449999999999999</v>
      </c>
      <c r="CD118" s="125">
        <v>0.38290000000000002</v>
      </c>
      <c r="CE118" s="125">
        <v>0.30399999999999999</v>
      </c>
      <c r="CF118" s="125">
        <v>0</v>
      </c>
      <c r="CG118" s="125">
        <v>8.6E-3</v>
      </c>
      <c r="CH118" s="85">
        <v>17.899999999999999</v>
      </c>
      <c r="CI118" s="39" t="s">
        <v>222</v>
      </c>
      <c r="CJ118" s="18" t="s">
        <v>80</v>
      </c>
      <c r="CK118" s="20"/>
    </row>
    <row r="119" spans="1:89" x14ac:dyDescent="0.25">
      <c r="A119" s="18" t="s">
        <v>80</v>
      </c>
      <c r="B119" s="19" t="s">
        <v>219</v>
      </c>
      <c r="C119" s="39" t="s">
        <v>223</v>
      </c>
      <c r="D119" s="40">
        <v>88</v>
      </c>
      <c r="E119" s="40" t="s">
        <v>83</v>
      </c>
      <c r="F119" s="40">
        <v>88</v>
      </c>
      <c r="G119" s="162" t="s">
        <v>83</v>
      </c>
      <c r="H119" s="162" t="s">
        <v>83</v>
      </c>
      <c r="I119" s="166">
        <v>2</v>
      </c>
      <c r="J119" s="166">
        <v>36</v>
      </c>
      <c r="K119" s="166">
        <v>22</v>
      </c>
      <c r="L119" s="166">
        <v>15</v>
      </c>
      <c r="M119" s="166">
        <v>13</v>
      </c>
      <c r="N119" s="119">
        <v>4.0109389243391101E-2</v>
      </c>
      <c r="O119" s="119">
        <v>4.0109389243391101E-2</v>
      </c>
      <c r="P119" s="116" t="s">
        <v>83</v>
      </c>
      <c r="Q119" s="116" t="s">
        <v>83</v>
      </c>
      <c r="R119" s="119">
        <v>2.32558139534884E-2</v>
      </c>
      <c r="S119" s="119">
        <v>5.5130168453292501E-2</v>
      </c>
      <c r="T119" s="119">
        <v>4.2226487523992301E-2</v>
      </c>
      <c r="U119" s="119">
        <v>2.9296875E-2</v>
      </c>
      <c r="V119" s="119">
        <v>3.0805687203791499E-2</v>
      </c>
      <c r="W119" s="40">
        <v>1987</v>
      </c>
      <c r="X119" s="40">
        <f t="shared" si="8"/>
        <v>1987</v>
      </c>
      <c r="Y119" s="40">
        <f t="shared" si="9"/>
        <v>1987</v>
      </c>
      <c r="Z119" s="105">
        <v>0.51300000000000001</v>
      </c>
      <c r="AA119" s="105">
        <v>0.48699999999999999</v>
      </c>
      <c r="AB119" s="106">
        <f>20/1987</f>
        <v>1.0065425264217413E-2</v>
      </c>
      <c r="AC119" s="106">
        <f>121/1987</f>
        <v>6.089582284851535E-2</v>
      </c>
      <c r="AD119" s="106">
        <f>1127/1987</f>
        <v>0.56718671363865125</v>
      </c>
      <c r="AE119" s="106">
        <f>235/1987</f>
        <v>0.1182687468545546</v>
      </c>
      <c r="AF119" s="106">
        <f>2/1987</f>
        <v>1.0065425264217413E-3</v>
      </c>
      <c r="AG119" s="106">
        <f>434/1987</f>
        <v>0.21841972823351788</v>
      </c>
      <c r="AH119" s="106">
        <f>48/1987</f>
        <v>2.4157020634121791E-2</v>
      </c>
      <c r="AI119" s="106">
        <f>1553/1987</f>
        <v>0.78158027176648215</v>
      </c>
      <c r="AJ119" s="105">
        <v>0.77201811776547558</v>
      </c>
      <c r="AK119" s="105">
        <v>4.1000000000000002E-2</v>
      </c>
      <c r="AL119" s="12">
        <v>0</v>
      </c>
      <c r="AM119" s="12">
        <v>0</v>
      </c>
      <c r="AN119" s="12">
        <v>81</v>
      </c>
      <c r="AO119" s="12">
        <v>566</v>
      </c>
      <c r="AP119" s="12">
        <v>483</v>
      </c>
      <c r="AQ119" s="12">
        <v>452</v>
      </c>
      <c r="AR119" s="12">
        <v>405</v>
      </c>
      <c r="AS119" s="59">
        <v>0.12519319938176199</v>
      </c>
      <c r="AT119" s="3">
        <v>9</v>
      </c>
      <c r="AU119" s="3">
        <v>6</v>
      </c>
      <c r="AV119" s="54">
        <v>40.107671601615074</v>
      </c>
      <c r="AW119" s="54">
        <v>10.363391655450876</v>
      </c>
      <c r="AX119" s="54">
        <v>34.589502018842531</v>
      </c>
      <c r="AY119" s="68">
        <v>14.939434724091521</v>
      </c>
      <c r="AZ119" s="59">
        <v>0.22494226327944572</v>
      </c>
      <c r="BA119" s="59">
        <v>0.19630484988452657</v>
      </c>
      <c r="BB119" s="76">
        <v>90.974649338178196</v>
      </c>
      <c r="BC119" s="49">
        <v>54.700854700854698</v>
      </c>
      <c r="BD119" s="90" t="s">
        <v>83</v>
      </c>
      <c r="BE119" s="90" t="s">
        <v>83</v>
      </c>
      <c r="BF119" s="49">
        <v>12.4</v>
      </c>
      <c r="BG119" s="49">
        <v>4.2</v>
      </c>
      <c r="BH119" s="49">
        <v>3.3</v>
      </c>
      <c r="BI119" s="49">
        <v>1.6</v>
      </c>
      <c r="BJ119" s="85">
        <v>18.100000000000001</v>
      </c>
      <c r="BK119" s="129">
        <v>10659</v>
      </c>
      <c r="BL119" s="129">
        <v>49857</v>
      </c>
      <c r="BM119" s="129">
        <v>47279</v>
      </c>
      <c r="BN119" s="129">
        <v>41207</v>
      </c>
      <c r="BO119" s="59">
        <v>0</v>
      </c>
      <c r="BP119" s="59">
        <v>0.32729999999999998</v>
      </c>
      <c r="BQ119" s="59">
        <v>0.21510000000000001</v>
      </c>
      <c r="BR119" s="59">
        <v>0</v>
      </c>
      <c r="BS119" s="59">
        <v>4.0000000000000001E-3</v>
      </c>
      <c r="BT119" s="49">
        <v>13.2</v>
      </c>
      <c r="BU119" s="59">
        <f t="shared" si="6"/>
        <v>0.5464</v>
      </c>
      <c r="BV119" s="59">
        <v>4.7300000000000002E-2</v>
      </c>
      <c r="BW119" s="59">
        <v>0</v>
      </c>
      <c r="BX119" s="59">
        <v>4.6399999999999997E-2</v>
      </c>
      <c r="BY119" s="59">
        <v>0</v>
      </c>
      <c r="BZ119" s="59">
        <v>0</v>
      </c>
      <c r="CA119" s="49">
        <v>16.7</v>
      </c>
      <c r="CB119" s="59">
        <f t="shared" si="7"/>
        <v>9.3700000000000006E-2</v>
      </c>
      <c r="CC119" s="59">
        <v>0.28970000000000001</v>
      </c>
      <c r="CD119" s="125">
        <v>0.39129999999999998</v>
      </c>
      <c r="CE119" s="125">
        <v>0.31019999999999998</v>
      </c>
      <c r="CF119" s="125">
        <v>0</v>
      </c>
      <c r="CG119" s="125">
        <v>8.8000000000000005E-3</v>
      </c>
      <c r="CH119" s="85">
        <v>13.7</v>
      </c>
      <c r="CI119" s="39" t="s">
        <v>223</v>
      </c>
      <c r="CJ119" s="18" t="s">
        <v>80</v>
      </c>
      <c r="CK119" s="20"/>
    </row>
    <row r="120" spans="1:89" x14ac:dyDescent="0.25">
      <c r="A120" s="18" t="s">
        <v>80</v>
      </c>
      <c r="B120" s="19" t="s">
        <v>219</v>
      </c>
      <c r="C120" s="39" t="s">
        <v>224</v>
      </c>
      <c r="D120" s="40">
        <v>10</v>
      </c>
      <c r="E120" s="40">
        <v>1</v>
      </c>
      <c r="F120" s="40">
        <v>9</v>
      </c>
      <c r="G120" s="166">
        <v>0</v>
      </c>
      <c r="H120" s="166">
        <v>1</v>
      </c>
      <c r="I120" s="166">
        <v>1</v>
      </c>
      <c r="J120" s="166">
        <v>2</v>
      </c>
      <c r="K120" s="166">
        <v>2</v>
      </c>
      <c r="L120" s="166">
        <v>3</v>
      </c>
      <c r="M120" s="166">
        <v>1</v>
      </c>
      <c r="N120" s="119">
        <v>2.2371364653243801E-2</v>
      </c>
      <c r="O120" s="119">
        <v>3.09278350515464E-2</v>
      </c>
      <c r="P120" s="119">
        <v>0</v>
      </c>
      <c r="Q120" s="119">
        <v>1.3333333333333299E-2</v>
      </c>
      <c r="R120" s="119">
        <v>0.11111111111111099</v>
      </c>
      <c r="S120" s="119">
        <v>2.8985507246376802E-2</v>
      </c>
      <c r="T120" s="119">
        <v>2.27272727272727E-2</v>
      </c>
      <c r="U120" s="119">
        <v>0.05</v>
      </c>
      <c r="V120" s="119">
        <v>1.5384615384615399E-2</v>
      </c>
      <c r="W120" s="40">
        <v>497</v>
      </c>
      <c r="X120" s="40">
        <f t="shared" si="8"/>
        <v>274</v>
      </c>
      <c r="Y120" s="40">
        <f t="shared" si="9"/>
        <v>420</v>
      </c>
      <c r="Z120" s="105">
        <v>0.499</v>
      </c>
      <c r="AA120" s="105">
        <v>0.501</v>
      </c>
      <c r="AB120" s="106">
        <f>22/497</f>
        <v>4.4265593561368208E-2</v>
      </c>
      <c r="AC120" s="106">
        <f>2/497</f>
        <v>4.0241448692152921E-3</v>
      </c>
      <c r="AD120" s="106">
        <f>8/497</f>
        <v>1.6096579476861168E-2</v>
      </c>
      <c r="AE120" s="106">
        <f>47/497</f>
        <v>9.4567404426559351E-2</v>
      </c>
      <c r="AF120" s="106">
        <f>1/497</f>
        <v>2.012072434607646E-3</v>
      </c>
      <c r="AG120" s="106">
        <f>389/497</f>
        <v>0.78269617706237427</v>
      </c>
      <c r="AH120" s="106">
        <f>28/497</f>
        <v>5.6338028169014086E-2</v>
      </c>
      <c r="AI120" s="106">
        <f>108/497</f>
        <v>0.21730382293762576</v>
      </c>
      <c r="AJ120" s="105">
        <v>0.63179074446680084</v>
      </c>
      <c r="AK120" s="105">
        <v>1.6E-2</v>
      </c>
      <c r="AL120" s="12">
        <v>77</v>
      </c>
      <c r="AM120" s="12">
        <v>69</v>
      </c>
      <c r="AN120" s="12">
        <v>9</v>
      </c>
      <c r="AO120" s="12">
        <v>62</v>
      </c>
      <c r="AP120" s="12">
        <v>85</v>
      </c>
      <c r="AQ120" s="12">
        <v>58</v>
      </c>
      <c r="AR120" s="12">
        <v>60</v>
      </c>
      <c r="AS120" s="59">
        <v>0.12676056338028169</v>
      </c>
      <c r="AT120" s="3">
        <v>6</v>
      </c>
      <c r="AU120" s="3">
        <v>6</v>
      </c>
      <c r="AV120" s="54">
        <v>64.406779661016941</v>
      </c>
      <c r="AW120" s="54">
        <v>16.949152542372879</v>
      </c>
      <c r="AX120" s="54">
        <v>15.254237288135593</v>
      </c>
      <c r="AY120" s="68">
        <v>3.3898305084745761</v>
      </c>
      <c r="AZ120" s="59">
        <v>0.10179873307399492</v>
      </c>
      <c r="BA120" s="59">
        <v>0.12167300380228137</v>
      </c>
      <c r="BB120" s="77">
        <v>93.660367855597599</v>
      </c>
      <c r="BC120" s="49">
        <v>43.478260869565197</v>
      </c>
      <c r="BD120" s="49">
        <v>5.4</v>
      </c>
      <c r="BE120" s="49">
        <v>1.5</v>
      </c>
      <c r="BF120" s="49">
        <v>14.5</v>
      </c>
      <c r="BG120" s="49">
        <v>6</v>
      </c>
      <c r="BH120" s="49">
        <v>1.8</v>
      </c>
      <c r="BI120" s="49">
        <v>1.6</v>
      </c>
      <c r="BJ120" s="85">
        <v>18.2</v>
      </c>
      <c r="BK120" s="129">
        <v>11064</v>
      </c>
      <c r="BL120" s="129">
        <v>51831</v>
      </c>
      <c r="BM120" s="129">
        <v>44330</v>
      </c>
      <c r="BN120" s="129">
        <v>40284</v>
      </c>
      <c r="BO120" s="59">
        <v>0</v>
      </c>
      <c r="BP120" s="59">
        <v>0.38440000000000002</v>
      </c>
      <c r="BQ120" s="59">
        <v>7.5300000000000006E-2</v>
      </c>
      <c r="BR120" s="59">
        <v>0</v>
      </c>
      <c r="BS120" s="59">
        <v>0</v>
      </c>
      <c r="BT120" s="49">
        <v>13.2</v>
      </c>
      <c r="BU120" s="59">
        <f t="shared" si="6"/>
        <v>0.4597</v>
      </c>
      <c r="BV120" s="59">
        <v>7.8299999999999995E-2</v>
      </c>
      <c r="BW120" s="59">
        <v>0</v>
      </c>
      <c r="BX120" s="59">
        <v>0.05</v>
      </c>
      <c r="BY120" s="59">
        <v>0</v>
      </c>
      <c r="BZ120" s="59">
        <v>0</v>
      </c>
      <c r="CA120" s="49">
        <v>16.5</v>
      </c>
      <c r="CB120" s="59">
        <f t="shared" si="7"/>
        <v>0.1283</v>
      </c>
      <c r="CC120" s="59">
        <v>0.432</v>
      </c>
      <c r="CD120" s="125">
        <v>0.40939999999999999</v>
      </c>
      <c r="CE120" s="125">
        <v>0.15859999999999999</v>
      </c>
      <c r="CF120" s="125">
        <v>0</v>
      </c>
      <c r="CG120" s="125">
        <v>0</v>
      </c>
      <c r="CH120" s="85">
        <v>12.7</v>
      </c>
      <c r="CI120" s="39" t="s">
        <v>224</v>
      </c>
      <c r="CJ120" s="18" t="s">
        <v>80</v>
      </c>
      <c r="CK120" s="20"/>
    </row>
    <row r="121" spans="1:89" x14ac:dyDescent="0.25">
      <c r="A121" s="18" t="s">
        <v>80</v>
      </c>
      <c r="B121" s="19" t="s">
        <v>219</v>
      </c>
      <c r="C121" s="39" t="s">
        <v>225</v>
      </c>
      <c r="D121" s="40">
        <v>0</v>
      </c>
      <c r="E121" s="40">
        <v>0</v>
      </c>
      <c r="F121" s="40">
        <v>0</v>
      </c>
      <c r="G121" s="166">
        <v>0</v>
      </c>
      <c r="H121" s="166">
        <v>0</v>
      </c>
      <c r="I121" s="166">
        <v>0</v>
      </c>
      <c r="J121" s="166">
        <v>0</v>
      </c>
      <c r="K121" s="166">
        <v>0</v>
      </c>
      <c r="L121" s="166">
        <v>0</v>
      </c>
      <c r="M121" s="166">
        <v>0</v>
      </c>
      <c r="N121" s="119">
        <v>0</v>
      </c>
      <c r="O121" s="119">
        <v>0</v>
      </c>
      <c r="P121" s="119">
        <v>0</v>
      </c>
      <c r="Q121" s="119">
        <v>0</v>
      </c>
      <c r="R121" s="119">
        <v>0</v>
      </c>
      <c r="S121" s="119">
        <v>0</v>
      </c>
      <c r="T121" s="119">
        <v>0</v>
      </c>
      <c r="U121" s="119">
        <v>0</v>
      </c>
      <c r="V121" s="119">
        <v>0</v>
      </c>
      <c r="W121" s="40">
        <v>145</v>
      </c>
      <c r="X121" s="40">
        <f t="shared" si="8"/>
        <v>37</v>
      </c>
      <c r="Y121" s="40">
        <f t="shared" si="9"/>
        <v>59</v>
      </c>
      <c r="Z121" s="105">
        <v>0.497</v>
      </c>
      <c r="AA121" s="105">
        <v>0.503</v>
      </c>
      <c r="AB121" s="106">
        <f>20/145</f>
        <v>0.13793103448275862</v>
      </c>
      <c r="AC121" s="106">
        <v>0</v>
      </c>
      <c r="AD121" s="106">
        <f>2/145</f>
        <v>1.3793103448275862E-2</v>
      </c>
      <c r="AE121" s="106">
        <f>7/145</f>
        <v>4.8275862068965517E-2</v>
      </c>
      <c r="AF121" s="106">
        <v>0</v>
      </c>
      <c r="AG121" s="106">
        <f>111/145</f>
        <v>0.76551724137931032</v>
      </c>
      <c r="AH121" s="106">
        <f>5/145</f>
        <v>3.4482758620689655E-2</v>
      </c>
      <c r="AI121" s="106">
        <f>34/145</f>
        <v>0.23448275862068965</v>
      </c>
      <c r="AJ121" s="105">
        <v>0.62758620689655176</v>
      </c>
      <c r="AK121" s="105">
        <v>2.8000000000000001E-2</v>
      </c>
      <c r="AL121" s="12">
        <v>13</v>
      </c>
      <c r="AM121" s="12">
        <v>9</v>
      </c>
      <c r="AN121" s="12">
        <v>1</v>
      </c>
      <c r="AO121" s="12">
        <v>6</v>
      </c>
      <c r="AP121" s="12">
        <v>11</v>
      </c>
      <c r="AQ121" s="12">
        <v>9</v>
      </c>
      <c r="AR121" s="12">
        <v>10</v>
      </c>
      <c r="AS121" s="59">
        <v>0.14285714285714285</v>
      </c>
      <c r="AT121" s="3">
        <v>1</v>
      </c>
      <c r="AU121" s="3">
        <v>6</v>
      </c>
      <c r="AV121" s="54">
        <v>99.310344827586206</v>
      </c>
      <c r="AW121" s="54">
        <v>0.68965517241379315</v>
      </c>
      <c r="AX121" s="54">
        <v>0</v>
      </c>
      <c r="AY121" s="68">
        <v>0</v>
      </c>
      <c r="AZ121" s="59">
        <v>7.5509436464492735E-2</v>
      </c>
      <c r="BA121" s="59">
        <v>3.0348158742353495E-2</v>
      </c>
      <c r="BB121" s="76">
        <v>94.464159679494799</v>
      </c>
      <c r="BC121" s="49">
        <v>26.5822784810127</v>
      </c>
      <c r="BD121" s="49">
        <v>7.7</v>
      </c>
      <c r="BE121" s="93">
        <v>0</v>
      </c>
      <c r="BF121" s="49">
        <v>0</v>
      </c>
      <c r="BG121" s="49">
        <v>0</v>
      </c>
      <c r="BH121" s="49">
        <v>0</v>
      </c>
      <c r="BI121" s="49">
        <v>0</v>
      </c>
      <c r="BJ121" s="85">
        <v>22.4</v>
      </c>
      <c r="BK121" s="129">
        <v>22031</v>
      </c>
      <c r="BL121" s="129">
        <v>53492</v>
      </c>
      <c r="BM121" s="129">
        <v>34834</v>
      </c>
      <c r="BN121" s="129">
        <v>44163</v>
      </c>
      <c r="BO121" s="59">
        <v>0</v>
      </c>
      <c r="BP121" s="59">
        <v>0.34899999999999998</v>
      </c>
      <c r="BQ121" s="59">
        <v>0.19159999999999999</v>
      </c>
      <c r="BR121" s="59">
        <v>2.7400000000000001E-2</v>
      </c>
      <c r="BS121" s="59">
        <v>0</v>
      </c>
      <c r="BT121" s="49">
        <v>21.9</v>
      </c>
      <c r="BU121" s="59">
        <f t="shared" si="6"/>
        <v>0.56799999999999995</v>
      </c>
      <c r="BV121" s="59">
        <v>5.4800000000000001E-2</v>
      </c>
      <c r="BW121" s="59">
        <v>5.4800000000000001E-2</v>
      </c>
      <c r="BX121" s="59">
        <v>2.7400000000000001E-2</v>
      </c>
      <c r="BY121" s="59">
        <v>0</v>
      </c>
      <c r="BZ121" s="59">
        <v>0</v>
      </c>
      <c r="CA121" s="49">
        <v>17.8</v>
      </c>
      <c r="CB121" s="59">
        <f t="shared" si="7"/>
        <v>0.13700000000000001</v>
      </c>
      <c r="CC121" s="59">
        <v>0.25169999999999998</v>
      </c>
      <c r="CD121" s="125">
        <v>0.41980000000000001</v>
      </c>
      <c r="CE121" s="125">
        <v>0.27379999999999999</v>
      </c>
      <c r="CF121" s="125">
        <v>5.4800000000000001E-2</v>
      </c>
      <c r="CG121" s="125">
        <v>0</v>
      </c>
      <c r="CH121" s="85">
        <v>18.8</v>
      </c>
      <c r="CI121" s="39" t="s">
        <v>225</v>
      </c>
      <c r="CJ121" s="18" t="s">
        <v>80</v>
      </c>
      <c r="CK121" s="20"/>
    </row>
    <row r="122" spans="1:89" x14ac:dyDescent="0.25">
      <c r="A122" s="18" t="s">
        <v>80</v>
      </c>
      <c r="B122" s="19" t="s">
        <v>219</v>
      </c>
      <c r="C122" s="39" t="s">
        <v>226</v>
      </c>
      <c r="D122" s="40">
        <v>0</v>
      </c>
      <c r="E122" s="40">
        <v>0</v>
      </c>
      <c r="F122" s="40">
        <v>0</v>
      </c>
      <c r="G122" s="166">
        <v>0</v>
      </c>
      <c r="H122" s="166">
        <v>0</v>
      </c>
      <c r="I122" s="162" t="s">
        <v>83</v>
      </c>
      <c r="J122" s="166">
        <v>0</v>
      </c>
      <c r="K122" s="166">
        <v>0</v>
      </c>
      <c r="L122" s="166">
        <v>0</v>
      </c>
      <c r="M122" s="166">
        <v>0</v>
      </c>
      <c r="N122" s="119">
        <v>0</v>
      </c>
      <c r="O122" s="119">
        <v>0</v>
      </c>
      <c r="P122" s="119">
        <v>0</v>
      </c>
      <c r="Q122" s="119">
        <v>0</v>
      </c>
      <c r="R122" s="116" t="s">
        <v>83</v>
      </c>
      <c r="S122" s="119">
        <v>0</v>
      </c>
      <c r="T122" s="119">
        <v>0</v>
      </c>
      <c r="U122" s="119">
        <v>0</v>
      </c>
      <c r="V122" s="119">
        <v>0</v>
      </c>
      <c r="W122" s="40">
        <v>743</v>
      </c>
      <c r="X122" s="40">
        <f t="shared" si="8"/>
        <v>380</v>
      </c>
      <c r="Y122" s="40">
        <f t="shared" si="9"/>
        <v>619</v>
      </c>
      <c r="Z122" s="105">
        <v>0.54</v>
      </c>
      <c r="AA122" s="105">
        <v>0.46</v>
      </c>
      <c r="AB122" s="106">
        <f>1/743</f>
        <v>1.3458950201884253E-3</v>
      </c>
      <c r="AC122" s="106">
        <f>125/743</f>
        <v>0.16823687752355315</v>
      </c>
      <c r="AD122" s="106">
        <f>58/743</f>
        <v>7.8061911170928672E-2</v>
      </c>
      <c r="AE122" s="106">
        <f>93/743</f>
        <v>0.12516823687752354</v>
      </c>
      <c r="AF122" s="106">
        <f>3/743</f>
        <v>4.0376850605652759E-3</v>
      </c>
      <c r="AG122" s="106">
        <f>443/743</f>
        <v>0.59623149394347241</v>
      </c>
      <c r="AH122" s="106">
        <f>20/743</f>
        <v>2.6917900403768506E-2</v>
      </c>
      <c r="AI122" s="106">
        <f>300/743</f>
        <v>0.40376850605652759</v>
      </c>
      <c r="AJ122" s="105">
        <v>0.29744279946164198</v>
      </c>
      <c r="AK122" s="105">
        <v>0</v>
      </c>
      <c r="AL122" s="12">
        <v>120</v>
      </c>
      <c r="AM122" s="12">
        <v>119</v>
      </c>
      <c r="AN122" s="12">
        <v>0</v>
      </c>
      <c r="AO122" s="12">
        <v>99</v>
      </c>
      <c r="AP122" s="12">
        <v>113</v>
      </c>
      <c r="AQ122" s="12">
        <v>97</v>
      </c>
      <c r="AR122" s="12">
        <v>71</v>
      </c>
      <c r="AS122" s="59">
        <v>0</v>
      </c>
      <c r="AT122" s="3">
        <v>6</v>
      </c>
      <c r="AU122" s="3">
        <v>7</v>
      </c>
      <c r="AV122" s="54">
        <v>54.901960784313729</v>
      </c>
      <c r="AW122" s="54">
        <v>24.089635854341736</v>
      </c>
      <c r="AX122" s="54">
        <v>20.728291316526612</v>
      </c>
      <c r="AY122" s="68">
        <v>0.28011204481792717</v>
      </c>
      <c r="AZ122" s="59">
        <v>5.0734312416555405E-2</v>
      </c>
      <c r="BA122" s="59">
        <v>8.3610820331875453E-3</v>
      </c>
      <c r="BB122" s="81">
        <v>96</v>
      </c>
      <c r="BC122" s="49">
        <v>1.2016021361815801</v>
      </c>
      <c r="BD122" s="93">
        <v>0</v>
      </c>
      <c r="BE122" s="93">
        <v>0</v>
      </c>
      <c r="BF122" s="49">
        <v>0</v>
      </c>
      <c r="BG122" s="49">
        <v>0</v>
      </c>
      <c r="BH122" s="49">
        <v>0</v>
      </c>
      <c r="BI122" s="49">
        <v>0</v>
      </c>
      <c r="BJ122" s="85">
        <v>28.6</v>
      </c>
      <c r="BK122" s="129">
        <v>10517</v>
      </c>
      <c r="BL122" s="129">
        <v>54865</v>
      </c>
      <c r="BM122" s="129">
        <v>55236</v>
      </c>
      <c r="BN122" s="129">
        <v>49329</v>
      </c>
      <c r="BO122" s="59">
        <v>0</v>
      </c>
      <c r="BP122" s="59">
        <v>0.30399999999999999</v>
      </c>
      <c r="BQ122" s="59">
        <v>0.34760000000000002</v>
      </c>
      <c r="BR122" s="59">
        <v>0</v>
      </c>
      <c r="BS122" s="59">
        <v>0</v>
      </c>
      <c r="BT122" s="49">
        <v>21.1</v>
      </c>
      <c r="BU122" s="59">
        <f t="shared" si="6"/>
        <v>0.65159999999999996</v>
      </c>
      <c r="BV122" s="59">
        <v>4.3499999999999997E-2</v>
      </c>
      <c r="BW122" s="59">
        <v>1.4500000000000001E-2</v>
      </c>
      <c r="BX122" s="59">
        <v>4.1399999999999999E-2</v>
      </c>
      <c r="BY122" s="59">
        <v>0</v>
      </c>
      <c r="BZ122" s="59">
        <v>0</v>
      </c>
      <c r="CA122" s="49">
        <v>22.4</v>
      </c>
      <c r="CB122" s="59">
        <f t="shared" si="7"/>
        <v>9.9399999999999988E-2</v>
      </c>
      <c r="CC122" s="59">
        <v>0.1764</v>
      </c>
      <c r="CD122" s="125">
        <v>0.37659999999999999</v>
      </c>
      <c r="CE122" s="125">
        <v>0.43259999999999998</v>
      </c>
      <c r="CF122" s="125">
        <v>0</v>
      </c>
      <c r="CG122" s="125">
        <v>1.4500000000000001E-2</v>
      </c>
      <c r="CH122" s="85">
        <v>19.899999999999999</v>
      </c>
      <c r="CI122" s="39" t="s">
        <v>226</v>
      </c>
      <c r="CJ122" s="18" t="s">
        <v>80</v>
      </c>
      <c r="CK122" s="20"/>
    </row>
    <row r="123" spans="1:89" x14ac:dyDescent="0.25">
      <c r="A123" s="18" t="s">
        <v>80</v>
      </c>
      <c r="B123" s="19" t="s">
        <v>219</v>
      </c>
      <c r="C123" s="39" t="s">
        <v>227</v>
      </c>
      <c r="D123" s="40">
        <v>127</v>
      </c>
      <c r="E123" s="40" t="s">
        <v>83</v>
      </c>
      <c r="F123" s="40">
        <v>127</v>
      </c>
      <c r="G123" s="162" t="s">
        <v>83</v>
      </c>
      <c r="H123" s="162" t="s">
        <v>83</v>
      </c>
      <c r="I123" s="166">
        <v>4</v>
      </c>
      <c r="J123" s="166">
        <v>33</v>
      </c>
      <c r="K123" s="166">
        <v>33</v>
      </c>
      <c r="L123" s="166">
        <v>32</v>
      </c>
      <c r="M123" s="166">
        <v>25</v>
      </c>
      <c r="N123" s="119">
        <v>7.9424640400250199E-2</v>
      </c>
      <c r="O123" s="119">
        <v>7.9424640400250199E-2</v>
      </c>
      <c r="P123" s="116" t="s">
        <v>83</v>
      </c>
      <c r="Q123" s="116" t="s">
        <v>83</v>
      </c>
      <c r="R123" s="119">
        <v>8.5106382978723402E-2</v>
      </c>
      <c r="S123" s="119">
        <v>6.7073170731707293E-2</v>
      </c>
      <c r="T123" s="119">
        <v>8.2500000000000004E-2</v>
      </c>
      <c r="U123" s="119">
        <v>0.100313479623824</v>
      </c>
      <c r="V123" s="119">
        <v>7.3313782991202406E-2</v>
      </c>
      <c r="W123" s="40">
        <v>1406</v>
      </c>
      <c r="X123" s="40">
        <f t="shared" si="8"/>
        <v>1406</v>
      </c>
      <c r="Y123" s="40">
        <f t="shared" si="9"/>
        <v>1406</v>
      </c>
      <c r="Z123" s="105">
        <v>0.51300000000000001</v>
      </c>
      <c r="AA123" s="105">
        <v>0.48699999999999999</v>
      </c>
      <c r="AB123" s="106">
        <f>11/1406</f>
        <v>7.8236130867709811E-3</v>
      </c>
      <c r="AC123" s="106">
        <f>73/1406</f>
        <v>5.1920341394025606E-2</v>
      </c>
      <c r="AD123" s="106">
        <f>838/1406</f>
        <v>0.59601706970128021</v>
      </c>
      <c r="AE123" s="106">
        <f>166/1406</f>
        <v>0.11806543385490754</v>
      </c>
      <c r="AF123" s="106">
        <f>1/1406</f>
        <v>7.1123755334281653E-4</v>
      </c>
      <c r="AG123" s="106">
        <f>294/1406</f>
        <v>0.20910384068278806</v>
      </c>
      <c r="AH123" s="106">
        <f>23/1406</f>
        <v>1.6358463726884778E-2</v>
      </c>
      <c r="AI123" s="106">
        <f>1112/1406</f>
        <v>0.79089615931721191</v>
      </c>
      <c r="AJ123" s="105">
        <v>0.78947368421052633</v>
      </c>
      <c r="AK123" s="105">
        <v>7.4999999999999997E-2</v>
      </c>
      <c r="AL123" s="12">
        <v>0</v>
      </c>
      <c r="AM123" s="12">
        <v>0</v>
      </c>
      <c r="AN123" s="12">
        <v>34</v>
      </c>
      <c r="AO123" s="12">
        <v>429</v>
      </c>
      <c r="AP123" s="12">
        <v>350</v>
      </c>
      <c r="AQ123" s="12">
        <v>285</v>
      </c>
      <c r="AR123" s="12">
        <v>308</v>
      </c>
      <c r="AS123" s="59">
        <v>7.3434125269978404E-2</v>
      </c>
      <c r="AT123" s="3">
        <v>9</v>
      </c>
      <c r="AU123" s="3">
        <v>6</v>
      </c>
      <c r="AV123" s="54">
        <v>46.263345195729535</v>
      </c>
      <c r="AW123" s="54">
        <v>12.099644128113878</v>
      </c>
      <c r="AX123" s="54">
        <v>29.181494661921707</v>
      </c>
      <c r="AY123" s="68">
        <v>12.455516014234876</v>
      </c>
      <c r="AZ123" s="59">
        <v>0.19419354838709676</v>
      </c>
      <c r="BA123" s="59">
        <v>0.20258064516129032</v>
      </c>
      <c r="BB123" s="76">
        <v>90.980992789104405</v>
      </c>
      <c r="BC123" s="49">
        <v>61.1875</v>
      </c>
      <c r="BD123" s="90" t="s">
        <v>83</v>
      </c>
      <c r="BE123" s="90" t="s">
        <v>83</v>
      </c>
      <c r="BF123" s="49">
        <v>17.5</v>
      </c>
      <c r="BG123" s="49">
        <v>12.3</v>
      </c>
      <c r="BH123" s="49">
        <v>6.1</v>
      </c>
      <c r="BI123" s="49">
        <v>6.7</v>
      </c>
      <c r="BJ123" s="85">
        <v>17.399999999999999</v>
      </c>
      <c r="BK123" s="129">
        <v>10472</v>
      </c>
      <c r="BL123" s="129">
        <v>50621</v>
      </c>
      <c r="BM123" s="129">
        <v>54713</v>
      </c>
      <c r="BN123" s="129">
        <v>42753</v>
      </c>
      <c r="BO123" s="59">
        <v>0</v>
      </c>
      <c r="BP123" s="59">
        <v>0.3407</v>
      </c>
      <c r="BQ123" s="59">
        <v>0.21329999999999999</v>
      </c>
      <c r="BR123" s="59">
        <v>0</v>
      </c>
      <c r="BS123" s="59">
        <v>0</v>
      </c>
      <c r="BT123" s="49">
        <v>14.8</v>
      </c>
      <c r="BU123" s="59">
        <f t="shared" si="6"/>
        <v>0.55400000000000005</v>
      </c>
      <c r="BV123" s="59">
        <v>2.12E-2</v>
      </c>
      <c r="BW123" s="59">
        <v>1.41E-2</v>
      </c>
      <c r="BX123" s="59">
        <v>5.2900000000000003E-2</v>
      </c>
      <c r="BY123" s="59">
        <v>0</v>
      </c>
      <c r="BZ123" s="59">
        <v>0</v>
      </c>
      <c r="CA123" s="49">
        <v>15.8</v>
      </c>
      <c r="CB123" s="59">
        <f t="shared" si="7"/>
        <v>8.8200000000000001E-2</v>
      </c>
      <c r="CC123" s="59">
        <v>0.28149999999999997</v>
      </c>
      <c r="CD123" s="125">
        <v>0.40279999999999999</v>
      </c>
      <c r="CE123" s="125">
        <v>0.31209999999999999</v>
      </c>
      <c r="CF123" s="125">
        <v>0</v>
      </c>
      <c r="CG123" s="125">
        <v>3.5000000000000001E-3</v>
      </c>
      <c r="CH123" s="85">
        <v>14.7</v>
      </c>
      <c r="CI123" s="39" t="s">
        <v>227</v>
      </c>
      <c r="CJ123" s="18" t="s">
        <v>80</v>
      </c>
      <c r="CK123" s="20"/>
    </row>
    <row r="124" spans="1:89" x14ac:dyDescent="0.25">
      <c r="A124" s="18" t="s">
        <v>80</v>
      </c>
      <c r="B124" s="19" t="s">
        <v>219</v>
      </c>
      <c r="C124" s="39" t="s">
        <v>228</v>
      </c>
      <c r="D124" s="40">
        <v>105</v>
      </c>
      <c r="E124" s="40" t="s">
        <v>83</v>
      </c>
      <c r="F124" s="40">
        <v>105</v>
      </c>
      <c r="G124" s="162" t="s">
        <v>83</v>
      </c>
      <c r="H124" s="162" t="s">
        <v>83</v>
      </c>
      <c r="I124" s="166">
        <v>1</v>
      </c>
      <c r="J124" s="166">
        <v>52</v>
      </c>
      <c r="K124" s="166">
        <v>18</v>
      </c>
      <c r="L124" s="166">
        <v>20</v>
      </c>
      <c r="M124" s="166">
        <v>14</v>
      </c>
      <c r="N124" s="119">
        <v>6.8181818181818205E-2</v>
      </c>
      <c r="O124" s="119">
        <v>6.8181818181818205E-2</v>
      </c>
      <c r="P124" s="116" t="s">
        <v>83</v>
      </c>
      <c r="Q124" s="116" t="s">
        <v>83</v>
      </c>
      <c r="R124" s="119">
        <v>1.05263157894737E-2</v>
      </c>
      <c r="S124" s="119">
        <v>0.11063829787234</v>
      </c>
      <c r="T124" s="119">
        <v>4.3689320388349502E-2</v>
      </c>
      <c r="U124" s="119">
        <v>6.5789473684210495E-2</v>
      </c>
      <c r="V124" s="119">
        <v>5.4054054054054099E-2</v>
      </c>
      <c r="W124" s="40">
        <v>1397</v>
      </c>
      <c r="X124" s="40">
        <f t="shared" si="8"/>
        <v>1397</v>
      </c>
      <c r="Y124" s="40">
        <f t="shared" si="9"/>
        <v>1397</v>
      </c>
      <c r="Z124" s="105">
        <v>0.51</v>
      </c>
      <c r="AA124" s="105">
        <v>0.49</v>
      </c>
      <c r="AB124" s="106">
        <f>3/1397</f>
        <v>2.1474588403722263E-3</v>
      </c>
      <c r="AC124" s="106">
        <f>95/1397</f>
        <v>6.8002863278453826E-2</v>
      </c>
      <c r="AD124" s="106">
        <f>309/1397</f>
        <v>0.22118826055833929</v>
      </c>
      <c r="AE124" s="106">
        <f>584/1397</f>
        <v>0.41803865425912667</v>
      </c>
      <c r="AF124" s="106">
        <f>4/1397</f>
        <v>2.8632784538296348E-3</v>
      </c>
      <c r="AG124" s="106">
        <f>391/1397</f>
        <v>0.27988546886184684</v>
      </c>
      <c r="AH124" s="106">
        <f>11/1397</f>
        <v>7.874015748031496E-3</v>
      </c>
      <c r="AI124" s="106">
        <f>1006/1397</f>
        <v>0.72011453113815316</v>
      </c>
      <c r="AJ124" s="105">
        <v>0.54330708661417326</v>
      </c>
      <c r="AK124" s="105">
        <v>0.26200000000000001</v>
      </c>
      <c r="AL124" s="12">
        <v>0</v>
      </c>
      <c r="AM124" s="12">
        <v>0</v>
      </c>
      <c r="AN124" s="12">
        <v>94</v>
      </c>
      <c r="AO124" s="12">
        <v>391</v>
      </c>
      <c r="AP124" s="12">
        <v>370</v>
      </c>
      <c r="AQ124" s="12">
        <v>269</v>
      </c>
      <c r="AR124" s="12">
        <v>273</v>
      </c>
      <c r="AS124" s="59">
        <v>0.19381443298969073</v>
      </c>
      <c r="AT124" s="3">
        <v>9</v>
      </c>
      <c r="AU124" s="3">
        <v>6</v>
      </c>
      <c r="AV124" s="54">
        <v>41.054313099041536</v>
      </c>
      <c r="AW124" s="54">
        <v>25.23961661341853</v>
      </c>
      <c r="AX124" s="54">
        <v>28.753993610223645</v>
      </c>
      <c r="AY124" s="68">
        <v>4.9520766773162936</v>
      </c>
      <c r="AZ124" s="59">
        <v>0.19326599326599325</v>
      </c>
      <c r="BA124" s="59">
        <v>0.19663299663299663</v>
      </c>
      <c r="BB124" s="77">
        <v>89.381055004902507</v>
      </c>
      <c r="BC124" s="49">
        <v>15.1797603195739</v>
      </c>
      <c r="BD124" s="90" t="s">
        <v>83</v>
      </c>
      <c r="BE124" s="90" t="s">
        <v>83</v>
      </c>
      <c r="BF124" s="49">
        <v>14.4</v>
      </c>
      <c r="BG124" s="49">
        <v>5.4</v>
      </c>
      <c r="BH124" s="49">
        <v>5.6</v>
      </c>
      <c r="BI124" s="49">
        <v>2.6</v>
      </c>
      <c r="BJ124" s="85">
        <v>19.3</v>
      </c>
      <c r="BK124" s="129">
        <v>10498</v>
      </c>
      <c r="BL124" s="129">
        <v>48276</v>
      </c>
      <c r="BM124" s="129">
        <v>50130</v>
      </c>
      <c r="BN124" s="129">
        <v>39697</v>
      </c>
      <c r="BO124" s="59">
        <v>0</v>
      </c>
      <c r="BP124" s="59">
        <v>0.38080000000000003</v>
      </c>
      <c r="BQ124" s="59">
        <v>0.1193</v>
      </c>
      <c r="BR124" s="59">
        <v>0</v>
      </c>
      <c r="BS124" s="59">
        <v>7.0000000000000001E-3</v>
      </c>
      <c r="BT124" s="49">
        <v>11</v>
      </c>
      <c r="BU124" s="59">
        <f t="shared" si="6"/>
        <v>0.5071</v>
      </c>
      <c r="BV124" s="59">
        <v>3.44E-2</v>
      </c>
      <c r="BW124" s="59">
        <v>0</v>
      </c>
      <c r="BX124" s="59">
        <v>3.6200000000000003E-2</v>
      </c>
      <c r="BY124" s="59">
        <v>0</v>
      </c>
      <c r="BZ124" s="59">
        <v>7.0000000000000001E-3</v>
      </c>
      <c r="CA124" s="49">
        <v>17.2</v>
      </c>
      <c r="CB124" s="59">
        <f t="shared" si="7"/>
        <v>7.7600000000000002E-2</v>
      </c>
      <c r="CC124" s="59">
        <v>0.30180000000000001</v>
      </c>
      <c r="CD124" s="125">
        <v>0.46350000000000002</v>
      </c>
      <c r="CE124" s="125">
        <v>0.21390000000000001</v>
      </c>
      <c r="CF124" s="125">
        <v>0</v>
      </c>
      <c r="CG124" s="125">
        <v>2.0899999999999998E-2</v>
      </c>
      <c r="CH124" s="85">
        <v>11.4</v>
      </c>
      <c r="CI124" s="39" t="s">
        <v>228</v>
      </c>
      <c r="CJ124" s="18" t="s">
        <v>80</v>
      </c>
      <c r="CK124" s="20"/>
    </row>
    <row r="125" spans="1:89" x14ac:dyDescent="0.25">
      <c r="A125" s="18" t="s">
        <v>80</v>
      </c>
      <c r="B125" s="19" t="s">
        <v>219</v>
      </c>
      <c r="C125" s="39" t="s">
        <v>229</v>
      </c>
      <c r="D125" s="40">
        <v>38</v>
      </c>
      <c r="E125" s="40" t="s">
        <v>83</v>
      </c>
      <c r="F125" s="40">
        <v>38</v>
      </c>
      <c r="G125" s="162" t="s">
        <v>83</v>
      </c>
      <c r="H125" s="162" t="s">
        <v>83</v>
      </c>
      <c r="I125" s="166">
        <v>0</v>
      </c>
      <c r="J125" s="166">
        <v>7</v>
      </c>
      <c r="K125" s="166">
        <v>9</v>
      </c>
      <c r="L125" s="166">
        <v>7</v>
      </c>
      <c r="M125" s="166">
        <v>15</v>
      </c>
      <c r="N125" s="119">
        <v>3.6018957345971603E-2</v>
      </c>
      <c r="O125" s="119">
        <v>3.6018957345971603E-2</v>
      </c>
      <c r="P125" s="116" t="s">
        <v>83</v>
      </c>
      <c r="Q125" s="116" t="s">
        <v>83</v>
      </c>
      <c r="R125" s="119">
        <v>0</v>
      </c>
      <c r="S125" s="119">
        <v>2.0895522388059699E-2</v>
      </c>
      <c r="T125" s="119">
        <v>3.65853658536585E-2</v>
      </c>
      <c r="U125" s="119">
        <v>3.2863849765258198E-2</v>
      </c>
      <c r="V125" s="119">
        <v>6.6079295154184994E-2</v>
      </c>
      <c r="W125" s="40">
        <v>946</v>
      </c>
      <c r="X125" s="40">
        <f t="shared" si="8"/>
        <v>946</v>
      </c>
      <c r="Y125" s="40">
        <f t="shared" si="9"/>
        <v>946</v>
      </c>
      <c r="Z125" s="105">
        <v>0.5</v>
      </c>
      <c r="AA125" s="105">
        <v>0.5</v>
      </c>
      <c r="AB125" s="106">
        <f>5/946</f>
        <v>5.2854122621564482E-3</v>
      </c>
      <c r="AC125" s="106">
        <f>34/946</f>
        <v>3.5940803382663845E-2</v>
      </c>
      <c r="AD125" s="106">
        <f>334/946</f>
        <v>0.35306553911205074</v>
      </c>
      <c r="AE125" s="106">
        <f>163/946</f>
        <v>0.17230443974630022</v>
      </c>
      <c r="AF125" s="106">
        <f>2/946</f>
        <v>2.1141649048625794E-3</v>
      </c>
      <c r="AG125" s="106">
        <f>391/946</f>
        <v>0.41331923890063427</v>
      </c>
      <c r="AH125" s="106">
        <f>17/946</f>
        <v>1.7970401691331923E-2</v>
      </c>
      <c r="AI125" s="106">
        <f>555/946</f>
        <v>0.58668076109936573</v>
      </c>
      <c r="AJ125" s="105">
        <v>0.65433403805496826</v>
      </c>
      <c r="AK125" s="105">
        <v>5.1999999999999998E-2</v>
      </c>
      <c r="AL125" s="12">
        <v>0</v>
      </c>
      <c r="AM125" s="12">
        <v>0</v>
      </c>
      <c r="AN125" s="12">
        <v>35</v>
      </c>
      <c r="AO125" s="12">
        <v>298</v>
      </c>
      <c r="AP125" s="12">
        <v>219</v>
      </c>
      <c r="AQ125" s="12">
        <v>192</v>
      </c>
      <c r="AR125" s="12">
        <v>202</v>
      </c>
      <c r="AS125" s="59">
        <v>0.10510510510510511</v>
      </c>
      <c r="AT125" s="3">
        <v>9</v>
      </c>
      <c r="AU125" s="3">
        <v>6</v>
      </c>
      <c r="AV125" s="54">
        <v>50</v>
      </c>
      <c r="AW125" s="54">
        <v>27.777777777777779</v>
      </c>
      <c r="AX125" s="54">
        <v>20.781893004115226</v>
      </c>
      <c r="AY125" s="68">
        <v>1.440329218106996</v>
      </c>
      <c r="AZ125" s="59">
        <v>0.22114451988360814</v>
      </c>
      <c r="BA125" s="59">
        <v>0.11154219204655674</v>
      </c>
      <c r="BB125" s="76">
        <v>91.656856291768193</v>
      </c>
      <c r="BC125" s="49">
        <v>25.9152215799615</v>
      </c>
      <c r="BD125" s="90" t="s">
        <v>83</v>
      </c>
      <c r="BE125" s="90" t="s">
        <v>83</v>
      </c>
      <c r="BF125" s="49">
        <v>9.1</v>
      </c>
      <c r="BG125" s="49">
        <v>9</v>
      </c>
      <c r="BH125" s="49">
        <v>5.2</v>
      </c>
      <c r="BI125" s="49">
        <v>4.4000000000000004</v>
      </c>
      <c r="BJ125" s="85">
        <v>19.2</v>
      </c>
      <c r="BK125" s="129">
        <v>10727</v>
      </c>
      <c r="BL125" s="129">
        <v>48161</v>
      </c>
      <c r="BM125" s="129">
        <v>55986</v>
      </c>
      <c r="BN125" s="129">
        <v>40925</v>
      </c>
      <c r="BO125" s="59">
        <v>0</v>
      </c>
      <c r="BP125" s="59">
        <v>0.3831</v>
      </c>
      <c r="BQ125" s="59">
        <v>0.14680000000000001</v>
      </c>
      <c r="BR125" s="59">
        <v>9.7999999999999997E-3</v>
      </c>
      <c r="BS125" s="59">
        <v>9.7999999999999997E-3</v>
      </c>
      <c r="BT125" s="49">
        <v>13</v>
      </c>
      <c r="BU125" s="59">
        <f t="shared" si="6"/>
        <v>0.5495000000000001</v>
      </c>
      <c r="BV125" s="59">
        <v>1.9599999999999999E-2</v>
      </c>
      <c r="BW125" s="59">
        <v>9.7999999999999997E-3</v>
      </c>
      <c r="BX125" s="59">
        <v>2.9399999999999999E-2</v>
      </c>
      <c r="BY125" s="59">
        <v>0</v>
      </c>
      <c r="BZ125" s="59">
        <v>8.9999999999999993E-3</v>
      </c>
      <c r="CA125" s="49">
        <v>19</v>
      </c>
      <c r="CB125" s="59">
        <f t="shared" si="7"/>
        <v>6.7799999999999999E-2</v>
      </c>
      <c r="CC125" s="59">
        <v>0.28060000000000002</v>
      </c>
      <c r="CD125" s="125">
        <v>0.43149999999999999</v>
      </c>
      <c r="CE125" s="125">
        <v>0.2495</v>
      </c>
      <c r="CF125" s="125">
        <v>1.9599999999999999E-2</v>
      </c>
      <c r="CG125" s="125">
        <v>1.8800000000000001E-2</v>
      </c>
      <c r="CH125" s="85">
        <v>14.8</v>
      </c>
      <c r="CI125" s="39" t="s">
        <v>229</v>
      </c>
      <c r="CJ125" s="18" t="s">
        <v>80</v>
      </c>
      <c r="CK125" s="20"/>
    </row>
    <row r="126" spans="1:89" x14ac:dyDescent="0.25">
      <c r="A126" s="18" t="s">
        <v>80</v>
      </c>
      <c r="B126" s="19" t="s">
        <v>219</v>
      </c>
      <c r="C126" s="39" t="s">
        <v>230</v>
      </c>
      <c r="D126" s="40">
        <v>101</v>
      </c>
      <c r="E126" s="40" t="s">
        <v>83</v>
      </c>
      <c r="F126" s="40">
        <v>101</v>
      </c>
      <c r="G126" s="162" t="s">
        <v>83</v>
      </c>
      <c r="H126" s="162" t="s">
        <v>83</v>
      </c>
      <c r="I126" s="166">
        <v>2</v>
      </c>
      <c r="J126" s="166">
        <v>34</v>
      </c>
      <c r="K126" s="166">
        <v>22</v>
      </c>
      <c r="L126" s="166">
        <v>25</v>
      </c>
      <c r="M126" s="166">
        <v>18</v>
      </c>
      <c r="N126" s="119">
        <v>6.4951768488745995E-2</v>
      </c>
      <c r="O126" s="119">
        <v>6.4951768488745995E-2</v>
      </c>
      <c r="P126" s="116" t="s">
        <v>83</v>
      </c>
      <c r="Q126" s="116" t="s">
        <v>83</v>
      </c>
      <c r="R126" s="119">
        <v>1.94174757281553E-2</v>
      </c>
      <c r="S126" s="119">
        <v>7.5555555555555598E-2</v>
      </c>
      <c r="T126" s="119">
        <v>5.6265984654731503E-2</v>
      </c>
      <c r="U126" s="119">
        <v>7.64525993883792E-2</v>
      </c>
      <c r="V126" s="119">
        <v>6.3380281690140802E-2</v>
      </c>
      <c r="W126" s="40">
        <v>1353</v>
      </c>
      <c r="X126" s="40">
        <f t="shared" si="8"/>
        <v>1353</v>
      </c>
      <c r="Y126" s="40">
        <f t="shared" si="9"/>
        <v>1353</v>
      </c>
      <c r="Z126" s="105">
        <v>0.46500000000000002</v>
      </c>
      <c r="AA126" s="105">
        <v>0.53500000000000003</v>
      </c>
      <c r="AB126" s="106">
        <f>2/1353</f>
        <v>1.4781966001478197E-3</v>
      </c>
      <c r="AC126" s="106">
        <f>49/1353</f>
        <v>3.6215816703621583E-2</v>
      </c>
      <c r="AD126" s="106">
        <f>689/1353</f>
        <v>0.50923872875092391</v>
      </c>
      <c r="AE126" s="106">
        <f>424/1353</f>
        <v>0.31337767923133775</v>
      </c>
      <c r="AF126" s="106">
        <f>5/1353</f>
        <v>3.6954915003695491E-3</v>
      </c>
      <c r="AG126" s="106">
        <f>168/1353</f>
        <v>0.12416851441241686</v>
      </c>
      <c r="AH126" s="106">
        <f>16/1353</f>
        <v>1.1825572801182557E-2</v>
      </c>
      <c r="AI126" s="106">
        <f>1185/1353</f>
        <v>0.87583148558758317</v>
      </c>
      <c r="AJ126" s="105">
        <v>0.69770879526977092</v>
      </c>
      <c r="AK126" s="105">
        <v>0.22800000000000001</v>
      </c>
      <c r="AL126" s="12">
        <v>0</v>
      </c>
      <c r="AM126" s="12">
        <v>0</v>
      </c>
      <c r="AN126" s="12">
        <v>94</v>
      </c>
      <c r="AO126" s="12">
        <v>374</v>
      </c>
      <c r="AP126" s="12">
        <v>336</v>
      </c>
      <c r="AQ126" s="12">
        <v>296</v>
      </c>
      <c r="AR126" s="12">
        <v>253</v>
      </c>
      <c r="AS126" s="59">
        <v>0.20085470085470086</v>
      </c>
      <c r="AT126" s="3">
        <v>9</v>
      </c>
      <c r="AU126" s="3">
        <v>6</v>
      </c>
      <c r="AV126" s="54">
        <v>37.577002053388092</v>
      </c>
      <c r="AW126" s="54">
        <v>20.944558521560573</v>
      </c>
      <c r="AX126" s="54">
        <v>31.211498973305957</v>
      </c>
      <c r="AY126" s="68">
        <v>10.266940451745379</v>
      </c>
      <c r="AZ126" s="59">
        <v>0.22317314022383147</v>
      </c>
      <c r="BA126" s="59">
        <v>0.15075707702435814</v>
      </c>
      <c r="BB126" s="77">
        <v>89.623498788571396</v>
      </c>
      <c r="BC126" s="49">
        <v>70.629370629370598</v>
      </c>
      <c r="BD126" s="90" t="s">
        <v>83</v>
      </c>
      <c r="BE126" s="90" t="s">
        <v>83</v>
      </c>
      <c r="BF126" s="49">
        <v>13</v>
      </c>
      <c r="BG126" s="49">
        <v>5.7</v>
      </c>
      <c r="BH126" s="49">
        <v>4.5</v>
      </c>
      <c r="BI126" s="49">
        <v>5.4</v>
      </c>
      <c r="BJ126" s="85">
        <v>17</v>
      </c>
      <c r="BK126" s="129">
        <v>10015</v>
      </c>
      <c r="BL126" s="129">
        <v>46958</v>
      </c>
      <c r="BM126" s="129">
        <v>45052</v>
      </c>
      <c r="BN126" s="129">
        <v>40325</v>
      </c>
      <c r="BO126" s="59">
        <v>0</v>
      </c>
      <c r="BP126" s="59">
        <v>0.36249999999999999</v>
      </c>
      <c r="BQ126" s="59">
        <v>0.2029</v>
      </c>
      <c r="BR126" s="59">
        <v>0</v>
      </c>
      <c r="BS126" s="59">
        <v>0</v>
      </c>
      <c r="BT126" s="49">
        <v>12.4</v>
      </c>
      <c r="BU126" s="59">
        <f t="shared" si="6"/>
        <v>0.56540000000000001</v>
      </c>
      <c r="BV126" s="59">
        <v>3.7400000000000003E-2</v>
      </c>
      <c r="BW126" s="59">
        <v>7.7000000000000002E-3</v>
      </c>
      <c r="BX126" s="59">
        <v>4.6100000000000002E-2</v>
      </c>
      <c r="BY126" s="59">
        <v>0</v>
      </c>
      <c r="BZ126" s="59">
        <v>0</v>
      </c>
      <c r="CA126" s="49">
        <v>11.8</v>
      </c>
      <c r="CB126" s="59">
        <f t="shared" si="7"/>
        <v>9.1200000000000003E-2</v>
      </c>
      <c r="CC126" s="59">
        <v>0.2656</v>
      </c>
      <c r="CD126" s="125">
        <v>0.42349999999999999</v>
      </c>
      <c r="CE126" s="125">
        <v>0.31090000000000001</v>
      </c>
      <c r="CF126" s="125">
        <v>0</v>
      </c>
      <c r="CG126" s="125">
        <v>0</v>
      </c>
      <c r="CH126" s="85">
        <v>11.6</v>
      </c>
      <c r="CI126" s="39" t="s">
        <v>230</v>
      </c>
      <c r="CJ126" s="18" t="s">
        <v>80</v>
      </c>
      <c r="CK126" s="20"/>
    </row>
    <row r="127" spans="1:89" x14ac:dyDescent="0.25">
      <c r="A127" s="18" t="s">
        <v>80</v>
      </c>
      <c r="B127" s="19" t="s">
        <v>219</v>
      </c>
      <c r="C127" s="39" t="s">
        <v>231</v>
      </c>
      <c r="D127" s="40">
        <v>1</v>
      </c>
      <c r="E127" s="40">
        <v>1</v>
      </c>
      <c r="F127" s="40">
        <v>0</v>
      </c>
      <c r="G127" s="166">
        <v>1</v>
      </c>
      <c r="H127" s="166">
        <v>0</v>
      </c>
      <c r="I127" s="162" t="s">
        <v>83</v>
      </c>
      <c r="J127" s="166">
        <v>0</v>
      </c>
      <c r="K127" s="166">
        <v>0</v>
      </c>
      <c r="L127" s="166">
        <v>0</v>
      </c>
      <c r="M127" s="166">
        <v>0</v>
      </c>
      <c r="N127" s="119">
        <v>2.7397260273972599E-3</v>
      </c>
      <c r="O127" s="119">
        <v>0</v>
      </c>
      <c r="P127" s="119">
        <v>1.1235955056179799E-2</v>
      </c>
      <c r="Q127" s="119">
        <v>0</v>
      </c>
      <c r="R127" s="116" t="s">
        <v>83</v>
      </c>
      <c r="S127" s="119">
        <v>0</v>
      </c>
      <c r="T127" s="119">
        <v>0</v>
      </c>
      <c r="U127" s="119">
        <v>0</v>
      </c>
      <c r="V127" s="119">
        <v>0</v>
      </c>
      <c r="W127" s="40">
        <v>455</v>
      </c>
      <c r="X127" s="40">
        <f t="shared" si="8"/>
        <v>180</v>
      </c>
      <c r="Y127" s="40">
        <f t="shared" si="9"/>
        <v>356</v>
      </c>
      <c r="Z127" s="105">
        <v>0.44</v>
      </c>
      <c r="AA127" s="105">
        <v>0.56000000000000005</v>
      </c>
      <c r="AB127" s="106">
        <f>2/455</f>
        <v>4.3956043956043956E-3</v>
      </c>
      <c r="AC127" s="106">
        <f>60/455</f>
        <v>0.13186813186813187</v>
      </c>
      <c r="AD127" s="106">
        <f>89/455</f>
        <v>0.1956043956043956</v>
      </c>
      <c r="AE127" s="106">
        <f>53/455</f>
        <v>0.11648351648351649</v>
      </c>
      <c r="AF127" s="106">
        <v>0</v>
      </c>
      <c r="AG127" s="106">
        <f>242/455</f>
        <v>0.53186813186813187</v>
      </c>
      <c r="AH127" s="106">
        <f>9/455</f>
        <v>1.9780219780219779E-2</v>
      </c>
      <c r="AI127" s="106">
        <f>213/455</f>
        <v>0.46813186813186813</v>
      </c>
      <c r="AJ127" s="105">
        <v>0.38241758241758239</v>
      </c>
      <c r="AK127" s="105">
        <v>0</v>
      </c>
      <c r="AL127" s="12">
        <v>87</v>
      </c>
      <c r="AM127" s="12">
        <v>89</v>
      </c>
      <c r="AN127" s="12">
        <v>0</v>
      </c>
      <c r="AO127" s="12">
        <v>76</v>
      </c>
      <c r="AP127" s="12">
        <v>32</v>
      </c>
      <c r="AQ127" s="12">
        <v>43</v>
      </c>
      <c r="AR127" s="12">
        <v>29</v>
      </c>
      <c r="AS127" s="59">
        <v>0</v>
      </c>
      <c r="AT127" s="3">
        <v>6</v>
      </c>
      <c r="AU127" s="3">
        <v>7</v>
      </c>
      <c r="AV127" s="54">
        <v>46.808510638297875</v>
      </c>
      <c r="AW127" s="54">
        <v>21.276595744680851</v>
      </c>
      <c r="AX127" s="54">
        <v>25</v>
      </c>
      <c r="AY127" s="68">
        <v>6.9148936170212769</v>
      </c>
      <c r="AZ127" s="59">
        <v>1.2100658437157748E-2</v>
      </c>
      <c r="BA127" s="59">
        <v>1.9436644845417093E-2</v>
      </c>
      <c r="BB127" s="81">
        <v>96</v>
      </c>
      <c r="BC127" s="49">
        <v>12.9589632829374</v>
      </c>
      <c r="BD127" s="93">
        <v>0</v>
      </c>
      <c r="BE127" s="93">
        <v>0</v>
      </c>
      <c r="BF127" s="49">
        <v>0</v>
      </c>
      <c r="BG127" s="49">
        <v>0</v>
      </c>
      <c r="BH127" s="49">
        <v>0</v>
      </c>
      <c r="BI127" s="49">
        <v>0</v>
      </c>
      <c r="BJ127" s="85">
        <v>29.3</v>
      </c>
      <c r="BK127" s="129">
        <v>10583</v>
      </c>
      <c r="BL127" s="129">
        <v>51189</v>
      </c>
      <c r="BM127" s="129">
        <v>45535</v>
      </c>
      <c r="BN127" s="129">
        <v>42044</v>
      </c>
      <c r="BO127" s="59">
        <v>0</v>
      </c>
      <c r="BP127" s="59">
        <v>0.2006</v>
      </c>
      <c r="BQ127" s="59">
        <v>0.33760000000000001</v>
      </c>
      <c r="BR127" s="59">
        <v>2.01E-2</v>
      </c>
      <c r="BS127" s="59">
        <v>2.01E-2</v>
      </c>
      <c r="BT127" s="49">
        <v>12.7</v>
      </c>
      <c r="BU127" s="59">
        <f t="shared" si="6"/>
        <v>0.57840000000000003</v>
      </c>
      <c r="BV127" s="59">
        <v>2.01E-2</v>
      </c>
      <c r="BW127" s="59">
        <v>2.3599999999999999E-2</v>
      </c>
      <c r="BX127" s="59">
        <v>2.01E-2</v>
      </c>
      <c r="BY127" s="59">
        <v>0</v>
      </c>
      <c r="BZ127" s="59">
        <v>0</v>
      </c>
      <c r="CA127" s="49">
        <v>11.5</v>
      </c>
      <c r="CB127" s="59">
        <f t="shared" si="7"/>
        <v>6.3799999999999996E-2</v>
      </c>
      <c r="CC127" s="59">
        <v>0.28089999999999998</v>
      </c>
      <c r="CD127" s="125">
        <v>0.24060000000000001</v>
      </c>
      <c r="CE127" s="125">
        <v>0.43830000000000002</v>
      </c>
      <c r="CF127" s="125">
        <v>2.01E-2</v>
      </c>
      <c r="CG127" s="125">
        <v>2.01E-2</v>
      </c>
      <c r="CH127" s="85">
        <v>11.2</v>
      </c>
      <c r="CI127" s="39" t="s">
        <v>231</v>
      </c>
      <c r="CJ127" s="18" t="s">
        <v>80</v>
      </c>
      <c r="CK127" s="20"/>
    </row>
    <row r="128" spans="1:89" ht="15.75" thickBot="1" x14ac:dyDescent="0.3">
      <c r="A128" s="18" t="s">
        <v>80</v>
      </c>
      <c r="B128" s="19" t="s">
        <v>219</v>
      </c>
      <c r="C128" s="39" t="s">
        <v>232</v>
      </c>
      <c r="D128" s="40">
        <v>2</v>
      </c>
      <c r="E128" s="40" t="s">
        <v>83</v>
      </c>
      <c r="F128" s="40">
        <v>2</v>
      </c>
      <c r="G128" s="162" t="s">
        <v>83</v>
      </c>
      <c r="H128" s="162" t="s">
        <v>83</v>
      </c>
      <c r="I128" s="162" t="s">
        <v>83</v>
      </c>
      <c r="J128" s="166">
        <v>0</v>
      </c>
      <c r="K128" s="166">
        <v>1</v>
      </c>
      <c r="L128" s="166">
        <v>0</v>
      </c>
      <c r="M128" s="166">
        <v>1</v>
      </c>
      <c r="N128" s="119">
        <v>4.8543689320388302E-3</v>
      </c>
      <c r="O128" s="119">
        <v>4.8543689320388302E-3</v>
      </c>
      <c r="P128" s="116" t="s">
        <v>83</v>
      </c>
      <c r="Q128" s="116" t="s">
        <v>83</v>
      </c>
      <c r="R128" s="116" t="s">
        <v>83</v>
      </c>
      <c r="S128" s="119">
        <v>0</v>
      </c>
      <c r="T128" s="119">
        <v>9.1743119266055103E-3</v>
      </c>
      <c r="U128" s="119">
        <v>0</v>
      </c>
      <c r="V128" s="119">
        <v>8.9285714285714298E-3</v>
      </c>
      <c r="W128" s="40">
        <v>400</v>
      </c>
      <c r="X128" s="40">
        <f t="shared" si="8"/>
        <v>400</v>
      </c>
      <c r="Y128" s="40">
        <f t="shared" si="9"/>
        <v>400</v>
      </c>
      <c r="Z128" s="105">
        <v>0.55500000000000005</v>
      </c>
      <c r="AA128" s="105">
        <v>0.44500000000000001</v>
      </c>
      <c r="AB128" s="106">
        <f>2/400</f>
        <v>5.0000000000000001E-3</v>
      </c>
      <c r="AC128" s="106">
        <f>60/400</f>
        <v>0.15</v>
      </c>
      <c r="AD128" s="106">
        <f>137/400</f>
        <v>0.34250000000000003</v>
      </c>
      <c r="AE128" s="106">
        <f>28/400</f>
        <v>7.0000000000000007E-2</v>
      </c>
      <c r="AF128" s="106">
        <f>2/400</f>
        <v>5.0000000000000001E-3</v>
      </c>
      <c r="AG128" s="106">
        <f>154/400</f>
        <v>0.38500000000000001</v>
      </c>
      <c r="AH128" s="106">
        <f>17/400</f>
        <v>4.2500000000000003E-2</v>
      </c>
      <c r="AI128" s="106">
        <f>246/400</f>
        <v>0.61499999999999999</v>
      </c>
      <c r="AJ128" s="105">
        <v>0.4325</v>
      </c>
      <c r="AK128" s="105">
        <v>0</v>
      </c>
      <c r="AL128" s="12">
        <v>0</v>
      </c>
      <c r="AM128" s="12">
        <v>0</v>
      </c>
      <c r="AN128" s="12">
        <v>0</v>
      </c>
      <c r="AO128" s="12">
        <v>76</v>
      </c>
      <c r="AP128" s="12">
        <v>105</v>
      </c>
      <c r="AQ128" s="12">
        <v>108</v>
      </c>
      <c r="AR128" s="12">
        <v>111</v>
      </c>
      <c r="AS128" s="59">
        <v>0</v>
      </c>
      <c r="AT128" s="3">
        <v>9</v>
      </c>
      <c r="AU128" s="3">
        <v>7</v>
      </c>
      <c r="AV128" s="54">
        <v>70.370370370370367</v>
      </c>
      <c r="AW128" s="54">
        <v>21.604938271604937</v>
      </c>
      <c r="AX128" s="54">
        <v>6.7901234567901234</v>
      </c>
      <c r="AY128" s="68">
        <v>1.2345679012345678</v>
      </c>
      <c r="AZ128" s="59">
        <v>1.4317516718403193E-2</v>
      </c>
      <c r="BA128" s="59">
        <v>3.7129440404917252E-2</v>
      </c>
      <c r="BB128" s="81">
        <v>96</v>
      </c>
      <c r="BC128" s="49">
        <v>12.8953771289538</v>
      </c>
      <c r="BD128" s="90" t="s">
        <v>83</v>
      </c>
      <c r="BE128" s="90" t="s">
        <v>83</v>
      </c>
      <c r="BF128" s="49">
        <v>0</v>
      </c>
      <c r="BG128" s="49">
        <v>1</v>
      </c>
      <c r="BH128" s="49">
        <v>0</v>
      </c>
      <c r="BI128" s="49">
        <v>0</v>
      </c>
      <c r="BJ128" s="85">
        <v>26.2</v>
      </c>
      <c r="BK128" s="129">
        <v>11807</v>
      </c>
      <c r="BL128" s="129">
        <v>53894</v>
      </c>
      <c r="BM128" s="129">
        <v>45265</v>
      </c>
      <c r="BN128" s="129">
        <v>45830</v>
      </c>
      <c r="BO128" s="59">
        <v>0</v>
      </c>
      <c r="BP128" s="59">
        <v>0.33710000000000001</v>
      </c>
      <c r="BQ128" s="59">
        <v>0.23430000000000001</v>
      </c>
      <c r="BR128" s="59">
        <v>0</v>
      </c>
      <c r="BS128" s="59">
        <v>2.1299999999999999E-2</v>
      </c>
      <c r="BT128" s="49">
        <v>14.3</v>
      </c>
      <c r="BU128" s="59">
        <f t="shared" si="6"/>
        <v>0.5927</v>
      </c>
      <c r="BV128" s="59">
        <v>8.2900000000000001E-2</v>
      </c>
      <c r="BW128" s="59">
        <v>0</v>
      </c>
      <c r="BX128" s="59">
        <v>2.1299999999999999E-2</v>
      </c>
      <c r="BY128" s="59">
        <v>0</v>
      </c>
      <c r="BZ128" s="59">
        <v>2.1299999999999999E-2</v>
      </c>
      <c r="CA128" s="49">
        <v>21.4</v>
      </c>
      <c r="CB128" s="59">
        <f t="shared" si="7"/>
        <v>0.1255</v>
      </c>
      <c r="CC128" s="59">
        <v>0.27939999999999998</v>
      </c>
      <c r="CD128" s="125">
        <v>0.3584</v>
      </c>
      <c r="CE128" s="125">
        <v>0.3196</v>
      </c>
      <c r="CF128" s="125">
        <v>0</v>
      </c>
      <c r="CG128" s="125">
        <v>4.2599999999999999E-2</v>
      </c>
      <c r="CH128" s="85">
        <v>14.3</v>
      </c>
      <c r="CI128" s="39" t="s">
        <v>232</v>
      </c>
      <c r="CJ128" s="18" t="s">
        <v>80</v>
      </c>
      <c r="CK128" s="20"/>
    </row>
    <row r="129" spans="1:99" s="1" customFormat="1" ht="21" customHeight="1" x14ac:dyDescent="0.25">
      <c r="A129" s="21" t="s">
        <v>0</v>
      </c>
      <c r="B129" s="22" t="s">
        <v>1</v>
      </c>
      <c r="C129" s="22" t="s">
        <v>2</v>
      </c>
      <c r="D129" s="9" t="s">
        <v>3</v>
      </c>
      <c r="E129" s="9" t="s">
        <v>4</v>
      </c>
      <c r="F129" s="9" t="s">
        <v>5</v>
      </c>
      <c r="G129" s="161" t="s">
        <v>565</v>
      </c>
      <c r="H129" s="161" t="s">
        <v>566</v>
      </c>
      <c r="I129" s="161" t="s">
        <v>567</v>
      </c>
      <c r="J129" s="161" t="s">
        <v>568</v>
      </c>
      <c r="K129" s="161" t="s">
        <v>569</v>
      </c>
      <c r="L129" s="161" t="s">
        <v>570</v>
      </c>
      <c r="M129" s="161" t="s">
        <v>571</v>
      </c>
      <c r="N129" s="120" t="s">
        <v>6</v>
      </c>
      <c r="O129" s="120" t="s">
        <v>7</v>
      </c>
      <c r="P129" s="120" t="s">
        <v>8</v>
      </c>
      <c r="Q129" s="120" t="s">
        <v>9</v>
      </c>
      <c r="R129" s="120" t="s">
        <v>10</v>
      </c>
      <c r="S129" s="120" t="s">
        <v>11</v>
      </c>
      <c r="T129" s="120" t="s">
        <v>12</v>
      </c>
      <c r="U129" s="120" t="s">
        <v>13</v>
      </c>
      <c r="V129" s="120" t="s">
        <v>14</v>
      </c>
      <c r="W129" s="41" t="s">
        <v>15</v>
      </c>
      <c r="X129" s="41" t="s">
        <v>16</v>
      </c>
      <c r="Y129" s="41" t="s">
        <v>17</v>
      </c>
      <c r="Z129" s="107" t="s">
        <v>18</v>
      </c>
      <c r="AA129" s="107" t="s">
        <v>19</v>
      </c>
      <c r="AB129" s="95" t="s">
        <v>20</v>
      </c>
      <c r="AC129" s="95" t="s">
        <v>21</v>
      </c>
      <c r="AD129" s="95" t="s">
        <v>22</v>
      </c>
      <c r="AE129" s="95" t="s">
        <v>23</v>
      </c>
      <c r="AF129" s="95" t="s">
        <v>24</v>
      </c>
      <c r="AG129" s="95" t="s">
        <v>25</v>
      </c>
      <c r="AH129" s="95" t="s">
        <v>26</v>
      </c>
      <c r="AI129" s="95" t="s">
        <v>27</v>
      </c>
      <c r="AJ129" s="95" t="s">
        <v>28</v>
      </c>
      <c r="AK129" s="107" t="s">
        <v>29</v>
      </c>
      <c r="AL129" s="42" t="s">
        <v>30</v>
      </c>
      <c r="AM129" s="42" t="s">
        <v>31</v>
      </c>
      <c r="AN129" s="42" t="s">
        <v>32</v>
      </c>
      <c r="AO129" s="42" t="s">
        <v>33</v>
      </c>
      <c r="AP129" s="42" t="s">
        <v>34</v>
      </c>
      <c r="AQ129" s="42" t="s">
        <v>35</v>
      </c>
      <c r="AR129" s="42" t="s">
        <v>36</v>
      </c>
      <c r="AS129" s="100" t="s">
        <v>37</v>
      </c>
      <c r="AT129" s="41" t="s">
        <v>38</v>
      </c>
      <c r="AU129" s="23" t="s">
        <v>39</v>
      </c>
      <c r="AV129" s="51" t="s">
        <v>40</v>
      </c>
      <c r="AW129" s="51" t="s">
        <v>41</v>
      </c>
      <c r="AX129" s="51" t="s">
        <v>42</v>
      </c>
      <c r="AY129" s="66" t="s">
        <v>43</v>
      </c>
      <c r="AZ129" s="58" t="s">
        <v>44</v>
      </c>
      <c r="BA129" s="58" t="s">
        <v>45</v>
      </c>
      <c r="BB129" s="75" t="s">
        <v>46</v>
      </c>
      <c r="BC129" s="83" t="s">
        <v>47</v>
      </c>
      <c r="BD129" s="89" t="s">
        <v>48</v>
      </c>
      <c r="BE129" s="89" t="s">
        <v>49</v>
      </c>
      <c r="BF129" s="89" t="s">
        <v>50</v>
      </c>
      <c r="BG129" s="89" t="s">
        <v>51</v>
      </c>
      <c r="BH129" s="89" t="s">
        <v>52</v>
      </c>
      <c r="BI129" s="89" t="s">
        <v>53</v>
      </c>
      <c r="BJ129" s="86" t="s">
        <v>54</v>
      </c>
      <c r="BK129" s="123" t="s">
        <v>55</v>
      </c>
      <c r="BL129" s="123" t="s">
        <v>56</v>
      </c>
      <c r="BM129" s="123" t="s">
        <v>57</v>
      </c>
      <c r="BN129" s="123" t="s">
        <v>58</v>
      </c>
      <c r="BO129" s="131" t="s">
        <v>59</v>
      </c>
      <c r="BP129" s="131" t="s">
        <v>60</v>
      </c>
      <c r="BQ129" s="131" t="s">
        <v>61</v>
      </c>
      <c r="BR129" s="131" t="s">
        <v>62</v>
      </c>
      <c r="BS129" s="131" t="s">
        <v>63</v>
      </c>
      <c r="BT129" s="131" t="s">
        <v>64</v>
      </c>
      <c r="BU129" s="131" t="s">
        <v>65</v>
      </c>
      <c r="BV129" s="132" t="s">
        <v>66</v>
      </c>
      <c r="BW129" s="132" t="s">
        <v>67</v>
      </c>
      <c r="BX129" s="132" t="s">
        <v>68</v>
      </c>
      <c r="BY129" s="132" t="s">
        <v>69</v>
      </c>
      <c r="BZ129" s="132" t="s">
        <v>70</v>
      </c>
      <c r="CA129" s="132" t="s">
        <v>71</v>
      </c>
      <c r="CB129" s="132" t="s">
        <v>72</v>
      </c>
      <c r="CC129" s="123" t="s">
        <v>73</v>
      </c>
      <c r="CD129" s="123" t="s">
        <v>74</v>
      </c>
      <c r="CE129" s="123" t="s">
        <v>75</v>
      </c>
      <c r="CF129" s="123" t="s">
        <v>76</v>
      </c>
      <c r="CG129" s="123" t="s">
        <v>77</v>
      </c>
      <c r="CH129" s="123" t="s">
        <v>78</v>
      </c>
      <c r="CI129" s="22" t="s">
        <v>2</v>
      </c>
      <c r="CJ129" s="21" t="s">
        <v>0</v>
      </c>
      <c r="CK129" s="24" t="s">
        <v>79</v>
      </c>
      <c r="CL129"/>
      <c r="CM129"/>
      <c r="CN129"/>
      <c r="CO129"/>
      <c r="CP129"/>
      <c r="CQ129"/>
      <c r="CR129"/>
      <c r="CS129"/>
      <c r="CT129"/>
      <c r="CU129"/>
    </row>
    <row r="130" spans="1:99" x14ac:dyDescent="0.25">
      <c r="A130" s="18" t="s">
        <v>80</v>
      </c>
      <c r="B130" s="19" t="s">
        <v>233</v>
      </c>
      <c r="C130" s="39" t="s">
        <v>234</v>
      </c>
      <c r="D130" s="40">
        <v>0</v>
      </c>
      <c r="E130" s="40">
        <v>0</v>
      </c>
      <c r="F130" s="40">
        <v>0</v>
      </c>
      <c r="G130" s="166">
        <v>0</v>
      </c>
      <c r="H130" s="166">
        <v>0</v>
      </c>
      <c r="I130" s="166">
        <v>0</v>
      </c>
      <c r="J130" s="166">
        <v>0</v>
      </c>
      <c r="K130" s="166">
        <v>0</v>
      </c>
      <c r="L130" s="166">
        <v>0</v>
      </c>
      <c r="M130" s="166">
        <v>0</v>
      </c>
      <c r="N130" s="119">
        <v>0</v>
      </c>
      <c r="O130" s="119">
        <v>0</v>
      </c>
      <c r="P130" s="119">
        <v>0</v>
      </c>
      <c r="Q130" s="119">
        <v>0</v>
      </c>
      <c r="R130" s="119">
        <v>0</v>
      </c>
      <c r="S130" s="119">
        <v>0</v>
      </c>
      <c r="T130" s="119">
        <v>0</v>
      </c>
      <c r="U130" s="119">
        <v>0</v>
      </c>
      <c r="V130" s="119">
        <v>0</v>
      </c>
      <c r="W130" s="40">
        <v>240</v>
      </c>
      <c r="X130" s="40">
        <f t="shared" ref="X130:X180" si="10">SUM(AN130:AR130)</f>
        <v>125</v>
      </c>
      <c r="Y130" s="40">
        <f t="shared" ref="Y130:Y180" si="11">SUM(AL130:AR130)</f>
        <v>201</v>
      </c>
      <c r="Z130" s="105">
        <v>0.47499999999999998</v>
      </c>
      <c r="AA130" s="105">
        <v>0.52500000000000002</v>
      </c>
      <c r="AB130" s="106">
        <f>35/240</f>
        <v>0.14583333333333334</v>
      </c>
      <c r="AC130" s="106">
        <f>1/240</f>
        <v>4.1666666666666666E-3</v>
      </c>
      <c r="AD130" s="106">
        <f>76/240</f>
        <v>0.31666666666666665</v>
      </c>
      <c r="AE130" s="106">
        <f>4/240</f>
        <v>1.6666666666666666E-2</v>
      </c>
      <c r="AF130" s="106">
        <v>0</v>
      </c>
      <c r="AG130" s="106">
        <f>118/240</f>
        <v>0.49166666666666664</v>
      </c>
      <c r="AH130" s="106">
        <f>6/240</f>
        <v>2.5000000000000001E-2</v>
      </c>
      <c r="AI130" s="106">
        <f>122/240</f>
        <v>0.5083333333333333</v>
      </c>
      <c r="AJ130" s="105">
        <v>0.50416666666666665</v>
      </c>
      <c r="AK130" s="105">
        <v>4.0000000000000001E-3</v>
      </c>
      <c r="AL130" s="12">
        <v>40</v>
      </c>
      <c r="AM130" s="12">
        <v>36</v>
      </c>
      <c r="AN130" s="12">
        <v>5</v>
      </c>
      <c r="AO130" s="12">
        <v>38</v>
      </c>
      <c r="AP130" s="12">
        <v>28</v>
      </c>
      <c r="AQ130" s="12">
        <v>31</v>
      </c>
      <c r="AR130" s="12">
        <v>23</v>
      </c>
      <c r="AS130" s="59">
        <v>0.11627906976744186</v>
      </c>
      <c r="AT130" s="3">
        <v>6</v>
      </c>
      <c r="AU130" s="3">
        <v>6</v>
      </c>
      <c r="AV130" s="54">
        <v>82.78145695364239</v>
      </c>
      <c r="AW130" s="54">
        <v>13.245033112582782</v>
      </c>
      <c r="AX130" s="54">
        <v>1.3245033112582782</v>
      </c>
      <c r="AY130" s="68">
        <v>2.6490066225165565</v>
      </c>
      <c r="AZ130" s="59">
        <v>0.22672064777327935</v>
      </c>
      <c r="BA130" s="59">
        <v>0.18218623481781376</v>
      </c>
      <c r="BB130" s="76">
        <v>92.888368329869493</v>
      </c>
      <c r="BC130" s="49">
        <v>22.9838709677419</v>
      </c>
      <c r="BD130" s="49">
        <v>5.0999999999999996</v>
      </c>
      <c r="BE130" s="49">
        <v>0</v>
      </c>
      <c r="BF130" s="49">
        <v>2.6</v>
      </c>
      <c r="BG130" s="49">
        <v>3.8</v>
      </c>
      <c r="BH130" s="49">
        <v>0</v>
      </c>
      <c r="BI130" s="49">
        <v>0</v>
      </c>
      <c r="BJ130" s="85">
        <v>18.7</v>
      </c>
      <c r="BK130" s="129">
        <v>13039</v>
      </c>
      <c r="BL130" s="129">
        <v>53659</v>
      </c>
      <c r="BM130" s="129">
        <v>41844</v>
      </c>
      <c r="BN130" s="129">
        <v>42432</v>
      </c>
      <c r="BO130" s="59">
        <v>0</v>
      </c>
      <c r="BP130" s="59">
        <v>0.25700000000000001</v>
      </c>
      <c r="BQ130" s="59">
        <v>0.25729999999999997</v>
      </c>
      <c r="BR130" s="59">
        <v>0</v>
      </c>
      <c r="BS130" s="59">
        <v>0</v>
      </c>
      <c r="BT130" s="49">
        <v>11.7</v>
      </c>
      <c r="BU130" s="59">
        <f t="shared" si="6"/>
        <v>0.51429999999999998</v>
      </c>
      <c r="BV130" s="59">
        <v>8.5199999999999998E-2</v>
      </c>
      <c r="BW130" s="59">
        <v>0</v>
      </c>
      <c r="BX130" s="59">
        <v>5.6800000000000003E-2</v>
      </c>
      <c r="BY130" s="59">
        <v>0</v>
      </c>
      <c r="BZ130" s="59">
        <v>0</v>
      </c>
      <c r="CA130" s="49">
        <v>10.8</v>
      </c>
      <c r="CB130" s="59">
        <f t="shared" si="7"/>
        <v>0.14200000000000002</v>
      </c>
      <c r="CC130" s="59">
        <v>0.3639</v>
      </c>
      <c r="CD130" s="125">
        <v>0.28539999999999999</v>
      </c>
      <c r="CE130" s="125">
        <v>0.35060000000000002</v>
      </c>
      <c r="CF130" s="125">
        <v>0</v>
      </c>
      <c r="CG130" s="125">
        <v>0</v>
      </c>
      <c r="CH130" s="85">
        <v>10.1</v>
      </c>
      <c r="CI130" s="39" t="s">
        <v>234</v>
      </c>
      <c r="CJ130" s="18" t="s">
        <v>80</v>
      </c>
      <c r="CK130" s="20"/>
    </row>
    <row r="131" spans="1:99" x14ac:dyDescent="0.25">
      <c r="A131" s="18" t="s">
        <v>80</v>
      </c>
      <c r="B131" s="19" t="s">
        <v>233</v>
      </c>
      <c r="C131" s="39" t="s">
        <v>235</v>
      </c>
      <c r="D131" s="40">
        <v>0</v>
      </c>
      <c r="E131" s="40">
        <v>0</v>
      </c>
      <c r="F131" s="40">
        <v>0</v>
      </c>
      <c r="G131" s="166">
        <v>0</v>
      </c>
      <c r="H131" s="166">
        <v>0</v>
      </c>
      <c r="I131" s="166">
        <v>0</v>
      </c>
      <c r="J131" s="166">
        <v>0</v>
      </c>
      <c r="K131" s="166">
        <v>0</v>
      </c>
      <c r="L131" s="166">
        <v>0</v>
      </c>
      <c r="M131" s="166">
        <v>0</v>
      </c>
      <c r="N131" s="119">
        <v>0</v>
      </c>
      <c r="O131" s="119">
        <v>0</v>
      </c>
      <c r="P131" s="119">
        <v>0</v>
      </c>
      <c r="Q131" s="119">
        <v>0</v>
      </c>
      <c r="R131" s="119">
        <v>0</v>
      </c>
      <c r="S131" s="119">
        <v>0</v>
      </c>
      <c r="T131" s="119">
        <v>0</v>
      </c>
      <c r="U131" s="119">
        <v>0</v>
      </c>
      <c r="V131" s="119">
        <v>0</v>
      </c>
      <c r="W131" s="40">
        <v>483</v>
      </c>
      <c r="X131" s="40">
        <f t="shared" si="10"/>
        <v>122</v>
      </c>
      <c r="Y131" s="40">
        <f t="shared" si="11"/>
        <v>189</v>
      </c>
      <c r="Z131" s="105">
        <v>0.45600000000000002</v>
      </c>
      <c r="AA131" s="105">
        <v>0.54500000000000004</v>
      </c>
      <c r="AB131" s="106">
        <f>3/483</f>
        <v>6.2111801242236021E-3</v>
      </c>
      <c r="AC131" s="106">
        <v>0</v>
      </c>
      <c r="AD131" s="106">
        <f>8/483</f>
        <v>1.6563146997929608E-2</v>
      </c>
      <c r="AE131" s="106">
        <f>16/483</f>
        <v>3.3126293995859216E-2</v>
      </c>
      <c r="AF131" s="106">
        <v>0</v>
      </c>
      <c r="AG131" s="106">
        <f>446/483</f>
        <v>0.92339544513457561</v>
      </c>
      <c r="AH131" s="106">
        <f>10/483</f>
        <v>2.0703933747412008E-2</v>
      </c>
      <c r="AI131" s="106">
        <f>37/483</f>
        <v>7.6604554865424432E-2</v>
      </c>
      <c r="AJ131" s="105">
        <v>0.42443064182194618</v>
      </c>
      <c r="AK131" s="105">
        <v>2E-3</v>
      </c>
      <c r="AL131" s="12">
        <v>33</v>
      </c>
      <c r="AM131" s="12">
        <v>34</v>
      </c>
      <c r="AN131" s="12">
        <v>1</v>
      </c>
      <c r="AO131" s="12">
        <v>27</v>
      </c>
      <c r="AP131" s="12">
        <v>39</v>
      </c>
      <c r="AQ131" s="12">
        <v>33</v>
      </c>
      <c r="AR131" s="12">
        <v>22</v>
      </c>
      <c r="AS131" s="59">
        <v>3.5714285714285712E-2</v>
      </c>
      <c r="AT131" s="3">
        <v>1</v>
      </c>
      <c r="AU131" s="3">
        <v>6</v>
      </c>
      <c r="AV131" s="54">
        <v>77.464788732394368</v>
      </c>
      <c r="AW131" s="54">
        <v>18.30985915492958</v>
      </c>
      <c r="AX131" s="54">
        <v>3.286384976525822</v>
      </c>
      <c r="AY131" s="68">
        <v>0.93896713615023475</v>
      </c>
      <c r="AZ131" s="59">
        <v>0.10861423220973783</v>
      </c>
      <c r="BA131" s="59">
        <v>4.9519731964584909E-2</v>
      </c>
      <c r="BB131" s="81">
        <v>96</v>
      </c>
      <c r="BC131" s="49">
        <v>12.4</v>
      </c>
      <c r="BD131" s="93">
        <v>0</v>
      </c>
      <c r="BE131" s="93">
        <v>0</v>
      </c>
      <c r="BF131" s="49">
        <v>0</v>
      </c>
      <c r="BG131" s="49">
        <v>0</v>
      </c>
      <c r="BH131" s="49">
        <v>2.8</v>
      </c>
      <c r="BI131" s="49">
        <v>0</v>
      </c>
      <c r="BJ131" s="85">
        <v>19.100000000000001</v>
      </c>
      <c r="BK131" s="129">
        <v>10848</v>
      </c>
      <c r="BL131" s="129">
        <v>48615</v>
      </c>
      <c r="BM131" s="129">
        <v>47315</v>
      </c>
      <c r="BN131" s="129">
        <v>39139</v>
      </c>
      <c r="BO131" s="59">
        <v>0</v>
      </c>
      <c r="BP131" s="59">
        <v>0.36249999999999999</v>
      </c>
      <c r="BQ131" s="59">
        <v>0.19670000000000001</v>
      </c>
      <c r="BR131" s="59">
        <v>0</v>
      </c>
      <c r="BS131" s="59">
        <v>0</v>
      </c>
      <c r="BT131" s="49">
        <v>10</v>
      </c>
      <c r="BU131" s="59">
        <f t="shared" ref="BU131:BU194" si="12">SUM(BO131:BS131)</f>
        <v>0.55920000000000003</v>
      </c>
      <c r="BV131" s="59">
        <v>3.27E-2</v>
      </c>
      <c r="BW131" s="59">
        <v>0</v>
      </c>
      <c r="BX131" s="59">
        <v>1.6299999999999999E-2</v>
      </c>
      <c r="BY131" s="59">
        <v>1.6299999999999999E-2</v>
      </c>
      <c r="BZ131" s="59">
        <v>0</v>
      </c>
      <c r="CA131" s="49">
        <v>12.3</v>
      </c>
      <c r="CB131" s="59">
        <f t="shared" ref="CB131:CB194" si="13">SUM(BV131:BZ131)</f>
        <v>6.5299999999999997E-2</v>
      </c>
      <c r="CC131" s="59">
        <v>0.35449999999999998</v>
      </c>
      <c r="CD131" s="125">
        <v>0.36249999999999999</v>
      </c>
      <c r="CE131" s="125">
        <v>0.26669999999999999</v>
      </c>
      <c r="CF131" s="125">
        <v>1.6299999999999999E-2</v>
      </c>
      <c r="CG131" s="125">
        <v>0</v>
      </c>
      <c r="CH131" s="85">
        <v>9.9</v>
      </c>
      <c r="CI131" s="39" t="s">
        <v>235</v>
      </c>
      <c r="CJ131" s="18" t="s">
        <v>80</v>
      </c>
      <c r="CK131" s="20"/>
    </row>
    <row r="132" spans="1:99" x14ac:dyDescent="0.25">
      <c r="A132" s="18" t="s">
        <v>80</v>
      </c>
      <c r="B132" s="19" t="s">
        <v>233</v>
      </c>
      <c r="C132" s="39" t="s">
        <v>236</v>
      </c>
      <c r="D132" s="40">
        <v>0</v>
      </c>
      <c r="E132" s="40">
        <v>0</v>
      </c>
      <c r="F132" s="40">
        <v>0</v>
      </c>
      <c r="G132" s="166">
        <v>0</v>
      </c>
      <c r="H132" s="166">
        <v>0</v>
      </c>
      <c r="I132" s="166">
        <v>0</v>
      </c>
      <c r="J132" s="166">
        <v>0</v>
      </c>
      <c r="K132" s="166">
        <v>0</v>
      </c>
      <c r="L132" s="166">
        <v>0</v>
      </c>
      <c r="M132" s="166">
        <v>0</v>
      </c>
      <c r="N132" s="119">
        <v>0</v>
      </c>
      <c r="O132" s="119">
        <v>0</v>
      </c>
      <c r="P132" s="119">
        <v>0</v>
      </c>
      <c r="Q132" s="119">
        <v>0</v>
      </c>
      <c r="R132" s="119">
        <v>0</v>
      </c>
      <c r="S132" s="119">
        <v>0</v>
      </c>
      <c r="T132" s="119">
        <v>0</v>
      </c>
      <c r="U132" s="119">
        <v>0</v>
      </c>
      <c r="V132" s="119">
        <v>0</v>
      </c>
      <c r="W132" s="40">
        <v>880</v>
      </c>
      <c r="X132" s="40">
        <f t="shared" si="10"/>
        <v>587</v>
      </c>
      <c r="Y132" s="40">
        <f t="shared" si="11"/>
        <v>880</v>
      </c>
      <c r="Z132" s="105">
        <v>0.48299999999999998</v>
      </c>
      <c r="AA132" s="105">
        <v>0.51700000000000002</v>
      </c>
      <c r="AB132" s="106">
        <v>0</v>
      </c>
      <c r="AC132" s="106">
        <f>6/880</f>
        <v>6.8181818181818179E-3</v>
      </c>
      <c r="AD132" s="106">
        <f>271/880</f>
        <v>0.30795454545454548</v>
      </c>
      <c r="AE132" s="106">
        <f>8/880</f>
        <v>9.0909090909090905E-3</v>
      </c>
      <c r="AF132" s="106">
        <v>0</v>
      </c>
      <c r="AG132" s="106">
        <f>567/880</f>
        <v>0.64431818181818179</v>
      </c>
      <c r="AH132" s="106">
        <f>28/880</f>
        <v>3.1818181818181815E-2</v>
      </c>
      <c r="AI132" s="106">
        <f>313/880</f>
        <v>0.35568181818181815</v>
      </c>
      <c r="AJ132" s="105">
        <v>0.60227272727272729</v>
      </c>
      <c r="AK132" s="105">
        <v>2E-3</v>
      </c>
      <c r="AL132" s="12">
        <v>129</v>
      </c>
      <c r="AM132" s="12">
        <v>164</v>
      </c>
      <c r="AN132" s="12">
        <v>2</v>
      </c>
      <c r="AO132" s="12">
        <v>165</v>
      </c>
      <c r="AP132" s="12">
        <v>141</v>
      </c>
      <c r="AQ132" s="12">
        <v>135</v>
      </c>
      <c r="AR132" s="12">
        <v>144</v>
      </c>
      <c r="AS132" s="59">
        <v>1.1976047904191617E-2</v>
      </c>
      <c r="AT132" s="3">
        <v>7</v>
      </c>
      <c r="AU132" s="3">
        <v>6</v>
      </c>
      <c r="AV132" s="54">
        <v>64.449541284403665</v>
      </c>
      <c r="AW132" s="54">
        <v>28.669724770642201</v>
      </c>
      <c r="AX132" s="54">
        <v>5.5045871559633035</v>
      </c>
      <c r="AY132" s="68">
        <v>1.3761467889908259</v>
      </c>
      <c r="AZ132" s="59">
        <v>0.1142543557563329</v>
      </c>
      <c r="BA132" s="59">
        <v>0.18716577540106952</v>
      </c>
      <c r="BB132" s="76">
        <v>93.525175932877204</v>
      </c>
      <c r="BC132" s="49">
        <v>16.363636363636399</v>
      </c>
      <c r="BD132" s="49">
        <v>0</v>
      </c>
      <c r="BE132" s="49">
        <v>1.9</v>
      </c>
      <c r="BF132" s="49">
        <v>5.2</v>
      </c>
      <c r="BG132" s="49">
        <v>3.5</v>
      </c>
      <c r="BH132" s="49">
        <v>2.2999999999999998</v>
      </c>
      <c r="BI132" s="49">
        <v>4.2</v>
      </c>
      <c r="BJ132" s="85">
        <v>19.3</v>
      </c>
      <c r="BK132" s="129">
        <v>10601</v>
      </c>
      <c r="BL132" s="129">
        <v>50597</v>
      </c>
      <c r="BM132" s="129">
        <v>45995</v>
      </c>
      <c r="BN132" s="129">
        <v>42403</v>
      </c>
      <c r="BO132" s="59">
        <v>0</v>
      </c>
      <c r="BP132" s="59">
        <v>0.41239999999999999</v>
      </c>
      <c r="BQ132" s="59">
        <v>0.1666</v>
      </c>
      <c r="BR132" s="59">
        <v>1.0200000000000001E-2</v>
      </c>
      <c r="BS132" s="59">
        <v>0</v>
      </c>
      <c r="BT132" s="49">
        <v>11.3</v>
      </c>
      <c r="BU132" s="59">
        <f t="shared" si="12"/>
        <v>0.58919999999999995</v>
      </c>
      <c r="BV132" s="59">
        <v>4.0899999999999999E-2</v>
      </c>
      <c r="BW132" s="59">
        <v>1.0200000000000001E-2</v>
      </c>
      <c r="BX132" s="59">
        <v>4.0899999999999999E-2</v>
      </c>
      <c r="BY132" s="59">
        <v>0</v>
      </c>
      <c r="BZ132" s="59">
        <v>0</v>
      </c>
      <c r="CA132" s="49">
        <v>8.9</v>
      </c>
      <c r="CB132" s="59">
        <f t="shared" si="13"/>
        <v>9.1999999999999998E-2</v>
      </c>
      <c r="CC132" s="59">
        <v>0.30570000000000003</v>
      </c>
      <c r="CD132" s="125">
        <v>0.43280000000000002</v>
      </c>
      <c r="CE132" s="125">
        <v>0.25130000000000002</v>
      </c>
      <c r="CF132" s="125">
        <v>1.0200000000000001E-2</v>
      </c>
      <c r="CG132" s="125">
        <v>0</v>
      </c>
      <c r="CH132" s="85">
        <v>10.5</v>
      </c>
      <c r="CI132" s="39" t="s">
        <v>236</v>
      </c>
      <c r="CJ132" s="18" t="s">
        <v>80</v>
      </c>
      <c r="CK132" s="20"/>
    </row>
    <row r="133" spans="1:99" x14ac:dyDescent="0.25">
      <c r="A133" s="18" t="s">
        <v>80</v>
      </c>
      <c r="B133" s="19" t="s">
        <v>233</v>
      </c>
      <c r="C133" s="39" t="s">
        <v>237</v>
      </c>
      <c r="D133" s="40">
        <v>1</v>
      </c>
      <c r="E133" s="40">
        <v>0</v>
      </c>
      <c r="F133" s="40">
        <v>1</v>
      </c>
      <c r="G133" s="166">
        <v>0</v>
      </c>
      <c r="H133" s="166">
        <v>0</v>
      </c>
      <c r="I133" s="166">
        <v>0</v>
      </c>
      <c r="J133" s="166">
        <v>1</v>
      </c>
      <c r="K133" s="166">
        <v>0</v>
      </c>
      <c r="L133" s="166">
        <v>0</v>
      </c>
      <c r="M133" s="166">
        <v>0</v>
      </c>
      <c r="N133" s="119">
        <v>3.4364261168384901E-3</v>
      </c>
      <c r="O133" s="119">
        <v>5.0505050505050501E-3</v>
      </c>
      <c r="P133" s="119">
        <v>0</v>
      </c>
      <c r="Q133" s="119">
        <v>0</v>
      </c>
      <c r="R133" s="119">
        <v>0</v>
      </c>
      <c r="S133" s="119">
        <v>1.7857142857142901E-2</v>
      </c>
      <c r="T133" s="119">
        <v>0</v>
      </c>
      <c r="U133" s="119">
        <v>0</v>
      </c>
      <c r="V133" s="119">
        <v>0</v>
      </c>
      <c r="W133" s="40">
        <v>651</v>
      </c>
      <c r="X133" s="40">
        <f t="shared" si="10"/>
        <v>184</v>
      </c>
      <c r="Y133" s="40">
        <f t="shared" si="11"/>
        <v>274</v>
      </c>
      <c r="Z133" s="105">
        <v>0.505</v>
      </c>
      <c r="AA133" s="105">
        <v>0.495</v>
      </c>
      <c r="AB133" s="106">
        <f>1/651</f>
        <v>1.5360983102918587E-3</v>
      </c>
      <c r="AC133" s="106">
        <f>2/651</f>
        <v>3.0721966205837174E-3</v>
      </c>
      <c r="AD133" s="106">
        <f>42/651</f>
        <v>6.4516129032258063E-2</v>
      </c>
      <c r="AE133" s="106">
        <f>14/651</f>
        <v>2.1505376344086023E-2</v>
      </c>
      <c r="AF133" s="106">
        <v>0</v>
      </c>
      <c r="AG133" s="106">
        <f>577/651</f>
        <v>0.88632872503840243</v>
      </c>
      <c r="AH133" s="106">
        <f>15/651</f>
        <v>2.3041474654377881E-2</v>
      </c>
      <c r="AI133" s="106">
        <f>74/651</f>
        <v>0.11367127496159754</v>
      </c>
      <c r="AJ133" s="105">
        <v>0.5053763440860215</v>
      </c>
      <c r="AK133" s="105">
        <v>6.0000000000000001E-3</v>
      </c>
      <c r="AL133" s="12">
        <v>43</v>
      </c>
      <c r="AM133" s="12">
        <v>47</v>
      </c>
      <c r="AN133" s="12">
        <v>1</v>
      </c>
      <c r="AO133" s="12">
        <v>48</v>
      </c>
      <c r="AP133" s="12">
        <v>39</v>
      </c>
      <c r="AQ133" s="12">
        <v>61</v>
      </c>
      <c r="AR133" s="12">
        <v>35</v>
      </c>
      <c r="AS133" s="59">
        <v>2.0408163265306121E-2</v>
      </c>
      <c r="AT133" s="3">
        <v>1</v>
      </c>
      <c r="AU133" s="3">
        <v>6</v>
      </c>
      <c r="AV133" s="54">
        <v>60.489510489510486</v>
      </c>
      <c r="AW133" s="54">
        <v>32.517482517482513</v>
      </c>
      <c r="AX133" s="54">
        <v>6.2937062937062942</v>
      </c>
      <c r="AY133" s="68">
        <v>0.69930069930069927</v>
      </c>
      <c r="AZ133" s="59">
        <v>5.9829059829059832E-2</v>
      </c>
      <c r="BA133" s="59">
        <v>5.9829059829059832E-2</v>
      </c>
      <c r="BB133" s="77">
        <v>94.934806351644198</v>
      </c>
      <c r="BC133" s="49">
        <v>19.523099850968698</v>
      </c>
      <c r="BD133" s="49">
        <v>0</v>
      </c>
      <c r="BE133" s="49">
        <v>0</v>
      </c>
      <c r="BF133" s="49">
        <v>6.5</v>
      </c>
      <c r="BG133" s="49">
        <v>5.4</v>
      </c>
      <c r="BH133" s="49">
        <v>1.9</v>
      </c>
      <c r="BI133" s="49">
        <v>2.8</v>
      </c>
      <c r="BJ133" s="85">
        <v>19.399999999999999</v>
      </c>
      <c r="BK133" s="129">
        <v>9954</v>
      </c>
      <c r="BL133" s="129">
        <v>49887</v>
      </c>
      <c r="BM133" s="129">
        <v>49711</v>
      </c>
      <c r="BN133" s="129">
        <v>37474</v>
      </c>
      <c r="BO133" s="59">
        <v>0</v>
      </c>
      <c r="BP133" s="59">
        <v>0.37030000000000002</v>
      </c>
      <c r="BQ133" s="59">
        <v>0.11940000000000001</v>
      </c>
      <c r="BR133" s="59">
        <v>1.34E-2</v>
      </c>
      <c r="BS133" s="59">
        <v>0</v>
      </c>
      <c r="BT133" s="49">
        <v>12.6</v>
      </c>
      <c r="BU133" s="59">
        <f t="shared" si="12"/>
        <v>0.50309999999999999</v>
      </c>
      <c r="BV133" s="59">
        <v>2.6800000000000001E-2</v>
      </c>
      <c r="BW133" s="59">
        <v>1.18E-2</v>
      </c>
      <c r="BX133" s="59">
        <v>0</v>
      </c>
      <c r="BY133" s="59">
        <v>1.3299999999999999E-2</v>
      </c>
      <c r="BZ133" s="59">
        <v>0</v>
      </c>
      <c r="CA133" s="49">
        <v>13.5</v>
      </c>
      <c r="CB133" s="59">
        <f t="shared" si="13"/>
        <v>5.1900000000000002E-2</v>
      </c>
      <c r="CC133" s="59">
        <v>0.40129999999999999</v>
      </c>
      <c r="CD133" s="125">
        <v>0.4224</v>
      </c>
      <c r="CE133" s="125">
        <v>0.14949999999999999</v>
      </c>
      <c r="CF133" s="125">
        <v>2.6700000000000002E-2</v>
      </c>
      <c r="CG133" s="125">
        <v>0</v>
      </c>
      <c r="CH133" s="85">
        <v>10.3</v>
      </c>
      <c r="CI133" s="39" t="s">
        <v>237</v>
      </c>
      <c r="CJ133" s="18" t="s">
        <v>80</v>
      </c>
      <c r="CK133" s="20"/>
    </row>
    <row r="134" spans="1:99" x14ac:dyDescent="0.25">
      <c r="A134" s="18" t="s">
        <v>80</v>
      </c>
      <c r="B134" s="19" t="s">
        <v>233</v>
      </c>
      <c r="C134" s="39" t="s">
        <v>238</v>
      </c>
      <c r="D134" s="40">
        <v>0</v>
      </c>
      <c r="E134" s="40">
        <v>0</v>
      </c>
      <c r="F134" s="40">
        <v>0</v>
      </c>
      <c r="G134" s="166">
        <v>0</v>
      </c>
      <c r="H134" s="166">
        <v>0</v>
      </c>
      <c r="I134" s="166">
        <v>0</v>
      </c>
      <c r="J134" s="166">
        <v>0</v>
      </c>
      <c r="K134" s="166">
        <v>0</v>
      </c>
      <c r="L134" s="166">
        <v>0</v>
      </c>
      <c r="M134" s="166">
        <v>0</v>
      </c>
      <c r="N134" s="119">
        <v>0</v>
      </c>
      <c r="O134" s="119">
        <v>0</v>
      </c>
      <c r="P134" s="119">
        <v>0</v>
      </c>
      <c r="Q134" s="119">
        <v>0</v>
      </c>
      <c r="R134" s="119">
        <v>0</v>
      </c>
      <c r="S134" s="119">
        <v>0</v>
      </c>
      <c r="T134" s="119">
        <v>0</v>
      </c>
      <c r="U134" s="119">
        <v>0</v>
      </c>
      <c r="V134" s="119">
        <v>0</v>
      </c>
      <c r="W134" s="40">
        <v>402</v>
      </c>
      <c r="X134" s="40">
        <f t="shared" si="10"/>
        <v>271</v>
      </c>
      <c r="Y134" s="40">
        <f t="shared" si="11"/>
        <v>402</v>
      </c>
      <c r="Z134" s="105">
        <v>0.47799999999999998</v>
      </c>
      <c r="AA134" s="105">
        <v>0.52200000000000002</v>
      </c>
      <c r="AB134" s="106">
        <f>1/402</f>
        <v>2.4875621890547263E-3</v>
      </c>
      <c r="AC134" s="106">
        <v>0</v>
      </c>
      <c r="AD134" s="106">
        <f>33/402</f>
        <v>8.2089552238805971E-2</v>
      </c>
      <c r="AE134" s="106">
        <f>3/402</f>
        <v>7.462686567164179E-3</v>
      </c>
      <c r="AF134" s="106">
        <v>0</v>
      </c>
      <c r="AG134" s="106">
        <f>338/402</f>
        <v>0.84079601990049746</v>
      </c>
      <c r="AH134" s="106">
        <f>27/402</f>
        <v>6.7164179104477612E-2</v>
      </c>
      <c r="AI134" s="106">
        <f>64/402</f>
        <v>0.15920398009950248</v>
      </c>
      <c r="AJ134" s="105">
        <v>0.58706467661691542</v>
      </c>
      <c r="AK134" s="105">
        <v>0</v>
      </c>
      <c r="AL134" s="12">
        <v>64</v>
      </c>
      <c r="AM134" s="12">
        <v>67</v>
      </c>
      <c r="AN134" s="12">
        <v>1</v>
      </c>
      <c r="AO134" s="12">
        <v>90</v>
      </c>
      <c r="AP134" s="12">
        <v>58</v>
      </c>
      <c r="AQ134" s="12">
        <v>65</v>
      </c>
      <c r="AR134" s="12">
        <v>57</v>
      </c>
      <c r="AS134" s="59">
        <v>1.098901098901099E-2</v>
      </c>
      <c r="AT134" s="3">
        <v>7</v>
      </c>
      <c r="AU134" s="3">
        <v>6</v>
      </c>
      <c r="AV134" s="54">
        <v>78.467153284671525</v>
      </c>
      <c r="AW134" s="54">
        <v>14.963503649635038</v>
      </c>
      <c r="AX134" s="54">
        <v>6.5693430656934311</v>
      </c>
      <c r="AY134" s="68">
        <v>0</v>
      </c>
      <c r="AZ134" s="59">
        <v>0.15348837209302327</v>
      </c>
      <c r="BA134" s="59">
        <v>0.14883720930232558</v>
      </c>
      <c r="BB134" s="76">
        <v>91.992287748927296</v>
      </c>
      <c r="BC134" s="49">
        <v>10.4651162790698</v>
      </c>
      <c r="BD134" s="49">
        <v>4.8</v>
      </c>
      <c r="BE134" s="49">
        <v>4.3</v>
      </c>
      <c r="BF134" s="49">
        <v>0</v>
      </c>
      <c r="BG134" s="49">
        <v>1.7</v>
      </c>
      <c r="BH134" s="49">
        <v>4.4000000000000004</v>
      </c>
      <c r="BI134" s="49">
        <v>1.7</v>
      </c>
      <c r="BJ134" s="85">
        <v>19</v>
      </c>
      <c r="BK134" s="129">
        <v>10704</v>
      </c>
      <c r="BL134" s="129">
        <v>51043</v>
      </c>
      <c r="BM134" s="129">
        <v>43865</v>
      </c>
      <c r="BN134" s="129">
        <v>37997</v>
      </c>
      <c r="BO134" s="59">
        <v>0</v>
      </c>
      <c r="BP134" s="59">
        <v>0.32390000000000002</v>
      </c>
      <c r="BQ134" s="59">
        <v>0.14510000000000001</v>
      </c>
      <c r="BR134" s="59">
        <v>0</v>
      </c>
      <c r="BS134" s="59">
        <v>0</v>
      </c>
      <c r="BT134" s="49">
        <v>6.8</v>
      </c>
      <c r="BU134" s="59">
        <f t="shared" si="12"/>
        <v>0.46900000000000003</v>
      </c>
      <c r="BV134" s="59">
        <v>3.9699999999999999E-2</v>
      </c>
      <c r="BW134" s="59">
        <v>0</v>
      </c>
      <c r="BX134" s="59">
        <v>3.9699999999999999E-2</v>
      </c>
      <c r="BY134" s="59">
        <v>0</v>
      </c>
      <c r="BZ134" s="59">
        <v>0</v>
      </c>
      <c r="CA134" s="49">
        <v>7</v>
      </c>
      <c r="CB134" s="59">
        <f t="shared" si="13"/>
        <v>7.9399999999999998E-2</v>
      </c>
      <c r="CC134" s="59">
        <v>0.38650000000000001</v>
      </c>
      <c r="CD134" s="125">
        <v>0.38340000000000002</v>
      </c>
      <c r="CE134" s="125">
        <v>0.2301</v>
      </c>
      <c r="CF134" s="125">
        <v>0</v>
      </c>
      <c r="CG134" s="125">
        <v>0</v>
      </c>
      <c r="CH134" s="85">
        <v>8.3000000000000007</v>
      </c>
      <c r="CI134" s="39" t="s">
        <v>238</v>
      </c>
      <c r="CJ134" s="18" t="s">
        <v>80</v>
      </c>
      <c r="CK134" s="20"/>
    </row>
    <row r="135" spans="1:99" x14ac:dyDescent="0.25">
      <c r="A135" s="18" t="s">
        <v>80</v>
      </c>
      <c r="B135" s="19" t="s">
        <v>233</v>
      </c>
      <c r="C135" s="39" t="s">
        <v>239</v>
      </c>
      <c r="D135" s="40">
        <v>0</v>
      </c>
      <c r="E135" s="40" t="s">
        <v>83</v>
      </c>
      <c r="F135" s="40">
        <v>0</v>
      </c>
      <c r="G135" s="162" t="s">
        <v>83</v>
      </c>
      <c r="H135" s="162" t="s">
        <v>83</v>
      </c>
      <c r="I135" s="166">
        <v>0</v>
      </c>
      <c r="J135" s="166">
        <v>0</v>
      </c>
      <c r="K135" s="166">
        <v>0</v>
      </c>
      <c r="L135" s="166">
        <v>0</v>
      </c>
      <c r="M135" s="166">
        <v>0</v>
      </c>
      <c r="N135" s="119">
        <v>0</v>
      </c>
      <c r="O135" s="119">
        <v>0</v>
      </c>
      <c r="P135" s="116" t="s">
        <v>83</v>
      </c>
      <c r="Q135" s="116" t="s">
        <v>83</v>
      </c>
      <c r="R135" s="119">
        <v>0</v>
      </c>
      <c r="S135" s="119">
        <v>0</v>
      </c>
      <c r="T135" s="119">
        <v>0</v>
      </c>
      <c r="U135" s="119">
        <v>0</v>
      </c>
      <c r="V135" s="119">
        <v>0</v>
      </c>
      <c r="W135" s="40">
        <v>345</v>
      </c>
      <c r="X135" s="40">
        <f t="shared" si="10"/>
        <v>345</v>
      </c>
      <c r="Y135" s="40">
        <f t="shared" si="11"/>
        <v>345</v>
      </c>
      <c r="Z135" s="105">
        <v>0.45800000000000002</v>
      </c>
      <c r="AA135" s="105">
        <v>0.54200000000000004</v>
      </c>
      <c r="AB135" s="106">
        <v>0</v>
      </c>
      <c r="AC135" s="106">
        <v>0</v>
      </c>
      <c r="AD135" s="106">
        <f>66/345</f>
        <v>0.19130434782608696</v>
      </c>
      <c r="AE135" s="106">
        <f>4/345</f>
        <v>1.1594202898550725E-2</v>
      </c>
      <c r="AF135" s="106">
        <v>0</v>
      </c>
      <c r="AG135" s="106">
        <f>256/345</f>
        <v>0.74202898550724639</v>
      </c>
      <c r="AH135" s="106">
        <f>19/345</f>
        <v>5.5072463768115941E-2</v>
      </c>
      <c r="AI135" s="106">
        <f>89/345</f>
        <v>0.25797101449275361</v>
      </c>
      <c r="AJ135" s="105">
        <v>0.53913043478260869</v>
      </c>
      <c r="AK135" s="105">
        <v>0</v>
      </c>
      <c r="AL135" s="12">
        <v>0</v>
      </c>
      <c r="AM135" s="12">
        <v>0</v>
      </c>
      <c r="AN135" s="12">
        <v>14</v>
      </c>
      <c r="AO135" s="12">
        <v>86</v>
      </c>
      <c r="AP135" s="12">
        <v>87</v>
      </c>
      <c r="AQ135" s="12">
        <v>81</v>
      </c>
      <c r="AR135" s="12">
        <v>77</v>
      </c>
      <c r="AS135" s="59">
        <v>0.14000000000000001</v>
      </c>
      <c r="AT135" s="3">
        <v>9</v>
      </c>
      <c r="AU135" s="3">
        <v>6</v>
      </c>
      <c r="AV135" s="54">
        <v>75.384615384615387</v>
      </c>
      <c r="AW135" s="54">
        <v>15.897435897435896</v>
      </c>
      <c r="AX135" s="54">
        <v>8.7179487179487172</v>
      </c>
      <c r="AY135" s="68">
        <v>0</v>
      </c>
      <c r="AZ135" s="59">
        <v>1.4447006800506449E-2</v>
      </c>
      <c r="BA135" s="59">
        <v>0.22408963585434175</v>
      </c>
      <c r="BB135" s="77">
        <v>92.885468040897706</v>
      </c>
      <c r="BC135" s="49">
        <v>23.626373626373599</v>
      </c>
      <c r="BD135" s="90" t="s">
        <v>83</v>
      </c>
      <c r="BE135" s="90" t="s">
        <v>83</v>
      </c>
      <c r="BF135" s="49">
        <v>1.2</v>
      </c>
      <c r="BG135" s="49">
        <v>2.4</v>
      </c>
      <c r="BH135" s="49">
        <v>0</v>
      </c>
      <c r="BI135" s="49">
        <v>1.3</v>
      </c>
      <c r="BJ135" s="85">
        <v>19.8</v>
      </c>
      <c r="BK135" s="129">
        <v>11567</v>
      </c>
      <c r="BL135" s="129">
        <v>51037</v>
      </c>
      <c r="BM135" s="129">
        <v>40703</v>
      </c>
      <c r="BN135" s="129">
        <v>41577</v>
      </c>
      <c r="BO135" s="59">
        <v>0</v>
      </c>
      <c r="BP135" s="59">
        <v>0.33679999999999999</v>
      </c>
      <c r="BQ135" s="59">
        <v>0.17169999999999999</v>
      </c>
      <c r="BR135" s="59">
        <v>0</v>
      </c>
      <c r="BS135" s="59">
        <v>0</v>
      </c>
      <c r="BT135" s="49">
        <v>7.6</v>
      </c>
      <c r="BU135" s="59">
        <f t="shared" si="12"/>
        <v>0.50849999999999995</v>
      </c>
      <c r="BV135" s="59">
        <v>6.9699999999999998E-2</v>
      </c>
      <c r="BW135" s="59">
        <v>0</v>
      </c>
      <c r="BX135" s="59">
        <v>4.65E-2</v>
      </c>
      <c r="BY135" s="59">
        <v>0</v>
      </c>
      <c r="BZ135" s="59">
        <v>0</v>
      </c>
      <c r="CA135" s="49">
        <v>10</v>
      </c>
      <c r="CB135" s="59">
        <f t="shared" si="13"/>
        <v>0.1162</v>
      </c>
      <c r="CC135" s="59">
        <v>0.36870000000000003</v>
      </c>
      <c r="CD135" s="125">
        <v>0.36</v>
      </c>
      <c r="CE135" s="125">
        <v>0.27129999999999999</v>
      </c>
      <c r="CF135" s="125">
        <v>0</v>
      </c>
      <c r="CG135" s="125">
        <v>0</v>
      </c>
      <c r="CH135" s="85">
        <v>10.1</v>
      </c>
      <c r="CI135" s="39" t="s">
        <v>239</v>
      </c>
      <c r="CJ135" s="18" t="s">
        <v>80</v>
      </c>
      <c r="CK135" s="20"/>
    </row>
    <row r="136" spans="1:99" x14ac:dyDescent="0.25">
      <c r="A136" s="18" t="s">
        <v>80</v>
      </c>
      <c r="B136" s="19" t="s">
        <v>240</v>
      </c>
      <c r="C136" s="39" t="s">
        <v>241</v>
      </c>
      <c r="D136" s="40">
        <v>89</v>
      </c>
      <c r="E136" s="40" t="s">
        <v>83</v>
      </c>
      <c r="F136" s="40">
        <v>89</v>
      </c>
      <c r="G136" s="162" t="s">
        <v>83</v>
      </c>
      <c r="H136" s="162" t="s">
        <v>83</v>
      </c>
      <c r="I136" s="166">
        <v>1</v>
      </c>
      <c r="J136" s="166">
        <v>33</v>
      </c>
      <c r="K136" s="166">
        <v>19</v>
      </c>
      <c r="L136" s="166">
        <v>13</v>
      </c>
      <c r="M136" s="166">
        <v>23</v>
      </c>
      <c r="N136" s="119">
        <v>4.36702649656526E-2</v>
      </c>
      <c r="O136" s="119">
        <v>4.3691703485517902E-2</v>
      </c>
      <c r="P136" s="116" t="s">
        <v>83</v>
      </c>
      <c r="Q136" s="116" t="s">
        <v>83</v>
      </c>
      <c r="R136" s="119">
        <v>2.9411764705882401E-2</v>
      </c>
      <c r="S136" s="119">
        <v>4.6742209631728003E-2</v>
      </c>
      <c r="T136" s="119">
        <v>3.8383838383838402E-2</v>
      </c>
      <c r="U136" s="119">
        <v>3.0092592592592601E-2</v>
      </c>
      <c r="V136" s="119">
        <v>6.21621621621622E-2</v>
      </c>
      <c r="W136" s="40">
        <v>1785</v>
      </c>
      <c r="X136" s="40">
        <f t="shared" si="10"/>
        <v>1785</v>
      </c>
      <c r="Y136" s="40">
        <f t="shared" si="11"/>
        <v>1785</v>
      </c>
      <c r="Z136" s="105">
        <v>0.49299999999999999</v>
      </c>
      <c r="AA136" s="105">
        <v>0.50700000000000001</v>
      </c>
      <c r="AB136" s="106">
        <f>2/1785</f>
        <v>1.1204481792717086E-3</v>
      </c>
      <c r="AC136" s="106">
        <f>30/1785</f>
        <v>1.680672268907563E-2</v>
      </c>
      <c r="AD136" s="106">
        <f>727/1785</f>
        <v>0.4072829131652661</v>
      </c>
      <c r="AE136" s="106">
        <f>98/1785</f>
        <v>5.4901960784313725E-2</v>
      </c>
      <c r="AF136" s="106">
        <v>0</v>
      </c>
      <c r="AG136" s="106">
        <f>916/1785</f>
        <v>0.51316526610644253</v>
      </c>
      <c r="AH136" s="106">
        <f>12/1785</f>
        <v>6.7226890756302525E-3</v>
      </c>
      <c r="AI136" s="106">
        <f>869/1785</f>
        <v>0.48683473389355741</v>
      </c>
      <c r="AJ136" s="105">
        <v>0.59719887955182072</v>
      </c>
      <c r="AK136" s="105">
        <v>1.2E-2</v>
      </c>
      <c r="AL136" s="12">
        <v>0</v>
      </c>
      <c r="AM136" s="12">
        <v>0</v>
      </c>
      <c r="AN136" s="12">
        <v>33</v>
      </c>
      <c r="AO136" s="12">
        <v>586</v>
      </c>
      <c r="AP136" s="12">
        <v>451</v>
      </c>
      <c r="AQ136" s="12">
        <v>394</v>
      </c>
      <c r="AR136" s="12">
        <v>321</v>
      </c>
      <c r="AS136" s="59">
        <v>5.3311793214862679E-2</v>
      </c>
      <c r="AT136" s="3">
        <v>9</v>
      </c>
      <c r="AU136" s="3">
        <v>6</v>
      </c>
      <c r="AV136" s="54">
        <v>36.581920903954803</v>
      </c>
      <c r="AW136" s="54">
        <v>23.305084745762709</v>
      </c>
      <c r="AX136" s="54">
        <v>37.711864406779661</v>
      </c>
      <c r="AY136" s="68">
        <v>2.4011299435028248</v>
      </c>
      <c r="AZ136" s="59">
        <v>0.24623115577889448</v>
      </c>
      <c r="BA136" s="59">
        <v>0.14020100502512564</v>
      </c>
      <c r="BB136" s="76">
        <v>91.685775195492795</v>
      </c>
      <c r="BC136" s="49">
        <v>39.763196842624602</v>
      </c>
      <c r="BD136" s="90" t="s">
        <v>83</v>
      </c>
      <c r="BE136" s="90" t="s">
        <v>83</v>
      </c>
      <c r="BF136" s="49">
        <v>20.399999999999999</v>
      </c>
      <c r="BG136" s="49">
        <v>7</v>
      </c>
      <c r="BH136" s="49">
        <v>4.9000000000000004</v>
      </c>
      <c r="BI136" s="49">
        <v>3.1</v>
      </c>
      <c r="BJ136" s="85">
        <v>18.899999999999999</v>
      </c>
      <c r="BK136" s="129">
        <v>8446</v>
      </c>
      <c r="BL136" s="129">
        <v>49771</v>
      </c>
      <c r="BM136" s="129">
        <v>37544</v>
      </c>
      <c r="BN136" s="129">
        <v>42058</v>
      </c>
      <c r="BO136" s="59">
        <v>7.4999999999999997E-3</v>
      </c>
      <c r="BP136" s="59">
        <v>0.46989999999999998</v>
      </c>
      <c r="BQ136" s="59">
        <v>0.1114</v>
      </c>
      <c r="BR136" s="59">
        <v>7.4999999999999997E-3</v>
      </c>
      <c r="BS136" s="59">
        <v>0</v>
      </c>
      <c r="BT136" s="49">
        <v>10.6</v>
      </c>
      <c r="BU136" s="59">
        <f t="shared" si="12"/>
        <v>0.59629999999999994</v>
      </c>
      <c r="BV136" s="59">
        <v>5.9700000000000003E-2</v>
      </c>
      <c r="BW136" s="59">
        <v>0</v>
      </c>
      <c r="BX136" s="59">
        <v>3.73E-2</v>
      </c>
      <c r="BY136" s="59">
        <v>0</v>
      </c>
      <c r="BZ136" s="59">
        <v>0</v>
      </c>
      <c r="CA136" s="49">
        <v>10.8</v>
      </c>
      <c r="CB136" s="59">
        <f t="shared" si="13"/>
        <v>9.7000000000000003E-2</v>
      </c>
      <c r="CC136" s="59">
        <v>0.28439999999999999</v>
      </c>
      <c r="CD136" s="125">
        <v>0.50719999999999998</v>
      </c>
      <c r="CE136" s="125">
        <v>0.20100000000000001</v>
      </c>
      <c r="CF136" s="125">
        <v>7.4999999999999997E-3</v>
      </c>
      <c r="CG136" s="125">
        <v>0</v>
      </c>
      <c r="CH136" s="85">
        <v>10.3</v>
      </c>
      <c r="CI136" s="39" t="s">
        <v>241</v>
      </c>
      <c r="CJ136" s="18" t="s">
        <v>80</v>
      </c>
      <c r="CK136" s="20"/>
    </row>
    <row r="137" spans="1:99" x14ac:dyDescent="0.25">
      <c r="A137" s="18" t="s">
        <v>80</v>
      </c>
      <c r="B137" s="19" t="s">
        <v>240</v>
      </c>
      <c r="C137" s="39" t="s">
        <v>242</v>
      </c>
      <c r="D137" s="40">
        <v>60</v>
      </c>
      <c r="E137" s="40" t="s">
        <v>83</v>
      </c>
      <c r="F137" s="40">
        <v>60</v>
      </c>
      <c r="G137" s="162" t="s">
        <v>83</v>
      </c>
      <c r="H137" s="162" t="s">
        <v>83</v>
      </c>
      <c r="I137" s="166">
        <v>0</v>
      </c>
      <c r="J137" s="166">
        <v>22</v>
      </c>
      <c r="K137" s="166">
        <v>17</v>
      </c>
      <c r="L137" s="166">
        <v>15</v>
      </c>
      <c r="M137" s="166">
        <v>6</v>
      </c>
      <c r="N137" s="119">
        <v>4.8231511254019303E-2</v>
      </c>
      <c r="O137" s="119">
        <v>4.8231511254019303E-2</v>
      </c>
      <c r="P137" s="116" t="s">
        <v>83</v>
      </c>
      <c r="Q137" s="116" t="s">
        <v>83</v>
      </c>
      <c r="R137" s="119">
        <v>0</v>
      </c>
      <c r="S137" s="119">
        <v>5.7142857142857099E-2</v>
      </c>
      <c r="T137" s="119">
        <v>5.4313099041533502E-2</v>
      </c>
      <c r="U137" s="119">
        <v>5.1194539249146798E-2</v>
      </c>
      <c r="V137" s="119">
        <v>2.7272727272727299E-2</v>
      </c>
      <c r="W137" s="40">
        <v>1092</v>
      </c>
      <c r="X137" s="40">
        <f t="shared" si="10"/>
        <v>1092</v>
      </c>
      <c r="Y137" s="40">
        <f t="shared" si="11"/>
        <v>1092</v>
      </c>
      <c r="Z137" s="105">
        <v>0.45500000000000002</v>
      </c>
      <c r="AA137" s="105">
        <v>0.54500000000000004</v>
      </c>
      <c r="AB137" s="106">
        <f>2/1092</f>
        <v>1.8315018315018315E-3</v>
      </c>
      <c r="AC137" s="106">
        <f>9/1092</f>
        <v>8.241758241758242E-3</v>
      </c>
      <c r="AD137" s="106">
        <f>635/1092</f>
        <v>0.58150183150183155</v>
      </c>
      <c r="AE137" s="106">
        <f>28/1092</f>
        <v>2.564102564102564E-2</v>
      </c>
      <c r="AF137" s="106">
        <v>0</v>
      </c>
      <c r="AG137" s="106">
        <f>416/1092</f>
        <v>0.38095238095238093</v>
      </c>
      <c r="AH137" s="106">
        <f>2/1092</f>
        <v>1.8315018315018315E-3</v>
      </c>
      <c r="AI137" s="106">
        <f>676/1092</f>
        <v>0.61904761904761907</v>
      </c>
      <c r="AJ137" s="105">
        <v>0.67582417582417587</v>
      </c>
      <c r="AK137" s="105">
        <v>8.9999999999999993E-3</v>
      </c>
      <c r="AL137" s="12">
        <v>0</v>
      </c>
      <c r="AM137" s="12">
        <v>0</v>
      </c>
      <c r="AN137" s="12">
        <v>32</v>
      </c>
      <c r="AO137" s="12">
        <v>318</v>
      </c>
      <c r="AP137" s="12">
        <v>277</v>
      </c>
      <c r="AQ137" s="12">
        <v>261</v>
      </c>
      <c r="AR137" s="12">
        <v>204</v>
      </c>
      <c r="AS137" s="59">
        <v>9.1428571428571428E-2</v>
      </c>
      <c r="AT137" s="3">
        <v>9</v>
      </c>
      <c r="AU137" s="3">
        <v>6</v>
      </c>
      <c r="AV137" s="54">
        <v>70.317460317460316</v>
      </c>
      <c r="AW137" s="54">
        <v>19.365079365079367</v>
      </c>
      <c r="AX137" s="54">
        <v>10.158730158730158</v>
      </c>
      <c r="AY137" s="68">
        <v>0.15873015873015872</v>
      </c>
      <c r="AZ137" s="59">
        <v>0.40262941659819229</v>
      </c>
      <c r="BA137" s="59">
        <v>0.21446179129005752</v>
      </c>
      <c r="BB137" s="77">
        <v>91.015939862136307</v>
      </c>
      <c r="BC137" s="49">
        <v>44.766505636070903</v>
      </c>
      <c r="BD137" s="90" t="s">
        <v>83</v>
      </c>
      <c r="BE137" s="90" t="s">
        <v>83</v>
      </c>
      <c r="BF137" s="49">
        <v>20.7</v>
      </c>
      <c r="BG137" s="49">
        <v>7.7</v>
      </c>
      <c r="BH137" s="49">
        <v>2.2000000000000002</v>
      </c>
      <c r="BI137" s="49">
        <v>2.7</v>
      </c>
      <c r="BJ137" s="85">
        <v>17.899999999999999</v>
      </c>
      <c r="BK137" s="129">
        <v>10083</v>
      </c>
      <c r="BL137" s="129">
        <v>50705</v>
      </c>
      <c r="BM137" s="129">
        <v>46847</v>
      </c>
      <c r="BN137" s="129">
        <v>44748</v>
      </c>
      <c r="BO137" s="59">
        <v>0</v>
      </c>
      <c r="BP137" s="59">
        <v>0.39879999999999999</v>
      </c>
      <c r="BQ137" s="59">
        <v>0.1757</v>
      </c>
      <c r="BR137" s="59">
        <v>0.01</v>
      </c>
      <c r="BS137" s="59">
        <v>0</v>
      </c>
      <c r="BT137" s="49">
        <v>11.1</v>
      </c>
      <c r="BU137" s="59">
        <f t="shared" si="12"/>
        <v>0.58450000000000002</v>
      </c>
      <c r="BV137" s="59">
        <v>4.7500000000000001E-2</v>
      </c>
      <c r="BW137" s="59">
        <v>0</v>
      </c>
      <c r="BX137" s="59">
        <v>4.9799999999999997E-2</v>
      </c>
      <c r="BY137" s="59">
        <v>0</v>
      </c>
      <c r="BZ137" s="59">
        <v>0</v>
      </c>
      <c r="CA137" s="49">
        <v>14.3</v>
      </c>
      <c r="CB137" s="59">
        <f t="shared" si="13"/>
        <v>9.7299999999999998E-2</v>
      </c>
      <c r="CC137" s="59">
        <v>0.2462</v>
      </c>
      <c r="CD137" s="125">
        <v>0.41870000000000002</v>
      </c>
      <c r="CE137" s="125">
        <v>0.3251</v>
      </c>
      <c r="CF137" s="125">
        <v>0.01</v>
      </c>
      <c r="CG137" s="125">
        <v>0</v>
      </c>
      <c r="CH137" s="85">
        <v>11.2</v>
      </c>
      <c r="CI137" s="39" t="s">
        <v>242</v>
      </c>
      <c r="CJ137" s="18" t="s">
        <v>80</v>
      </c>
      <c r="CK137" s="20"/>
    </row>
    <row r="138" spans="1:99" x14ac:dyDescent="0.25">
      <c r="A138" s="18" t="s">
        <v>80</v>
      </c>
      <c r="B138" s="19" t="s">
        <v>240</v>
      </c>
      <c r="C138" s="39" t="s">
        <v>243</v>
      </c>
      <c r="D138" s="40">
        <v>52</v>
      </c>
      <c r="E138" s="40" t="s">
        <v>83</v>
      </c>
      <c r="F138" s="40">
        <v>52</v>
      </c>
      <c r="G138" s="162" t="s">
        <v>83</v>
      </c>
      <c r="H138" s="162" t="s">
        <v>83</v>
      </c>
      <c r="I138" s="166">
        <v>1</v>
      </c>
      <c r="J138" s="166">
        <v>19</v>
      </c>
      <c r="K138" s="166">
        <v>13</v>
      </c>
      <c r="L138" s="166">
        <v>13</v>
      </c>
      <c r="M138" s="166">
        <v>6</v>
      </c>
      <c r="N138" s="119">
        <v>2.4436090225563901E-2</v>
      </c>
      <c r="O138" s="119">
        <v>2.4436090225563901E-2</v>
      </c>
      <c r="P138" s="116" t="s">
        <v>83</v>
      </c>
      <c r="Q138" s="116" t="s">
        <v>83</v>
      </c>
      <c r="R138" s="119">
        <v>3.3333333333333298E-2</v>
      </c>
      <c r="S138" s="119">
        <v>2.9641185647425902E-2</v>
      </c>
      <c r="T138" s="119">
        <v>2.1594684385382101E-2</v>
      </c>
      <c r="U138" s="119">
        <v>2.6104417670682702E-2</v>
      </c>
      <c r="V138" s="119">
        <v>1.6806722689075598E-2</v>
      </c>
      <c r="W138" s="40">
        <v>1934</v>
      </c>
      <c r="X138" s="40">
        <f t="shared" si="10"/>
        <v>1934</v>
      </c>
      <c r="Y138" s="40">
        <f t="shared" si="11"/>
        <v>1934</v>
      </c>
      <c r="Z138" s="105">
        <v>0.499</v>
      </c>
      <c r="AA138" s="105">
        <v>0.501</v>
      </c>
      <c r="AB138" s="106">
        <f>7/1934</f>
        <v>3.6194415718717684E-3</v>
      </c>
      <c r="AC138" s="106">
        <f>51/1934</f>
        <v>2.6370217166494313E-2</v>
      </c>
      <c r="AD138" s="106">
        <f>535/1934</f>
        <v>0.27662874870734228</v>
      </c>
      <c r="AE138" s="106">
        <f>59/1934</f>
        <v>3.0506721820062047E-2</v>
      </c>
      <c r="AF138" s="106">
        <f>3/1934</f>
        <v>1.5511892450879006E-3</v>
      </c>
      <c r="AG138" s="106">
        <f>1273/1934</f>
        <v>0.65822130299896586</v>
      </c>
      <c r="AH138" s="106">
        <f>6/1934</f>
        <v>3.1023784901758012E-3</v>
      </c>
      <c r="AI138" s="106">
        <f>661/1934</f>
        <v>0.34177869700103414</v>
      </c>
      <c r="AJ138" s="105">
        <v>0.43381592554291626</v>
      </c>
      <c r="AK138" s="105">
        <v>8.0000000000000002E-3</v>
      </c>
      <c r="AL138" s="12">
        <v>0</v>
      </c>
      <c r="AM138" s="12">
        <v>0</v>
      </c>
      <c r="AN138" s="12">
        <v>25</v>
      </c>
      <c r="AO138" s="12">
        <v>579</v>
      </c>
      <c r="AP138" s="12">
        <v>543</v>
      </c>
      <c r="AQ138" s="12">
        <v>452</v>
      </c>
      <c r="AR138" s="12">
        <v>335</v>
      </c>
      <c r="AS138" s="59">
        <v>4.1390728476821195E-2</v>
      </c>
      <c r="AT138" s="3">
        <v>9</v>
      </c>
      <c r="AU138" s="3">
        <v>6</v>
      </c>
      <c r="AV138" s="54">
        <v>47.470817120622563</v>
      </c>
      <c r="AW138" s="54">
        <v>20.363164721141374</v>
      </c>
      <c r="AX138" s="54">
        <v>29.312581063553829</v>
      </c>
      <c r="AY138" s="68">
        <v>2.8534370946822309</v>
      </c>
      <c r="AZ138" s="59">
        <v>0.23366714353838816</v>
      </c>
      <c r="BA138" s="59">
        <v>0.05</v>
      </c>
      <c r="BB138" s="76">
        <v>93.233010775924697</v>
      </c>
      <c r="BC138" s="49">
        <v>29.8737727910238</v>
      </c>
      <c r="BD138" s="90" t="s">
        <v>83</v>
      </c>
      <c r="BE138" s="90" t="s">
        <v>83</v>
      </c>
      <c r="BF138" s="49">
        <v>11.5</v>
      </c>
      <c r="BG138" s="49">
        <v>9.9</v>
      </c>
      <c r="BH138" s="49">
        <v>4.7</v>
      </c>
      <c r="BI138" s="49">
        <v>1.6</v>
      </c>
      <c r="BJ138" s="85">
        <v>20</v>
      </c>
      <c r="BK138" s="129">
        <v>8484</v>
      </c>
      <c r="BL138" s="129">
        <v>50865</v>
      </c>
      <c r="BM138" s="129">
        <v>40245</v>
      </c>
      <c r="BN138" s="129">
        <v>44009</v>
      </c>
      <c r="BO138" s="59">
        <v>0</v>
      </c>
      <c r="BP138" s="59">
        <v>0.4269</v>
      </c>
      <c r="BQ138" s="59">
        <v>0.21149999999999999</v>
      </c>
      <c r="BR138" s="59">
        <v>0</v>
      </c>
      <c r="BS138" s="59">
        <v>7.1999999999999998E-3</v>
      </c>
      <c r="BT138" s="49">
        <v>11.7</v>
      </c>
      <c r="BU138" s="59">
        <f t="shared" si="12"/>
        <v>0.64559999999999995</v>
      </c>
      <c r="BV138" s="59">
        <v>5.5300000000000002E-2</v>
      </c>
      <c r="BW138" s="59">
        <v>0</v>
      </c>
      <c r="BX138" s="59">
        <v>2.8500000000000001E-2</v>
      </c>
      <c r="BY138" s="59">
        <v>1.2999999999999999E-3</v>
      </c>
      <c r="BZ138" s="59">
        <v>0</v>
      </c>
      <c r="CA138" s="49">
        <v>14.7</v>
      </c>
      <c r="CB138" s="59">
        <f t="shared" si="13"/>
        <v>8.5099999999999995E-2</v>
      </c>
      <c r="CC138" s="59">
        <v>0.24809999999999999</v>
      </c>
      <c r="CD138" s="125">
        <v>0.44840000000000002</v>
      </c>
      <c r="CE138" s="125">
        <v>0.29509999999999997</v>
      </c>
      <c r="CF138" s="125">
        <v>1.2999999999999999E-3</v>
      </c>
      <c r="CG138" s="125">
        <v>7.1999999999999998E-3</v>
      </c>
      <c r="CH138" s="85">
        <v>11.3</v>
      </c>
      <c r="CI138" s="39" t="s">
        <v>243</v>
      </c>
      <c r="CJ138" s="18" t="s">
        <v>80</v>
      </c>
      <c r="CK138" s="20"/>
    </row>
    <row r="139" spans="1:99" x14ac:dyDescent="0.25">
      <c r="A139" s="18" t="s">
        <v>80</v>
      </c>
      <c r="B139" s="19" t="s">
        <v>240</v>
      </c>
      <c r="C139" s="39" t="s">
        <v>244</v>
      </c>
      <c r="D139" s="40">
        <v>51</v>
      </c>
      <c r="E139" s="40" t="s">
        <v>83</v>
      </c>
      <c r="F139" s="40">
        <v>51</v>
      </c>
      <c r="G139" s="162" t="s">
        <v>83</v>
      </c>
      <c r="H139" s="162" t="s">
        <v>83</v>
      </c>
      <c r="I139" s="166">
        <v>0</v>
      </c>
      <c r="J139" s="166">
        <v>16</v>
      </c>
      <c r="K139" s="166">
        <v>12</v>
      </c>
      <c r="L139" s="166">
        <v>10</v>
      </c>
      <c r="M139" s="166">
        <v>13</v>
      </c>
      <c r="N139" s="119">
        <v>1.9487963316774898E-2</v>
      </c>
      <c r="O139" s="119">
        <v>1.9487963316774898E-2</v>
      </c>
      <c r="P139" s="116" t="s">
        <v>83</v>
      </c>
      <c r="Q139" s="116" t="s">
        <v>83</v>
      </c>
      <c r="R139" s="119">
        <v>0</v>
      </c>
      <c r="S139" s="119">
        <v>2.1248339973439601E-2</v>
      </c>
      <c r="T139" s="119">
        <v>1.88679245283019E-2</v>
      </c>
      <c r="U139" s="119">
        <v>1.58982511923688E-2</v>
      </c>
      <c r="V139" s="119">
        <v>2.2569444444444399E-2</v>
      </c>
      <c r="W139" s="40">
        <v>2456</v>
      </c>
      <c r="X139" s="40">
        <f t="shared" si="10"/>
        <v>2456</v>
      </c>
      <c r="Y139" s="40">
        <f t="shared" si="11"/>
        <v>2456</v>
      </c>
      <c r="Z139" s="105">
        <v>0.54500000000000004</v>
      </c>
      <c r="AA139" s="105">
        <v>0.45500000000000002</v>
      </c>
      <c r="AB139" s="106">
        <f>5/2456</f>
        <v>2.0358306188925082E-3</v>
      </c>
      <c r="AC139" s="106">
        <f>115/2456</f>
        <v>4.6824104234527687E-2</v>
      </c>
      <c r="AD139" s="106">
        <f>762/2456</f>
        <v>0.31026058631921827</v>
      </c>
      <c r="AE139" s="106">
        <f>161/2456</f>
        <v>6.5553745928338764E-2</v>
      </c>
      <c r="AF139" s="106">
        <f>3/2456</f>
        <v>1.2214983713355048E-3</v>
      </c>
      <c r="AG139" s="106">
        <f>1394/2456</f>
        <v>0.5675895765472313</v>
      </c>
      <c r="AH139" s="106">
        <f>16/2456</f>
        <v>6.5146579804560263E-3</v>
      </c>
      <c r="AI139" s="106">
        <f>1062/2456</f>
        <v>0.43241042345276876</v>
      </c>
      <c r="AJ139" s="105">
        <v>0.38395765472312704</v>
      </c>
      <c r="AK139" s="105">
        <v>3.6999999999999998E-2</v>
      </c>
      <c r="AL139" s="12">
        <v>0</v>
      </c>
      <c r="AM139" s="12">
        <v>0</v>
      </c>
      <c r="AN139" s="12">
        <v>20</v>
      </c>
      <c r="AO139" s="12">
        <v>704</v>
      </c>
      <c r="AP139" s="12">
        <v>597</v>
      </c>
      <c r="AQ139" s="12">
        <v>584</v>
      </c>
      <c r="AR139" s="12">
        <v>551</v>
      </c>
      <c r="AS139" s="59">
        <v>2.7624309392265192E-2</v>
      </c>
      <c r="AT139" s="3">
        <v>9</v>
      </c>
      <c r="AU139" s="3">
        <v>6</v>
      </c>
      <c r="AV139" s="54">
        <v>50.053248136315233</v>
      </c>
      <c r="AW139" s="54">
        <v>24.707135250266241</v>
      </c>
      <c r="AX139" s="54">
        <v>23.429179978700745</v>
      </c>
      <c r="AY139" s="68">
        <v>1.8104366347177849</v>
      </c>
      <c r="AZ139" s="59">
        <v>0.18405852907200615</v>
      </c>
      <c r="BA139" s="59">
        <v>9.0874085483249906E-2</v>
      </c>
      <c r="BB139" s="77">
        <v>94.599830780160801</v>
      </c>
      <c r="BC139" s="49">
        <v>23.760488176964198</v>
      </c>
      <c r="BD139" s="90" t="s">
        <v>83</v>
      </c>
      <c r="BE139" s="90" t="s">
        <v>83</v>
      </c>
      <c r="BF139" s="49">
        <v>11.2</v>
      </c>
      <c r="BG139" s="49">
        <v>4.0999999999999996</v>
      </c>
      <c r="BH139" s="49">
        <v>2.2999999999999998</v>
      </c>
      <c r="BI139" s="49">
        <v>2.2999999999999998</v>
      </c>
      <c r="BJ139" s="85">
        <v>22.5</v>
      </c>
      <c r="BK139" s="129">
        <v>8872</v>
      </c>
      <c r="BL139" s="129">
        <v>50283</v>
      </c>
      <c r="BM139" s="129">
        <v>44540</v>
      </c>
      <c r="BN139" s="129">
        <v>43546</v>
      </c>
      <c r="BO139" s="59">
        <v>0</v>
      </c>
      <c r="BP139" s="59">
        <v>0.41549999999999998</v>
      </c>
      <c r="BQ139" s="59">
        <v>0.21160000000000001</v>
      </c>
      <c r="BR139" s="59">
        <v>0</v>
      </c>
      <c r="BS139" s="59">
        <v>1.0200000000000001E-2</v>
      </c>
      <c r="BT139" s="49">
        <v>10.8</v>
      </c>
      <c r="BU139" s="59">
        <f t="shared" si="12"/>
        <v>0.63729999999999998</v>
      </c>
      <c r="BV139" s="59">
        <v>3.7199999999999997E-2</v>
      </c>
      <c r="BW139" s="59">
        <v>5.1000000000000004E-3</v>
      </c>
      <c r="BX139" s="59">
        <v>3.0599999999999999E-2</v>
      </c>
      <c r="BY139" s="59">
        <v>0</v>
      </c>
      <c r="BZ139" s="59">
        <v>5.1000000000000004E-3</v>
      </c>
      <c r="CA139" s="49">
        <v>13.9</v>
      </c>
      <c r="CB139" s="59">
        <f t="shared" si="13"/>
        <v>7.7999999999999986E-2</v>
      </c>
      <c r="CC139" s="59">
        <v>0.2437</v>
      </c>
      <c r="CD139" s="125">
        <v>0.45789999999999997</v>
      </c>
      <c r="CE139" s="125">
        <v>0.28310000000000002</v>
      </c>
      <c r="CF139" s="125">
        <v>0</v>
      </c>
      <c r="CG139" s="125">
        <v>1.5299999999999999E-2</v>
      </c>
      <c r="CH139" s="85">
        <v>11.2</v>
      </c>
      <c r="CI139" s="39" t="s">
        <v>244</v>
      </c>
      <c r="CJ139" s="18" t="s">
        <v>80</v>
      </c>
      <c r="CK139" s="20"/>
    </row>
    <row r="140" spans="1:99" x14ac:dyDescent="0.25">
      <c r="A140" s="18" t="s">
        <v>80</v>
      </c>
      <c r="B140" s="19" t="s">
        <v>240</v>
      </c>
      <c r="C140" s="39" t="s">
        <v>245</v>
      </c>
      <c r="D140" s="40">
        <v>57</v>
      </c>
      <c r="E140" s="40" t="s">
        <v>83</v>
      </c>
      <c r="F140" s="40">
        <v>57</v>
      </c>
      <c r="G140" s="162" t="s">
        <v>83</v>
      </c>
      <c r="H140" s="162" t="s">
        <v>83</v>
      </c>
      <c r="I140" s="166">
        <v>0</v>
      </c>
      <c r="J140" s="166">
        <v>16</v>
      </c>
      <c r="K140" s="166">
        <v>19</v>
      </c>
      <c r="L140" s="166">
        <v>9</v>
      </c>
      <c r="M140" s="166">
        <v>13</v>
      </c>
      <c r="N140" s="119">
        <v>6.2637362637362595E-2</v>
      </c>
      <c r="O140" s="119">
        <v>6.2637362637362595E-2</v>
      </c>
      <c r="P140" s="116" t="s">
        <v>83</v>
      </c>
      <c r="Q140" s="116" t="s">
        <v>83</v>
      </c>
      <c r="R140" s="119">
        <v>0</v>
      </c>
      <c r="S140" s="119">
        <v>5.69395017793594E-2</v>
      </c>
      <c r="T140" s="119">
        <v>8.8785046728972E-2</v>
      </c>
      <c r="U140" s="119">
        <v>4.1474654377880199E-2</v>
      </c>
      <c r="V140" s="119">
        <v>7.8313253012048195E-2</v>
      </c>
      <c r="W140" s="40">
        <v>762</v>
      </c>
      <c r="X140" s="40">
        <f t="shared" si="10"/>
        <v>762</v>
      </c>
      <c r="Y140" s="40">
        <f t="shared" si="11"/>
        <v>762</v>
      </c>
      <c r="Z140" s="105">
        <v>0.47899999999999998</v>
      </c>
      <c r="AA140" s="105">
        <v>0.52100000000000002</v>
      </c>
      <c r="AB140" s="106">
        <v>0</v>
      </c>
      <c r="AC140" s="106">
        <f>3/762</f>
        <v>3.937007874015748E-3</v>
      </c>
      <c r="AD140" s="106">
        <f>706/762</f>
        <v>0.92650918635170598</v>
      </c>
      <c r="AE140" s="106">
        <f>3/762</f>
        <v>3.937007874015748E-3</v>
      </c>
      <c r="AF140" s="106">
        <v>0</v>
      </c>
      <c r="AG140" s="106">
        <f>47/762</f>
        <v>6.1679790026246718E-2</v>
      </c>
      <c r="AH140" s="106">
        <f>3/762</f>
        <v>3.937007874015748E-3</v>
      </c>
      <c r="AI140" s="106">
        <f>715/762</f>
        <v>0.93832020997375332</v>
      </c>
      <c r="AJ140" s="105">
        <v>0.8241469816272966</v>
      </c>
      <c r="AK140" s="105">
        <v>1E-3</v>
      </c>
      <c r="AL140" s="12">
        <v>0</v>
      </c>
      <c r="AM140" s="12">
        <v>0</v>
      </c>
      <c r="AN140" s="12">
        <v>28</v>
      </c>
      <c r="AO140" s="12">
        <v>212</v>
      </c>
      <c r="AP140" s="12">
        <v>181</v>
      </c>
      <c r="AQ140" s="12">
        <v>194</v>
      </c>
      <c r="AR140" s="12">
        <v>147</v>
      </c>
      <c r="AS140" s="59">
        <v>0.11666666666666667</v>
      </c>
      <c r="AT140" s="3">
        <v>9</v>
      </c>
      <c r="AU140" s="3">
        <v>6</v>
      </c>
      <c r="AV140" s="54">
        <v>65.706806282722525</v>
      </c>
      <c r="AW140" s="54">
        <v>25.654450261780106</v>
      </c>
      <c r="AX140" s="54">
        <v>8.1151832460732987</v>
      </c>
      <c r="AY140" s="68">
        <v>0.52356020942408377</v>
      </c>
      <c r="AZ140" s="59">
        <v>0.26507394766780434</v>
      </c>
      <c r="BA140" s="59">
        <v>0.13538111490329921</v>
      </c>
      <c r="BB140" s="76">
        <v>89.088010919628303</v>
      </c>
      <c r="BC140" s="49">
        <v>40.9924487594391</v>
      </c>
      <c r="BD140" s="90" t="s">
        <v>83</v>
      </c>
      <c r="BE140" s="90" t="s">
        <v>83</v>
      </c>
      <c r="BF140" s="49">
        <v>25.5</v>
      </c>
      <c r="BG140" s="49">
        <v>13.1</v>
      </c>
      <c r="BH140" s="49">
        <v>11.8</v>
      </c>
      <c r="BI140" s="49">
        <v>3.4</v>
      </c>
      <c r="BJ140" s="85">
        <v>16.600000000000001</v>
      </c>
      <c r="BK140" s="129">
        <v>11847</v>
      </c>
      <c r="BL140" s="129">
        <v>47947</v>
      </c>
      <c r="BM140" s="129">
        <v>43169</v>
      </c>
      <c r="BN140" s="129">
        <v>40616</v>
      </c>
      <c r="BO140" s="59">
        <v>0</v>
      </c>
      <c r="BP140" s="59">
        <v>0.38150000000000001</v>
      </c>
      <c r="BQ140" s="59">
        <v>0.1192</v>
      </c>
      <c r="BR140" s="59">
        <v>0</v>
      </c>
      <c r="BS140" s="59">
        <v>0</v>
      </c>
      <c r="BT140" s="49">
        <v>8.1</v>
      </c>
      <c r="BU140" s="59">
        <f t="shared" si="12"/>
        <v>0.50070000000000003</v>
      </c>
      <c r="BV140" s="59">
        <v>7.3200000000000001E-2</v>
      </c>
      <c r="BW140" s="59">
        <v>0</v>
      </c>
      <c r="BX140" s="59">
        <v>4.5900000000000003E-2</v>
      </c>
      <c r="BY140" s="59">
        <v>0</v>
      </c>
      <c r="BZ140" s="59">
        <v>0</v>
      </c>
      <c r="CA140" s="49">
        <v>15.5</v>
      </c>
      <c r="CB140" s="59">
        <f t="shared" si="13"/>
        <v>0.11910000000000001</v>
      </c>
      <c r="CC140" s="59">
        <v>0.31969999999999998</v>
      </c>
      <c r="CD140" s="125">
        <v>0.42280000000000001</v>
      </c>
      <c r="CE140" s="125">
        <v>0.24709999999999999</v>
      </c>
      <c r="CF140" s="125">
        <v>0</v>
      </c>
      <c r="CG140" s="125">
        <v>1.0500000000000001E-2</v>
      </c>
      <c r="CH140" s="85">
        <v>9.1999999999999993</v>
      </c>
      <c r="CI140" s="39" t="s">
        <v>245</v>
      </c>
      <c r="CJ140" s="18" t="s">
        <v>80</v>
      </c>
      <c r="CK140" s="20"/>
    </row>
    <row r="141" spans="1:99" x14ac:dyDescent="0.25">
      <c r="A141" s="18" t="s">
        <v>80</v>
      </c>
      <c r="B141" s="19" t="s">
        <v>240</v>
      </c>
      <c r="C141" s="39" t="s">
        <v>246</v>
      </c>
      <c r="D141" s="40">
        <v>1</v>
      </c>
      <c r="E141" s="40" t="s">
        <v>83</v>
      </c>
      <c r="F141" s="40">
        <v>1</v>
      </c>
      <c r="G141" s="162" t="s">
        <v>83</v>
      </c>
      <c r="H141" s="162" t="s">
        <v>83</v>
      </c>
      <c r="I141" s="162" t="s">
        <v>83</v>
      </c>
      <c r="J141" s="166">
        <v>0</v>
      </c>
      <c r="K141" s="166">
        <v>0</v>
      </c>
      <c r="L141" s="166">
        <v>0</v>
      </c>
      <c r="M141" s="166">
        <v>1</v>
      </c>
      <c r="N141" s="119">
        <v>3.7313432835820899E-3</v>
      </c>
      <c r="O141" s="119">
        <v>3.7313432835820899E-3</v>
      </c>
      <c r="P141" s="116" t="s">
        <v>83</v>
      </c>
      <c r="Q141" s="116" t="s">
        <v>83</v>
      </c>
      <c r="R141" s="116" t="s">
        <v>83</v>
      </c>
      <c r="S141" s="119">
        <v>0</v>
      </c>
      <c r="T141" s="119">
        <v>0</v>
      </c>
      <c r="U141" s="119">
        <v>0</v>
      </c>
      <c r="V141" s="119">
        <v>1.8181818181818198E-2</v>
      </c>
      <c r="W141" s="40">
        <v>260</v>
      </c>
      <c r="X141" s="40">
        <f t="shared" si="10"/>
        <v>260</v>
      </c>
      <c r="Y141" s="40">
        <f t="shared" si="11"/>
        <v>260</v>
      </c>
      <c r="Z141" s="105">
        <v>0.52700000000000002</v>
      </c>
      <c r="AA141" s="105">
        <v>0.47299999999999998</v>
      </c>
      <c r="AB141" s="106">
        <f>1/260</f>
        <v>3.8461538461538464E-3</v>
      </c>
      <c r="AC141" s="106">
        <f>10/260</f>
        <v>3.8461538461538464E-2</v>
      </c>
      <c r="AD141" s="106">
        <f>69/260</f>
        <v>0.26538461538461539</v>
      </c>
      <c r="AE141" s="106">
        <f>11/260</f>
        <v>4.230769230769231E-2</v>
      </c>
      <c r="AF141" s="106">
        <v>0</v>
      </c>
      <c r="AG141" s="106">
        <f>167/260</f>
        <v>0.64230769230769236</v>
      </c>
      <c r="AH141" s="106">
        <f>2/260</f>
        <v>7.6923076923076927E-3</v>
      </c>
      <c r="AI141" s="106">
        <f>93/260</f>
        <v>0.3576923076923077</v>
      </c>
      <c r="AJ141" s="105">
        <v>0.38846153846153847</v>
      </c>
      <c r="AK141" s="105">
        <v>0</v>
      </c>
      <c r="AL141" s="12">
        <v>0</v>
      </c>
      <c r="AM141" s="12">
        <v>0</v>
      </c>
      <c r="AN141" s="12">
        <v>0</v>
      </c>
      <c r="AO141" s="12">
        <v>76</v>
      </c>
      <c r="AP141" s="12">
        <v>74</v>
      </c>
      <c r="AQ141" s="12">
        <v>57</v>
      </c>
      <c r="AR141" s="12">
        <v>53</v>
      </c>
      <c r="AS141" s="59">
        <v>0</v>
      </c>
      <c r="AT141" s="3">
        <v>9</v>
      </c>
      <c r="AU141" s="3">
        <v>8</v>
      </c>
      <c r="AV141" s="54">
        <v>64.393939393939391</v>
      </c>
      <c r="AW141" s="54">
        <v>20.454545454545457</v>
      </c>
      <c r="AX141" s="54">
        <v>9.0909090909090917</v>
      </c>
      <c r="AY141" s="68">
        <v>6.0606060606060606</v>
      </c>
      <c r="AZ141" s="61">
        <v>0</v>
      </c>
      <c r="BA141" s="59">
        <v>2.3660731755038154E-2</v>
      </c>
      <c r="BB141" s="81">
        <v>96</v>
      </c>
      <c r="BC141" s="49">
        <v>2.62172284644195</v>
      </c>
      <c r="BD141" s="90" t="s">
        <v>83</v>
      </c>
      <c r="BE141" s="90" t="s">
        <v>83</v>
      </c>
      <c r="BF141" s="49">
        <v>1.4</v>
      </c>
      <c r="BG141" s="49">
        <v>0</v>
      </c>
      <c r="BH141" s="49">
        <v>0</v>
      </c>
      <c r="BI141" s="49">
        <v>0</v>
      </c>
      <c r="BJ141" s="85">
        <v>22.8</v>
      </c>
      <c r="BK141" s="129">
        <v>5943</v>
      </c>
      <c r="BL141" s="129">
        <v>46075</v>
      </c>
      <c r="BM141" s="129">
        <v>57815</v>
      </c>
      <c r="BN141" s="129">
        <v>49656</v>
      </c>
      <c r="BO141" s="59">
        <v>0</v>
      </c>
      <c r="BP141" s="59">
        <v>0.44440000000000002</v>
      </c>
      <c r="BQ141" s="59">
        <v>0.22220000000000001</v>
      </c>
      <c r="BR141" s="59">
        <v>0</v>
      </c>
      <c r="BS141" s="59">
        <v>0</v>
      </c>
      <c r="BT141" s="49">
        <v>7.7</v>
      </c>
      <c r="BU141" s="59">
        <f t="shared" si="12"/>
        <v>0.66660000000000008</v>
      </c>
      <c r="BV141" s="59">
        <v>0.1111</v>
      </c>
      <c r="BW141" s="59">
        <v>0</v>
      </c>
      <c r="BX141" s="59">
        <v>0.1111</v>
      </c>
      <c r="BY141" s="59">
        <v>0</v>
      </c>
      <c r="BZ141" s="59">
        <v>0</v>
      </c>
      <c r="CA141" s="49">
        <v>28.5</v>
      </c>
      <c r="CB141" s="59">
        <f t="shared" si="13"/>
        <v>0.22220000000000001</v>
      </c>
      <c r="CC141" s="59">
        <v>0.1111</v>
      </c>
      <c r="CD141" s="125">
        <v>0.44440000000000002</v>
      </c>
      <c r="CE141" s="125">
        <v>0.44440000000000002</v>
      </c>
      <c r="CF141" s="125">
        <v>0</v>
      </c>
      <c r="CG141" s="125">
        <v>0</v>
      </c>
      <c r="CH141" s="85">
        <v>11.4</v>
      </c>
      <c r="CI141" s="39" t="s">
        <v>246</v>
      </c>
      <c r="CJ141" s="18" t="s">
        <v>80</v>
      </c>
      <c r="CK141" s="20"/>
    </row>
    <row r="142" spans="1:99" x14ac:dyDescent="0.25">
      <c r="A142" s="18" t="s">
        <v>80</v>
      </c>
      <c r="B142" s="19" t="s">
        <v>240</v>
      </c>
      <c r="C142" s="39" t="s">
        <v>247</v>
      </c>
      <c r="D142" s="40">
        <v>7</v>
      </c>
      <c r="E142" s="40">
        <v>1</v>
      </c>
      <c r="F142" s="40">
        <v>6</v>
      </c>
      <c r="G142" s="166">
        <v>0</v>
      </c>
      <c r="H142" s="166">
        <v>1</v>
      </c>
      <c r="I142" s="162">
        <v>1</v>
      </c>
      <c r="J142" s="166">
        <v>2</v>
      </c>
      <c r="K142" s="166">
        <v>1</v>
      </c>
      <c r="L142" s="166">
        <v>2</v>
      </c>
      <c r="M142" s="166">
        <v>0</v>
      </c>
      <c r="N142" s="119">
        <v>1.1475409836065599E-2</v>
      </c>
      <c r="O142" s="119">
        <v>1.8633540372670801E-2</v>
      </c>
      <c r="P142" s="119">
        <v>0</v>
      </c>
      <c r="Q142" s="119">
        <v>7.2463768115942004E-3</v>
      </c>
      <c r="R142" s="116">
        <v>1</v>
      </c>
      <c r="S142" s="119">
        <v>1.5267175572519101E-2</v>
      </c>
      <c r="T142" s="119">
        <v>1.3698630136986301E-2</v>
      </c>
      <c r="U142" s="119">
        <v>3.03030303030303E-2</v>
      </c>
      <c r="V142" s="119">
        <v>0</v>
      </c>
      <c r="W142" s="40">
        <v>746</v>
      </c>
      <c r="X142" s="40">
        <f t="shared" si="10"/>
        <v>314</v>
      </c>
      <c r="Y142" s="40">
        <f t="shared" si="11"/>
        <v>598</v>
      </c>
      <c r="Z142" s="105">
        <v>0.47199999999999998</v>
      </c>
      <c r="AA142" s="105">
        <v>0.52800000000000002</v>
      </c>
      <c r="AB142" s="106">
        <v>0</v>
      </c>
      <c r="AC142" s="106">
        <f>15/746</f>
        <v>2.0107238605898123E-2</v>
      </c>
      <c r="AD142" s="106">
        <f>297/746</f>
        <v>0.39812332439678283</v>
      </c>
      <c r="AE142" s="106">
        <f>16/746</f>
        <v>2.1447721179624665E-2</v>
      </c>
      <c r="AF142" s="106">
        <v>0</v>
      </c>
      <c r="AG142" s="106">
        <f>409/746</f>
        <v>0.54825737265415553</v>
      </c>
      <c r="AH142" s="106">
        <f>9/746</f>
        <v>1.2064343163538873E-2</v>
      </c>
      <c r="AI142" s="106">
        <f>337/746</f>
        <v>0.45174262734584453</v>
      </c>
      <c r="AJ142" s="105">
        <v>0.50804289544235925</v>
      </c>
      <c r="AK142" s="105">
        <v>1E-3</v>
      </c>
      <c r="AL142" s="12">
        <v>149</v>
      </c>
      <c r="AM142" s="12">
        <v>135</v>
      </c>
      <c r="AN142" s="12">
        <v>1</v>
      </c>
      <c r="AO142" s="12">
        <v>128</v>
      </c>
      <c r="AP142" s="12">
        <v>71</v>
      </c>
      <c r="AQ142" s="12">
        <v>64</v>
      </c>
      <c r="AR142" s="12">
        <v>50</v>
      </c>
      <c r="AS142" s="59">
        <v>7.7519379844961239E-3</v>
      </c>
      <c r="AT142" s="3">
        <v>6</v>
      </c>
      <c r="AU142" s="3">
        <v>7</v>
      </c>
      <c r="AV142" s="54">
        <v>50.836120401337794</v>
      </c>
      <c r="AW142" s="54">
        <v>18.060200668896321</v>
      </c>
      <c r="AX142" s="54">
        <v>26.086956521739129</v>
      </c>
      <c r="AY142" s="68">
        <v>5.0167224080267561</v>
      </c>
      <c r="AZ142" s="59">
        <v>0.123342175066313</v>
      </c>
      <c r="BA142" s="59">
        <v>7.9575596816976124E-2</v>
      </c>
      <c r="BB142" s="81">
        <v>96</v>
      </c>
      <c r="BC142" s="49">
        <v>15.963060686015799</v>
      </c>
      <c r="BD142" s="49">
        <v>1.4</v>
      </c>
      <c r="BE142" s="49">
        <v>2.4</v>
      </c>
      <c r="BF142" s="49">
        <v>4.0999999999999996</v>
      </c>
      <c r="BG142" s="49">
        <v>1.5</v>
      </c>
      <c r="BH142" s="49">
        <v>1.8</v>
      </c>
      <c r="BI142" s="49">
        <v>0</v>
      </c>
      <c r="BJ142" s="85">
        <v>18</v>
      </c>
      <c r="BK142" s="129">
        <v>9607</v>
      </c>
      <c r="BL142" s="129">
        <v>47596</v>
      </c>
      <c r="BM142" s="129">
        <v>36776</v>
      </c>
      <c r="BN142" s="129">
        <v>42514</v>
      </c>
      <c r="BO142" s="59">
        <v>0</v>
      </c>
      <c r="BP142" s="59">
        <v>0.4461</v>
      </c>
      <c r="BQ142" s="59">
        <v>0.16</v>
      </c>
      <c r="BR142" s="59">
        <v>1.46E-2</v>
      </c>
      <c r="BS142" s="59">
        <v>0</v>
      </c>
      <c r="BT142" s="49">
        <v>6.7</v>
      </c>
      <c r="BU142" s="59">
        <f t="shared" si="12"/>
        <v>0.62069999999999992</v>
      </c>
      <c r="BV142" s="59">
        <v>7.1999999999999995E-2</v>
      </c>
      <c r="BW142" s="59">
        <v>0</v>
      </c>
      <c r="BX142" s="59">
        <v>4.3799999999999999E-2</v>
      </c>
      <c r="BY142" s="59">
        <v>0</v>
      </c>
      <c r="BZ142" s="59">
        <v>0</v>
      </c>
      <c r="CA142" s="49">
        <v>8.1999999999999993</v>
      </c>
      <c r="CB142" s="59">
        <f t="shared" si="13"/>
        <v>0.11579999999999999</v>
      </c>
      <c r="CC142" s="59">
        <v>0.23380000000000001</v>
      </c>
      <c r="CD142" s="125">
        <v>0.47520000000000001</v>
      </c>
      <c r="CE142" s="125">
        <v>0.27639999999999998</v>
      </c>
      <c r="CF142" s="125">
        <v>1.46E-2</v>
      </c>
      <c r="CG142" s="125">
        <v>0</v>
      </c>
      <c r="CH142" s="85">
        <v>7.8</v>
      </c>
      <c r="CI142" s="39" t="s">
        <v>247</v>
      </c>
      <c r="CJ142" s="18" t="s">
        <v>80</v>
      </c>
      <c r="CK142" s="20"/>
    </row>
    <row r="143" spans="1:99" x14ac:dyDescent="0.25">
      <c r="A143" s="18" t="s">
        <v>80</v>
      </c>
      <c r="B143" s="19" t="s">
        <v>248</v>
      </c>
      <c r="C143" s="39" t="s">
        <v>249</v>
      </c>
      <c r="D143" s="40">
        <v>16</v>
      </c>
      <c r="E143" s="40">
        <v>0</v>
      </c>
      <c r="F143" s="40">
        <v>16</v>
      </c>
      <c r="G143" s="162" t="s">
        <v>83</v>
      </c>
      <c r="H143" s="166">
        <v>0</v>
      </c>
      <c r="I143" s="166">
        <v>0</v>
      </c>
      <c r="J143" s="166">
        <v>3</v>
      </c>
      <c r="K143" s="166">
        <v>2</v>
      </c>
      <c r="L143" s="166">
        <v>4</v>
      </c>
      <c r="M143" s="166">
        <v>7</v>
      </c>
      <c r="N143" s="119">
        <v>1.1142061281337001E-2</v>
      </c>
      <c r="O143" s="119">
        <v>1.1165387299371899E-2</v>
      </c>
      <c r="P143" s="116" t="s">
        <v>83</v>
      </c>
      <c r="Q143" s="119">
        <v>0</v>
      </c>
      <c r="R143" s="119">
        <v>0</v>
      </c>
      <c r="S143" s="119">
        <v>7.0588235294117702E-3</v>
      </c>
      <c r="T143" s="119">
        <v>5.5096418732782397E-3</v>
      </c>
      <c r="U143" s="119">
        <v>1.30293159609121E-2</v>
      </c>
      <c r="V143" s="119">
        <v>2.3102310231023101E-2</v>
      </c>
      <c r="W143" s="40">
        <v>1340</v>
      </c>
      <c r="X143" s="40">
        <f t="shared" si="10"/>
        <v>1338</v>
      </c>
      <c r="Y143" s="40">
        <f t="shared" si="11"/>
        <v>1340</v>
      </c>
      <c r="Z143" s="105">
        <v>0.496</v>
      </c>
      <c r="AA143" s="105">
        <v>0.505</v>
      </c>
      <c r="AB143" s="106">
        <f>39/1340</f>
        <v>2.9104477611940297E-2</v>
      </c>
      <c r="AC143" s="106">
        <f>6/1340</f>
        <v>4.4776119402985077E-3</v>
      </c>
      <c r="AD143" s="106">
        <f>227/1340</f>
        <v>0.16940298507462687</v>
      </c>
      <c r="AE143" s="106">
        <f>46/1340</f>
        <v>3.4328358208955224E-2</v>
      </c>
      <c r="AF143" s="106">
        <v>0</v>
      </c>
      <c r="AG143" s="106">
        <f>990/1340</f>
        <v>0.73880597014925375</v>
      </c>
      <c r="AH143" s="106">
        <f>32/1340</f>
        <v>2.3880597014925373E-2</v>
      </c>
      <c r="AI143" s="106">
        <f>350/1340</f>
        <v>0.26119402985074625</v>
      </c>
      <c r="AJ143" s="105">
        <v>0.48880597014925375</v>
      </c>
      <c r="AK143" s="105">
        <v>7.0000000000000001E-3</v>
      </c>
      <c r="AL143" s="12">
        <v>0</v>
      </c>
      <c r="AM143" s="12">
        <v>2</v>
      </c>
      <c r="AN143" s="12">
        <v>42</v>
      </c>
      <c r="AO143" s="12">
        <v>376</v>
      </c>
      <c r="AP143" s="12">
        <v>346</v>
      </c>
      <c r="AQ143" s="12">
        <v>307</v>
      </c>
      <c r="AR143" s="12">
        <v>267</v>
      </c>
      <c r="AS143" s="59">
        <v>0.10047846889952153</v>
      </c>
      <c r="AT143" s="3">
        <v>8</v>
      </c>
      <c r="AU143" s="3">
        <v>6</v>
      </c>
      <c r="AV143" s="54">
        <v>36.761487964989058</v>
      </c>
      <c r="AW143" s="54">
        <v>28.88402625820569</v>
      </c>
      <c r="AX143" s="54">
        <v>33.041575492341359</v>
      </c>
      <c r="AY143" s="68">
        <v>1.3129102844638949</v>
      </c>
      <c r="AZ143" s="59">
        <v>0.33497191011235955</v>
      </c>
      <c r="BA143" s="59">
        <v>7.3735955056179775E-2</v>
      </c>
      <c r="BB143" s="76">
        <v>92.443759044704706</v>
      </c>
      <c r="BC143" s="49">
        <v>29.473684210526301</v>
      </c>
      <c r="BD143" s="90" t="s">
        <v>83</v>
      </c>
      <c r="BE143" s="90" t="s">
        <v>83</v>
      </c>
      <c r="BF143" s="49">
        <v>6.4</v>
      </c>
      <c r="BG143" s="49">
        <v>12.6</v>
      </c>
      <c r="BH143" s="49">
        <v>1.8</v>
      </c>
      <c r="BI143" s="49">
        <v>2.7</v>
      </c>
      <c r="BJ143" s="85">
        <v>19.2</v>
      </c>
      <c r="BK143" s="129">
        <v>9151</v>
      </c>
      <c r="BL143" s="129">
        <v>45649</v>
      </c>
      <c r="BM143" s="129">
        <v>49531</v>
      </c>
      <c r="BN143" s="129">
        <v>39491</v>
      </c>
      <c r="BO143" s="59">
        <v>8.2000000000000007E-3</v>
      </c>
      <c r="BP143" s="59">
        <v>0.33900000000000002</v>
      </c>
      <c r="BQ143" s="59">
        <v>0.1895</v>
      </c>
      <c r="BR143" s="59">
        <v>0</v>
      </c>
      <c r="BS143" s="59">
        <v>8.2000000000000007E-3</v>
      </c>
      <c r="BT143" s="49">
        <v>10.4</v>
      </c>
      <c r="BU143" s="59">
        <f t="shared" si="12"/>
        <v>0.54489999999999994</v>
      </c>
      <c r="BV143" s="59">
        <v>4.1099999999999998E-2</v>
      </c>
      <c r="BW143" s="59">
        <v>0</v>
      </c>
      <c r="BX143" s="59">
        <v>4.1099999999999998E-2</v>
      </c>
      <c r="BY143" s="59">
        <v>0</v>
      </c>
      <c r="BZ143" s="59">
        <v>0</v>
      </c>
      <c r="CA143" s="49">
        <v>19.100000000000001</v>
      </c>
      <c r="CB143" s="59">
        <f t="shared" si="13"/>
        <v>8.2199999999999995E-2</v>
      </c>
      <c r="CC143" s="59">
        <v>0.30890000000000001</v>
      </c>
      <c r="CD143" s="125">
        <v>0.38840000000000002</v>
      </c>
      <c r="CE143" s="125">
        <v>0.29449999999999998</v>
      </c>
      <c r="CF143" s="125">
        <v>0</v>
      </c>
      <c r="CG143" s="125">
        <v>8.2000000000000007E-3</v>
      </c>
      <c r="CH143" s="85">
        <v>11.4</v>
      </c>
      <c r="CI143" s="39" t="s">
        <v>249</v>
      </c>
      <c r="CJ143" s="18" t="s">
        <v>80</v>
      </c>
      <c r="CK143" s="20"/>
    </row>
    <row r="144" spans="1:99" x14ac:dyDescent="0.25">
      <c r="A144" s="18" t="s">
        <v>80</v>
      </c>
      <c r="B144" s="19" t="s">
        <v>248</v>
      </c>
      <c r="C144" s="39" t="s">
        <v>250</v>
      </c>
      <c r="D144" s="40">
        <v>9</v>
      </c>
      <c r="E144" s="40">
        <v>0</v>
      </c>
      <c r="F144" s="40">
        <v>9</v>
      </c>
      <c r="G144" s="162" t="s">
        <v>83</v>
      </c>
      <c r="H144" s="166">
        <v>0</v>
      </c>
      <c r="I144" s="166">
        <v>0</v>
      </c>
      <c r="J144" s="166">
        <v>0</v>
      </c>
      <c r="K144" s="166">
        <v>2</v>
      </c>
      <c r="L144" s="166">
        <v>1</v>
      </c>
      <c r="M144" s="166">
        <v>6</v>
      </c>
      <c r="N144" s="119">
        <v>7.5821398483572004E-3</v>
      </c>
      <c r="O144" s="119">
        <v>7.6595744680851103E-3</v>
      </c>
      <c r="P144" s="116" t="s">
        <v>83</v>
      </c>
      <c r="Q144" s="119">
        <v>0</v>
      </c>
      <c r="R144" s="119">
        <v>0</v>
      </c>
      <c r="S144" s="119">
        <v>0</v>
      </c>
      <c r="T144" s="119">
        <v>7.2992700729926996E-3</v>
      </c>
      <c r="U144" s="119">
        <v>3.6900369003690001E-3</v>
      </c>
      <c r="V144" s="119">
        <v>2.2304832713754601E-2</v>
      </c>
      <c r="W144" s="40">
        <v>1124</v>
      </c>
      <c r="X144" s="40">
        <f t="shared" si="10"/>
        <v>1112</v>
      </c>
      <c r="Y144" s="40">
        <f t="shared" si="11"/>
        <v>1124</v>
      </c>
      <c r="Z144" s="105">
        <v>0.49199999999999999</v>
      </c>
      <c r="AA144" s="105">
        <v>0.50800000000000001</v>
      </c>
      <c r="AB144" s="106">
        <f>93/1124</f>
        <v>8.274021352313167E-2</v>
      </c>
      <c r="AC144" s="106">
        <f>21/1124</f>
        <v>1.8683274021352312E-2</v>
      </c>
      <c r="AD144" s="106">
        <f>43/1124</f>
        <v>3.8256227758007119E-2</v>
      </c>
      <c r="AE144" s="106">
        <f>94/1124</f>
        <v>8.3629893238434158E-2</v>
      </c>
      <c r="AF144" s="106">
        <v>0</v>
      </c>
      <c r="AG144" s="106">
        <f>840/1124</f>
        <v>0.74733096085409256</v>
      </c>
      <c r="AH144" s="106">
        <f>33/1124</f>
        <v>2.9359430604982206E-2</v>
      </c>
      <c r="AI144" s="106">
        <f>284/1124</f>
        <v>0.25266903914590749</v>
      </c>
      <c r="AJ144" s="105">
        <v>0.45996441281138789</v>
      </c>
      <c r="AK144" s="105">
        <v>2.1000000000000001E-2</v>
      </c>
      <c r="AL144" s="12">
        <v>0</v>
      </c>
      <c r="AM144" s="12">
        <v>12</v>
      </c>
      <c r="AN144" s="12">
        <v>38</v>
      </c>
      <c r="AO144" s="12">
        <v>304</v>
      </c>
      <c r="AP144" s="12">
        <v>259</v>
      </c>
      <c r="AQ144" s="12">
        <v>258</v>
      </c>
      <c r="AR144" s="12">
        <v>253</v>
      </c>
      <c r="AS144" s="59">
        <v>0.1111111111111111</v>
      </c>
      <c r="AT144" s="3">
        <v>8</v>
      </c>
      <c r="AU144" s="3">
        <v>6</v>
      </c>
      <c r="AV144" s="54">
        <v>56.399132321041215</v>
      </c>
      <c r="AW144" s="54">
        <v>22.559652928416483</v>
      </c>
      <c r="AX144" s="54">
        <v>19.522776572668114</v>
      </c>
      <c r="AY144" s="68">
        <v>1.5184381778741864</v>
      </c>
      <c r="AZ144" s="59">
        <v>0.19679054054054054</v>
      </c>
      <c r="BA144" s="59">
        <v>0.05</v>
      </c>
      <c r="BB144" s="77">
        <v>91.551641463871405</v>
      </c>
      <c r="BC144" s="49">
        <v>35.2742616033755</v>
      </c>
      <c r="BD144" s="90" t="s">
        <v>83</v>
      </c>
      <c r="BE144" s="90" t="s">
        <v>83</v>
      </c>
      <c r="BF144" s="49">
        <v>10.1</v>
      </c>
      <c r="BG144" s="49">
        <v>3.5</v>
      </c>
      <c r="BH144" s="49">
        <v>3.7</v>
      </c>
      <c r="BI144" s="49">
        <v>1.2</v>
      </c>
      <c r="BJ144" s="85">
        <v>20.2</v>
      </c>
      <c r="BK144" s="129">
        <v>10272</v>
      </c>
      <c r="BL144" s="129">
        <v>47222</v>
      </c>
      <c r="BM144" s="129">
        <v>50539</v>
      </c>
      <c r="BN144" s="129">
        <v>39406</v>
      </c>
      <c r="BO144" s="59">
        <v>8.3999999999999995E-3</v>
      </c>
      <c r="BP144" s="59">
        <v>0.4214</v>
      </c>
      <c r="BQ144" s="59">
        <v>0.1079</v>
      </c>
      <c r="BR144" s="59">
        <v>0</v>
      </c>
      <c r="BS144" s="59">
        <v>0</v>
      </c>
      <c r="BT144" s="49">
        <v>14.1</v>
      </c>
      <c r="BU144" s="59">
        <f t="shared" si="12"/>
        <v>0.53770000000000007</v>
      </c>
      <c r="BV144" s="59">
        <v>2.7799999999999998E-2</v>
      </c>
      <c r="BW144" s="59">
        <v>8.3999999999999995E-3</v>
      </c>
      <c r="BX144" s="59">
        <v>3.56E-2</v>
      </c>
      <c r="BY144" s="59">
        <v>0</v>
      </c>
      <c r="BZ144" s="59">
        <v>0</v>
      </c>
      <c r="CA144" s="49">
        <v>24.5</v>
      </c>
      <c r="CB144" s="59">
        <f t="shared" si="13"/>
        <v>7.1800000000000003E-2</v>
      </c>
      <c r="CC144" s="59">
        <v>0.34320000000000001</v>
      </c>
      <c r="CD144" s="125">
        <v>0.47149999999999997</v>
      </c>
      <c r="CE144" s="125">
        <v>0.18529999999999999</v>
      </c>
      <c r="CF144" s="125">
        <v>0</v>
      </c>
      <c r="CG144" s="125">
        <v>0</v>
      </c>
      <c r="CH144" s="85">
        <v>14.4</v>
      </c>
      <c r="CI144" s="39" t="s">
        <v>250</v>
      </c>
      <c r="CJ144" s="18" t="s">
        <v>80</v>
      </c>
      <c r="CK144" s="20"/>
    </row>
    <row r="145" spans="1:95" x14ac:dyDescent="0.25">
      <c r="A145" s="18" t="s">
        <v>80</v>
      </c>
      <c r="B145" s="19" t="s">
        <v>248</v>
      </c>
      <c r="C145" s="39" t="s">
        <v>251</v>
      </c>
      <c r="D145" s="40">
        <v>38</v>
      </c>
      <c r="E145" s="40" t="s">
        <v>83</v>
      </c>
      <c r="F145" s="40">
        <v>38</v>
      </c>
      <c r="G145" s="162" t="s">
        <v>83</v>
      </c>
      <c r="H145" s="162" t="s">
        <v>83</v>
      </c>
      <c r="I145" s="166">
        <v>1</v>
      </c>
      <c r="J145" s="166">
        <v>14</v>
      </c>
      <c r="K145" s="166">
        <v>15</v>
      </c>
      <c r="L145" s="166">
        <v>3</v>
      </c>
      <c r="M145" s="166">
        <v>5</v>
      </c>
      <c r="N145" s="119">
        <v>2.5938566552900999E-2</v>
      </c>
      <c r="O145" s="119">
        <v>2.5938566552900999E-2</v>
      </c>
      <c r="P145" s="116" t="s">
        <v>83</v>
      </c>
      <c r="Q145" s="116" t="s">
        <v>83</v>
      </c>
      <c r="R145" s="119">
        <v>4.7619047619047603E-2</v>
      </c>
      <c r="S145" s="119">
        <v>2.8455284552845499E-2</v>
      </c>
      <c r="T145" s="119">
        <v>4.0214477211796197E-2</v>
      </c>
      <c r="U145" s="119">
        <v>9.93377483443709E-3</v>
      </c>
      <c r="V145" s="119">
        <v>1.8050541516245501E-2</v>
      </c>
      <c r="W145" s="40">
        <v>1354</v>
      </c>
      <c r="X145" s="40">
        <f t="shared" si="10"/>
        <v>1354</v>
      </c>
      <c r="Y145" s="40">
        <f t="shared" si="11"/>
        <v>1354</v>
      </c>
      <c r="Z145" s="105">
        <v>0.497</v>
      </c>
      <c r="AA145" s="105">
        <v>0.503</v>
      </c>
      <c r="AB145" s="106">
        <f>12/1354</f>
        <v>8.8626292466765146E-3</v>
      </c>
      <c r="AC145" s="106">
        <f>6/1354</f>
        <v>4.4313146233382573E-3</v>
      </c>
      <c r="AD145" s="106">
        <f>507/1354</f>
        <v>0.37444608567208271</v>
      </c>
      <c r="AE145" s="106">
        <f>27/1354</f>
        <v>1.9940915805022157E-2</v>
      </c>
      <c r="AF145" s="106">
        <v>0</v>
      </c>
      <c r="AG145" s="106">
        <f>778/1354</f>
        <v>0.57459379615952733</v>
      </c>
      <c r="AH145" s="106">
        <f>24/1354</f>
        <v>1.7725258493353029E-2</v>
      </c>
      <c r="AI145" s="106">
        <f>576/1354</f>
        <v>0.42540620384047267</v>
      </c>
      <c r="AJ145" s="105">
        <v>0.57902511078286556</v>
      </c>
      <c r="AK145" s="105">
        <v>4.0000000000000001E-3</v>
      </c>
      <c r="AL145" s="12">
        <v>0</v>
      </c>
      <c r="AM145" s="12">
        <v>0</v>
      </c>
      <c r="AN145" s="12">
        <v>21</v>
      </c>
      <c r="AO145" s="12">
        <v>445</v>
      </c>
      <c r="AP145" s="12">
        <v>347</v>
      </c>
      <c r="AQ145" s="12">
        <v>290</v>
      </c>
      <c r="AR145" s="12">
        <v>251</v>
      </c>
      <c r="AS145" s="59">
        <v>4.5064377682403435E-2</v>
      </c>
      <c r="AT145" s="3">
        <v>9</v>
      </c>
      <c r="AU145" s="3">
        <v>6</v>
      </c>
      <c r="AV145" s="54">
        <v>55.57491289198606</v>
      </c>
      <c r="AW145" s="54">
        <v>26.306620209059233</v>
      </c>
      <c r="AX145" s="54">
        <v>18.118466898954704</v>
      </c>
      <c r="AY145" s="68">
        <v>0</v>
      </c>
      <c r="AZ145" s="59">
        <v>0.33907649896623021</v>
      </c>
      <c r="BA145" s="59">
        <v>0.20813232253618194</v>
      </c>
      <c r="BB145" s="76">
        <v>93.106224433364503</v>
      </c>
      <c r="BC145" s="49">
        <v>32.027491408934701</v>
      </c>
      <c r="BD145" s="90" t="s">
        <v>83</v>
      </c>
      <c r="BE145" s="90" t="s">
        <v>83</v>
      </c>
      <c r="BF145" s="49">
        <v>11.7</v>
      </c>
      <c r="BG145" s="49">
        <v>6.3</v>
      </c>
      <c r="BH145" s="49">
        <v>3.2</v>
      </c>
      <c r="BI145" s="49">
        <v>3.7</v>
      </c>
      <c r="BJ145" s="85">
        <v>19.3</v>
      </c>
      <c r="BK145" s="129">
        <v>10077</v>
      </c>
      <c r="BL145" s="129">
        <v>47224</v>
      </c>
      <c r="BM145" s="129">
        <v>49998</v>
      </c>
      <c r="BN145" s="129">
        <v>39671</v>
      </c>
      <c r="BO145" s="59">
        <v>1.4E-3</v>
      </c>
      <c r="BP145" s="59">
        <v>0.33489999999999998</v>
      </c>
      <c r="BQ145" s="59">
        <v>0.22620000000000001</v>
      </c>
      <c r="BR145" s="59">
        <v>0</v>
      </c>
      <c r="BS145" s="59">
        <v>3.5000000000000001E-3</v>
      </c>
      <c r="BT145" s="49">
        <v>12.9</v>
      </c>
      <c r="BU145" s="59">
        <f t="shared" si="12"/>
        <v>0.56599999999999995</v>
      </c>
      <c r="BV145" s="59">
        <v>3.49E-2</v>
      </c>
      <c r="BW145" s="59">
        <v>0</v>
      </c>
      <c r="BX145" s="59">
        <v>3.49E-2</v>
      </c>
      <c r="BY145" s="59">
        <v>0</v>
      </c>
      <c r="BZ145" s="59">
        <v>0</v>
      </c>
      <c r="CA145" s="49">
        <v>20.3</v>
      </c>
      <c r="CB145" s="59">
        <f t="shared" si="13"/>
        <v>6.9800000000000001E-2</v>
      </c>
      <c r="CC145" s="59">
        <v>0.29980000000000001</v>
      </c>
      <c r="CD145" s="125">
        <v>0.39360000000000001</v>
      </c>
      <c r="CE145" s="125">
        <v>0.30309999999999998</v>
      </c>
      <c r="CF145" s="125">
        <v>0</v>
      </c>
      <c r="CG145" s="125">
        <v>3.5000000000000001E-3</v>
      </c>
      <c r="CH145" s="85">
        <v>13.1</v>
      </c>
      <c r="CI145" s="39" t="s">
        <v>251</v>
      </c>
      <c r="CJ145" s="18" t="s">
        <v>80</v>
      </c>
      <c r="CK145" s="20"/>
    </row>
    <row r="146" spans="1:95" x14ac:dyDescent="0.25">
      <c r="A146" s="18" t="s">
        <v>80</v>
      </c>
      <c r="B146" s="19" t="s">
        <v>252</v>
      </c>
      <c r="C146" s="39" t="s">
        <v>253</v>
      </c>
      <c r="D146" s="40">
        <v>2</v>
      </c>
      <c r="E146" s="40" t="s">
        <v>83</v>
      </c>
      <c r="F146" s="40">
        <v>2</v>
      </c>
      <c r="G146" s="162" t="s">
        <v>83</v>
      </c>
      <c r="H146" s="162" t="s">
        <v>83</v>
      </c>
      <c r="I146" s="162" t="s">
        <v>83</v>
      </c>
      <c r="J146" s="166">
        <v>0</v>
      </c>
      <c r="K146" s="166">
        <v>1</v>
      </c>
      <c r="L146" s="166">
        <v>0</v>
      </c>
      <c r="M146" s="166">
        <v>1</v>
      </c>
      <c r="N146" s="119">
        <v>3.6429872495446301E-3</v>
      </c>
      <c r="O146" s="119">
        <v>3.6429872495446301E-3</v>
      </c>
      <c r="P146" s="116" t="s">
        <v>83</v>
      </c>
      <c r="Q146" s="116" t="s">
        <v>83</v>
      </c>
      <c r="R146" s="116" t="s">
        <v>83</v>
      </c>
      <c r="S146" s="119">
        <v>0</v>
      </c>
      <c r="T146" s="119">
        <v>8.4745762711864406E-3</v>
      </c>
      <c r="U146" s="119">
        <v>0</v>
      </c>
      <c r="V146" s="119">
        <v>9.0090090090090107E-3</v>
      </c>
      <c r="W146" s="40">
        <v>530</v>
      </c>
      <c r="X146" s="40">
        <f t="shared" si="10"/>
        <v>530</v>
      </c>
      <c r="Y146" s="40">
        <f t="shared" si="11"/>
        <v>530</v>
      </c>
      <c r="Z146" s="105">
        <v>0.53200000000000003</v>
      </c>
      <c r="AA146" s="105">
        <v>0.46800000000000003</v>
      </c>
      <c r="AB146" s="106">
        <f>5/530</f>
        <v>9.433962264150943E-3</v>
      </c>
      <c r="AC146" s="106">
        <v>0</v>
      </c>
      <c r="AD146" s="106">
        <f>82/530</f>
        <v>0.15471698113207547</v>
      </c>
      <c r="AE146" s="106">
        <f>6/530</f>
        <v>1.1320754716981131E-2</v>
      </c>
      <c r="AF146" s="106">
        <v>0</v>
      </c>
      <c r="AG146" s="106">
        <f>437/530</f>
        <v>0.82452830188679249</v>
      </c>
      <c r="AH146" s="106">
        <v>0</v>
      </c>
      <c r="AI146" s="106">
        <f>93/530</f>
        <v>0.17547169811320754</v>
      </c>
      <c r="AJ146" s="105">
        <v>0.48301886792452831</v>
      </c>
      <c r="AK146" s="105">
        <v>4.0000000000000001E-3</v>
      </c>
      <c r="AL146" s="12">
        <v>0</v>
      </c>
      <c r="AM146" s="12">
        <v>0</v>
      </c>
      <c r="AN146" s="12">
        <v>0</v>
      </c>
      <c r="AO146" s="12">
        <v>164</v>
      </c>
      <c r="AP146" s="12">
        <v>112</v>
      </c>
      <c r="AQ146" s="12">
        <v>148</v>
      </c>
      <c r="AR146" s="12">
        <v>106</v>
      </c>
      <c r="AS146" s="59">
        <v>0</v>
      </c>
      <c r="AT146" s="3">
        <v>9</v>
      </c>
      <c r="AU146" s="3">
        <v>6</v>
      </c>
      <c r="AV146" s="54">
        <v>72.32472324723247</v>
      </c>
      <c r="AW146" s="54">
        <v>19.926199261992618</v>
      </c>
      <c r="AX146" s="54">
        <v>7.7490774907749085</v>
      </c>
      <c r="AY146" s="68">
        <v>0</v>
      </c>
      <c r="AZ146" s="59">
        <v>0.19525547445255476</v>
      </c>
      <c r="BA146" s="59">
        <v>9.3283582089552237E-4</v>
      </c>
      <c r="BB146" s="76">
        <v>92.881086127691901</v>
      </c>
      <c r="BC146" s="49">
        <v>63.868613138686101</v>
      </c>
      <c r="BD146" s="90" t="s">
        <v>83</v>
      </c>
      <c r="BE146" s="90" t="s">
        <v>83</v>
      </c>
      <c r="BF146" s="49">
        <v>2</v>
      </c>
      <c r="BG146" s="49">
        <v>0</v>
      </c>
      <c r="BH146" s="49">
        <v>1.4</v>
      </c>
      <c r="BI146" s="49">
        <v>1</v>
      </c>
      <c r="BJ146" s="85">
        <v>19</v>
      </c>
      <c r="BK146" s="129">
        <v>9789</v>
      </c>
      <c r="BL146" s="129">
        <v>48664</v>
      </c>
      <c r="BM146" s="129">
        <v>54709</v>
      </c>
      <c r="BN146" s="129">
        <v>42478</v>
      </c>
      <c r="BO146" s="59">
        <v>0</v>
      </c>
      <c r="BP146" s="59">
        <v>0.37140000000000001</v>
      </c>
      <c r="BQ146" s="59">
        <v>0.2661</v>
      </c>
      <c r="BR146" s="59">
        <v>0</v>
      </c>
      <c r="BS146" s="59">
        <v>0</v>
      </c>
      <c r="BT146" s="49">
        <v>11.1</v>
      </c>
      <c r="BU146" s="59">
        <f t="shared" si="12"/>
        <v>0.63749999999999996</v>
      </c>
      <c r="BV146" s="59">
        <v>2.07E-2</v>
      </c>
      <c r="BW146" s="59">
        <v>0</v>
      </c>
      <c r="BX146" s="59">
        <v>5.8900000000000001E-2</v>
      </c>
      <c r="BY146" s="59">
        <v>0</v>
      </c>
      <c r="BZ146" s="59">
        <v>1E-4</v>
      </c>
      <c r="CA146" s="49">
        <v>20.9</v>
      </c>
      <c r="CB146" s="59">
        <f t="shared" si="13"/>
        <v>7.9700000000000007E-2</v>
      </c>
      <c r="CC146" s="59">
        <v>0.25640000000000002</v>
      </c>
      <c r="CD146" s="125">
        <v>0.39729999999999999</v>
      </c>
      <c r="CE146" s="125">
        <v>0.34620000000000001</v>
      </c>
      <c r="CF146" s="125">
        <v>0</v>
      </c>
      <c r="CG146" s="125">
        <v>1E-4</v>
      </c>
      <c r="CH146" s="85">
        <v>11.5</v>
      </c>
      <c r="CI146" s="39" t="s">
        <v>253</v>
      </c>
      <c r="CJ146" s="18" t="s">
        <v>80</v>
      </c>
      <c r="CK146" s="20"/>
    </row>
    <row r="147" spans="1:95" x14ac:dyDescent="0.25">
      <c r="A147" s="18" t="s">
        <v>80</v>
      </c>
      <c r="B147" s="19" t="s">
        <v>252</v>
      </c>
      <c r="C147" s="39" t="s">
        <v>254</v>
      </c>
      <c r="D147" s="40">
        <v>0</v>
      </c>
      <c r="E147" s="40" t="s">
        <v>83</v>
      </c>
      <c r="F147" s="40">
        <v>0</v>
      </c>
      <c r="G147" s="162" t="s">
        <v>83</v>
      </c>
      <c r="H147" s="162" t="s">
        <v>83</v>
      </c>
      <c r="I147" s="162" t="s">
        <v>83</v>
      </c>
      <c r="J147" s="166">
        <v>0</v>
      </c>
      <c r="K147" s="166">
        <v>0</v>
      </c>
      <c r="L147" s="166">
        <v>0</v>
      </c>
      <c r="M147" s="166">
        <v>0</v>
      </c>
      <c r="N147" s="119">
        <v>0</v>
      </c>
      <c r="O147" s="119">
        <v>0</v>
      </c>
      <c r="P147" s="116" t="s">
        <v>83</v>
      </c>
      <c r="Q147" s="116" t="s">
        <v>83</v>
      </c>
      <c r="R147" s="116" t="s">
        <v>83</v>
      </c>
      <c r="S147" s="119">
        <v>0</v>
      </c>
      <c r="T147" s="119">
        <v>0</v>
      </c>
      <c r="U147" s="119">
        <v>0</v>
      </c>
      <c r="V147" s="119">
        <v>0</v>
      </c>
      <c r="W147" s="40">
        <v>220</v>
      </c>
      <c r="X147" s="40">
        <f t="shared" si="10"/>
        <v>220</v>
      </c>
      <c r="Y147" s="40">
        <f t="shared" si="11"/>
        <v>220</v>
      </c>
      <c r="Z147" s="105">
        <v>0.441</v>
      </c>
      <c r="AA147" s="105">
        <v>0.55900000000000005</v>
      </c>
      <c r="AB147" s="106">
        <f>1/220</f>
        <v>4.5454545454545452E-3</v>
      </c>
      <c r="AC147" s="106">
        <f>1/220</f>
        <v>4.5454545454545452E-3</v>
      </c>
      <c r="AD147" s="106">
        <f>8/220</f>
        <v>3.6363636363636362E-2</v>
      </c>
      <c r="AE147" s="106">
        <f>3/220</f>
        <v>1.3636363636363636E-2</v>
      </c>
      <c r="AF147" s="106">
        <v>0</v>
      </c>
      <c r="AG147" s="106">
        <f>207/220</f>
        <v>0.94090909090909092</v>
      </c>
      <c r="AH147" s="106">
        <v>0</v>
      </c>
      <c r="AI147" s="106">
        <f>13/220</f>
        <v>5.909090909090909E-2</v>
      </c>
      <c r="AJ147" s="105">
        <v>0.57727272727272727</v>
      </c>
      <c r="AK147" s="105">
        <v>0</v>
      </c>
      <c r="AL147" s="12">
        <v>0</v>
      </c>
      <c r="AM147" s="12">
        <v>0</v>
      </c>
      <c r="AN147" s="12">
        <v>0</v>
      </c>
      <c r="AO147" s="12">
        <v>73</v>
      </c>
      <c r="AP147" s="12">
        <v>51</v>
      </c>
      <c r="AQ147" s="12">
        <v>47</v>
      </c>
      <c r="AR147" s="12">
        <v>49</v>
      </c>
      <c r="AS147" s="59">
        <v>0</v>
      </c>
      <c r="AT147" s="3">
        <v>9</v>
      </c>
      <c r="AU147" s="3">
        <v>6</v>
      </c>
      <c r="AV147" s="54">
        <v>75.862068965517238</v>
      </c>
      <c r="AW147" s="54">
        <v>20.689655172413794</v>
      </c>
      <c r="AX147" s="54">
        <v>3.4482758620689653</v>
      </c>
      <c r="AY147" s="68">
        <v>0</v>
      </c>
      <c r="AZ147" s="59">
        <v>0.15416666666666667</v>
      </c>
      <c r="BA147" s="59">
        <v>5.2521008403361349E-3</v>
      </c>
      <c r="BB147" s="77">
        <v>92.043168985519102</v>
      </c>
      <c r="BC147" s="49">
        <v>34.5833333333333</v>
      </c>
      <c r="BD147" s="90" t="s">
        <v>83</v>
      </c>
      <c r="BE147" s="90" t="s">
        <v>83</v>
      </c>
      <c r="BF147" s="49">
        <v>0</v>
      </c>
      <c r="BG147" s="49">
        <v>9.1</v>
      </c>
      <c r="BH147" s="49">
        <v>0</v>
      </c>
      <c r="BI147" s="49">
        <v>0</v>
      </c>
      <c r="BJ147" s="85">
        <v>18.3</v>
      </c>
      <c r="BK147" s="129">
        <v>12363</v>
      </c>
      <c r="BL147" s="129">
        <v>50415</v>
      </c>
      <c r="BM147" s="129">
        <v>50414</v>
      </c>
      <c r="BN147" s="129">
        <v>42207</v>
      </c>
      <c r="BO147" s="59">
        <v>0</v>
      </c>
      <c r="BP147" s="59">
        <v>0.36309999999999998</v>
      </c>
      <c r="BQ147" s="59">
        <v>0.2369</v>
      </c>
      <c r="BR147" s="59">
        <v>0</v>
      </c>
      <c r="BS147" s="59">
        <v>0</v>
      </c>
      <c r="BT147" s="49">
        <v>13.7</v>
      </c>
      <c r="BU147" s="59">
        <f t="shared" si="12"/>
        <v>0.6</v>
      </c>
      <c r="BV147" s="59">
        <v>3.4599999999999999E-2</v>
      </c>
      <c r="BW147" s="59">
        <v>0</v>
      </c>
      <c r="BX147" s="59">
        <v>3.4000000000000002E-2</v>
      </c>
      <c r="BY147" s="59">
        <v>0</v>
      </c>
      <c r="BZ147" s="59">
        <v>3.5000000000000003E-2</v>
      </c>
      <c r="CA147" s="49">
        <v>17.399999999999999</v>
      </c>
      <c r="CB147" s="59">
        <f t="shared" si="13"/>
        <v>0.1036</v>
      </c>
      <c r="CC147" s="59">
        <v>0.28699999999999998</v>
      </c>
      <c r="CD147" s="125">
        <v>0.37190000000000001</v>
      </c>
      <c r="CE147" s="125">
        <v>0.30609999999999998</v>
      </c>
      <c r="CF147" s="125">
        <v>0</v>
      </c>
      <c r="CG147" s="125">
        <v>3.5000000000000003E-2</v>
      </c>
      <c r="CH147" s="85">
        <v>13.8</v>
      </c>
      <c r="CI147" s="39" t="s">
        <v>254</v>
      </c>
      <c r="CJ147" s="18" t="s">
        <v>80</v>
      </c>
      <c r="CK147" s="20"/>
    </row>
    <row r="148" spans="1:95" x14ac:dyDescent="0.25">
      <c r="A148" s="18" t="s">
        <v>80</v>
      </c>
      <c r="B148" s="19" t="s">
        <v>255</v>
      </c>
      <c r="C148" s="39" t="s">
        <v>256</v>
      </c>
      <c r="D148" s="40">
        <v>1</v>
      </c>
      <c r="E148" s="40" t="s">
        <v>83</v>
      </c>
      <c r="F148" s="40">
        <v>1</v>
      </c>
      <c r="G148" s="162" t="s">
        <v>83</v>
      </c>
      <c r="H148" s="162" t="s">
        <v>83</v>
      </c>
      <c r="I148" s="166">
        <v>0</v>
      </c>
      <c r="J148" s="166">
        <v>1</v>
      </c>
      <c r="K148" s="166">
        <v>0</v>
      </c>
      <c r="L148" s="166">
        <v>0</v>
      </c>
      <c r="M148" s="166">
        <v>0</v>
      </c>
      <c r="N148" s="119">
        <v>6.9930069930069904E-3</v>
      </c>
      <c r="O148" s="119">
        <v>6.9930069930069904E-3</v>
      </c>
      <c r="P148" s="116" t="s">
        <v>83</v>
      </c>
      <c r="Q148" s="116" t="s">
        <v>83</v>
      </c>
      <c r="R148" s="119">
        <v>0</v>
      </c>
      <c r="S148" s="119">
        <v>3.3333333333333298E-2</v>
      </c>
      <c r="T148" s="119">
        <v>0</v>
      </c>
      <c r="U148" s="119">
        <v>0</v>
      </c>
      <c r="V148" s="119">
        <v>0</v>
      </c>
      <c r="W148" s="40">
        <v>132</v>
      </c>
      <c r="X148" s="40">
        <f t="shared" si="10"/>
        <v>132</v>
      </c>
      <c r="Y148" s="40">
        <f t="shared" si="11"/>
        <v>132</v>
      </c>
      <c r="Z148" s="105">
        <v>0.5</v>
      </c>
      <c r="AA148" s="105">
        <v>0.5</v>
      </c>
      <c r="AB148" s="106">
        <v>0</v>
      </c>
      <c r="AC148" s="106">
        <v>0</v>
      </c>
      <c r="AD148" s="106">
        <f>129/132</f>
        <v>0.97727272727272729</v>
      </c>
      <c r="AE148" s="106">
        <v>0</v>
      </c>
      <c r="AF148" s="106">
        <v>0</v>
      </c>
      <c r="AG148" s="106">
        <f>2/132</f>
        <v>1.5151515151515152E-2</v>
      </c>
      <c r="AH148" s="106">
        <f>1/132</f>
        <v>7.575757575757576E-3</v>
      </c>
      <c r="AI148" s="106">
        <f>130/132</f>
        <v>0.98484848484848486</v>
      </c>
      <c r="AJ148" s="105">
        <v>0.79545454545454541</v>
      </c>
      <c r="AK148" s="105">
        <v>0</v>
      </c>
      <c r="AL148" s="12">
        <v>0</v>
      </c>
      <c r="AM148" s="12">
        <v>0</v>
      </c>
      <c r="AN148" s="12">
        <v>1</v>
      </c>
      <c r="AO148" s="12">
        <v>35</v>
      </c>
      <c r="AP148" s="12">
        <v>25</v>
      </c>
      <c r="AQ148" s="12">
        <v>31</v>
      </c>
      <c r="AR148" s="12">
        <v>40</v>
      </c>
      <c r="AS148" s="59">
        <v>2.7777777777777776E-2</v>
      </c>
      <c r="AT148" s="3">
        <v>9</v>
      </c>
      <c r="AU148" s="3">
        <v>8</v>
      </c>
      <c r="AV148" s="54">
        <v>90.476190476190482</v>
      </c>
      <c r="AW148" s="54">
        <v>7.1428571428571423</v>
      </c>
      <c r="AX148" s="54">
        <v>2.3809523809523809</v>
      </c>
      <c r="AY148" s="68">
        <v>0</v>
      </c>
      <c r="AZ148" s="61">
        <v>0</v>
      </c>
      <c r="BA148" s="59">
        <v>2.8846153846153848E-2</v>
      </c>
      <c r="BB148" s="81">
        <v>96</v>
      </c>
      <c r="BC148" s="49">
        <v>12.6760563380282</v>
      </c>
      <c r="BD148" s="90" t="s">
        <v>83</v>
      </c>
      <c r="BE148" s="90" t="s">
        <v>83</v>
      </c>
      <c r="BF148" s="49">
        <v>0</v>
      </c>
      <c r="BG148" s="49">
        <v>4.2</v>
      </c>
      <c r="BH148" s="49">
        <v>0</v>
      </c>
      <c r="BI148" s="49">
        <v>7.5</v>
      </c>
      <c r="BJ148" s="85">
        <v>16.899999999999999</v>
      </c>
      <c r="BK148" s="129">
        <v>9678</v>
      </c>
      <c r="BL148" s="129">
        <v>47274</v>
      </c>
      <c r="BM148" s="129">
        <v>67282</v>
      </c>
      <c r="BN148" s="129">
        <v>41876</v>
      </c>
      <c r="BO148" s="59">
        <v>0</v>
      </c>
      <c r="BP148" s="59">
        <v>0.28179999999999999</v>
      </c>
      <c r="BQ148" s="59">
        <v>0.37059999999999998</v>
      </c>
      <c r="BR148" s="59">
        <v>0</v>
      </c>
      <c r="BS148" s="59">
        <v>0</v>
      </c>
      <c r="BT148" s="49">
        <v>19.3</v>
      </c>
      <c r="BU148" s="59">
        <f t="shared" si="12"/>
        <v>0.65239999999999998</v>
      </c>
      <c r="BV148" s="59">
        <v>0</v>
      </c>
      <c r="BW148" s="59">
        <v>0</v>
      </c>
      <c r="BX148" s="59">
        <v>0</v>
      </c>
      <c r="BY148" s="59">
        <v>0</v>
      </c>
      <c r="BZ148" s="59">
        <v>8.6900000000000005E-2</v>
      </c>
      <c r="CA148" s="49">
        <v>30</v>
      </c>
      <c r="CB148" s="59">
        <f t="shared" si="13"/>
        <v>8.6900000000000005E-2</v>
      </c>
      <c r="CC148" s="59">
        <v>0.26069999999999999</v>
      </c>
      <c r="CD148" s="125">
        <v>0.28179999999999999</v>
      </c>
      <c r="CE148" s="125">
        <v>0.37059999999999998</v>
      </c>
      <c r="CF148" s="125">
        <v>0</v>
      </c>
      <c r="CG148" s="125">
        <v>8.6900000000000005E-2</v>
      </c>
      <c r="CH148" s="85">
        <v>16.899999999999999</v>
      </c>
      <c r="CI148" s="39" t="s">
        <v>256</v>
      </c>
      <c r="CJ148" s="18" t="s">
        <v>80</v>
      </c>
      <c r="CK148" s="20"/>
    </row>
    <row r="149" spans="1:95" x14ac:dyDescent="0.25">
      <c r="A149" s="18" t="s">
        <v>80</v>
      </c>
      <c r="B149" s="19" t="s">
        <v>255</v>
      </c>
      <c r="C149" s="39" t="s">
        <v>257</v>
      </c>
      <c r="D149" s="40">
        <v>0</v>
      </c>
      <c r="E149" s="40">
        <v>0</v>
      </c>
      <c r="F149" s="40">
        <v>0</v>
      </c>
      <c r="G149" s="166">
        <v>0</v>
      </c>
      <c r="H149" s="166">
        <v>0</v>
      </c>
      <c r="I149" s="162" t="s">
        <v>83</v>
      </c>
      <c r="J149" s="166">
        <v>0</v>
      </c>
      <c r="K149" s="166">
        <v>0</v>
      </c>
      <c r="L149" s="166">
        <v>0</v>
      </c>
      <c r="M149" s="166">
        <v>0</v>
      </c>
      <c r="N149" s="119">
        <v>0</v>
      </c>
      <c r="O149" s="119">
        <v>0</v>
      </c>
      <c r="P149" s="119">
        <v>0</v>
      </c>
      <c r="Q149" s="119">
        <v>0</v>
      </c>
      <c r="R149" s="116" t="s">
        <v>83</v>
      </c>
      <c r="S149" s="119">
        <v>0</v>
      </c>
      <c r="T149" s="119">
        <v>0</v>
      </c>
      <c r="U149" s="119">
        <v>0</v>
      </c>
      <c r="V149" s="119">
        <v>0</v>
      </c>
      <c r="W149" s="40">
        <v>312</v>
      </c>
      <c r="X149" s="40">
        <f t="shared" si="10"/>
        <v>208</v>
      </c>
      <c r="Y149" s="40">
        <f t="shared" si="11"/>
        <v>312</v>
      </c>
      <c r="Z149" s="105">
        <v>0.46200000000000002</v>
      </c>
      <c r="AA149" s="105">
        <v>0.53900000000000003</v>
      </c>
      <c r="AB149" s="106">
        <f>1/312</f>
        <v>3.205128205128205E-3</v>
      </c>
      <c r="AC149" s="106">
        <v>0</v>
      </c>
      <c r="AD149" s="106">
        <f>21/312</f>
        <v>6.7307692307692304E-2</v>
      </c>
      <c r="AE149" s="106">
        <f>13/312</f>
        <v>4.1666666666666664E-2</v>
      </c>
      <c r="AF149" s="106">
        <v>0</v>
      </c>
      <c r="AG149" s="106">
        <f>277/312</f>
        <v>0.88782051282051277</v>
      </c>
      <c r="AH149" s="106">
        <v>0</v>
      </c>
      <c r="AI149" s="106">
        <f>35/312</f>
        <v>0.11217948717948718</v>
      </c>
      <c r="AJ149" s="105">
        <v>0.41666666666666669</v>
      </c>
      <c r="AK149" s="105">
        <v>6.0000000000000001E-3</v>
      </c>
      <c r="AL149" s="12">
        <v>49</v>
      </c>
      <c r="AM149" s="12">
        <v>55</v>
      </c>
      <c r="AN149" s="12">
        <v>0</v>
      </c>
      <c r="AO149" s="12">
        <v>56</v>
      </c>
      <c r="AP149" s="12">
        <v>54</v>
      </c>
      <c r="AQ149" s="12">
        <v>41</v>
      </c>
      <c r="AR149" s="12">
        <v>57</v>
      </c>
      <c r="AS149" s="59">
        <v>0</v>
      </c>
      <c r="AT149" s="3">
        <v>7</v>
      </c>
      <c r="AU149" s="3">
        <v>6</v>
      </c>
      <c r="AV149" s="54">
        <v>93.191489361702125</v>
      </c>
      <c r="AW149" s="54">
        <v>6.3829787234042552</v>
      </c>
      <c r="AX149" s="54">
        <v>0.42553191489361702</v>
      </c>
      <c r="AY149" s="68">
        <v>0</v>
      </c>
      <c r="AZ149" s="59">
        <v>0.11746987951807229</v>
      </c>
      <c r="BA149" s="59">
        <v>6.6265060240963861E-2</v>
      </c>
      <c r="BB149" s="81">
        <v>96</v>
      </c>
      <c r="BC149" s="49">
        <v>8.3582089552238799</v>
      </c>
      <c r="BD149" s="93">
        <v>0</v>
      </c>
      <c r="BE149" s="49">
        <v>1.8</v>
      </c>
      <c r="BF149" s="49">
        <v>1.9</v>
      </c>
      <c r="BG149" s="49">
        <v>0</v>
      </c>
      <c r="BH149" s="49">
        <v>0</v>
      </c>
      <c r="BI149" s="49">
        <v>0</v>
      </c>
      <c r="BJ149" s="85">
        <v>20.7</v>
      </c>
      <c r="BK149" s="129">
        <v>13308</v>
      </c>
      <c r="BL149" s="129">
        <v>52832</v>
      </c>
      <c r="BM149" s="129">
        <v>55299</v>
      </c>
      <c r="BN149" s="129">
        <v>48300</v>
      </c>
      <c r="BO149" s="59">
        <v>0</v>
      </c>
      <c r="BP149" s="59">
        <v>0.32090000000000002</v>
      </c>
      <c r="BQ149" s="59">
        <v>0.35799999999999998</v>
      </c>
      <c r="BR149" s="59">
        <v>0</v>
      </c>
      <c r="BS149" s="59">
        <v>0</v>
      </c>
      <c r="BT149" s="49">
        <v>13.8</v>
      </c>
      <c r="BU149" s="59">
        <f t="shared" si="12"/>
        <v>0.67890000000000006</v>
      </c>
      <c r="BV149" s="59">
        <v>2.47E-2</v>
      </c>
      <c r="BW149" s="59">
        <v>2.46E-2</v>
      </c>
      <c r="BX149" s="59">
        <v>4.9399999999999999E-2</v>
      </c>
      <c r="BY149" s="59">
        <v>0</v>
      </c>
      <c r="BZ149" s="59">
        <v>0</v>
      </c>
      <c r="CA149" s="49">
        <v>15</v>
      </c>
      <c r="CB149" s="59">
        <f t="shared" si="13"/>
        <v>9.8699999999999996E-2</v>
      </c>
      <c r="CC149" s="59">
        <v>0.17299999999999999</v>
      </c>
      <c r="CD149" s="125">
        <v>0.37019999999999997</v>
      </c>
      <c r="CE149" s="125">
        <v>0.45679999999999998</v>
      </c>
      <c r="CF149" s="125">
        <v>0</v>
      </c>
      <c r="CG149" s="125">
        <v>0</v>
      </c>
      <c r="CH149" s="85">
        <v>13.3</v>
      </c>
      <c r="CI149" s="39" t="s">
        <v>257</v>
      </c>
      <c r="CJ149" s="18" t="s">
        <v>80</v>
      </c>
      <c r="CK149" s="20"/>
    </row>
    <row r="150" spans="1:95" x14ac:dyDescent="0.25">
      <c r="A150" s="18" t="s">
        <v>80</v>
      </c>
      <c r="B150" s="19" t="s">
        <v>255</v>
      </c>
      <c r="C150" s="39" t="s">
        <v>258</v>
      </c>
      <c r="D150" s="40">
        <v>19</v>
      </c>
      <c r="E150" s="40" t="s">
        <v>83</v>
      </c>
      <c r="F150" s="40">
        <v>19</v>
      </c>
      <c r="G150" s="162" t="s">
        <v>83</v>
      </c>
      <c r="H150" s="162" t="s">
        <v>83</v>
      </c>
      <c r="I150" s="166">
        <v>1</v>
      </c>
      <c r="J150" s="166">
        <v>1</v>
      </c>
      <c r="K150" s="166">
        <v>5</v>
      </c>
      <c r="L150" s="166">
        <v>8</v>
      </c>
      <c r="M150" s="166">
        <v>4</v>
      </c>
      <c r="N150" s="119">
        <v>1.43072289156627E-2</v>
      </c>
      <c r="O150" s="119">
        <v>1.43072289156627E-2</v>
      </c>
      <c r="P150" s="116" t="s">
        <v>83</v>
      </c>
      <c r="Q150" s="116" t="s">
        <v>83</v>
      </c>
      <c r="R150" s="119">
        <v>7.69230769230769E-2</v>
      </c>
      <c r="S150" s="119">
        <v>2.5252525252525298E-3</v>
      </c>
      <c r="T150" s="119">
        <v>1.47492625368732E-2</v>
      </c>
      <c r="U150" s="119">
        <v>2.5974025974026E-2</v>
      </c>
      <c r="V150" s="119">
        <v>1.4705882352941201E-2</v>
      </c>
      <c r="W150" s="40">
        <v>1251</v>
      </c>
      <c r="X150" s="40">
        <f t="shared" si="10"/>
        <v>1251</v>
      </c>
      <c r="Y150" s="40">
        <f t="shared" si="11"/>
        <v>1251</v>
      </c>
      <c r="Z150" s="105">
        <v>0.50900000000000001</v>
      </c>
      <c r="AA150" s="105">
        <v>0.49099999999999999</v>
      </c>
      <c r="AB150" s="106">
        <f>3/1251</f>
        <v>2.3980815347721821E-3</v>
      </c>
      <c r="AC150" s="106">
        <f>7/1251</f>
        <v>5.5955235811350921E-3</v>
      </c>
      <c r="AD150" s="106">
        <f>611/1251</f>
        <v>0.48840927258193445</v>
      </c>
      <c r="AE150" s="106">
        <f>35/1251</f>
        <v>2.7977617905675458E-2</v>
      </c>
      <c r="AF150" s="106">
        <v>0</v>
      </c>
      <c r="AG150" s="106">
        <f>589/1251</f>
        <v>0.47082334132693843</v>
      </c>
      <c r="AH150" s="106">
        <f>6/1251</f>
        <v>4.7961630695443642E-3</v>
      </c>
      <c r="AI150" s="106">
        <f>662/1251</f>
        <v>0.52917665867306152</v>
      </c>
      <c r="AJ150" s="105">
        <v>0.53956834532374098</v>
      </c>
      <c r="AK150" s="105">
        <v>1.2999999999999999E-2</v>
      </c>
      <c r="AL150" s="12">
        <v>0</v>
      </c>
      <c r="AM150" s="12">
        <v>0</v>
      </c>
      <c r="AN150" s="12">
        <v>13</v>
      </c>
      <c r="AO150" s="12">
        <v>370</v>
      </c>
      <c r="AP150" s="12">
        <v>310</v>
      </c>
      <c r="AQ150" s="12">
        <v>299</v>
      </c>
      <c r="AR150" s="12">
        <v>259</v>
      </c>
      <c r="AS150" s="59">
        <v>3.3942558746736295E-2</v>
      </c>
      <c r="AT150" s="3">
        <v>9</v>
      </c>
      <c r="AU150" s="3">
        <v>6</v>
      </c>
      <c r="AV150" s="54">
        <v>75.176304654442887</v>
      </c>
      <c r="AW150" s="54">
        <v>19.181946403385052</v>
      </c>
      <c r="AX150" s="54">
        <v>4.5133991537376588</v>
      </c>
      <c r="AY150" s="68">
        <v>1.1283497884344147</v>
      </c>
      <c r="AZ150" s="59">
        <v>0.23748103186646433</v>
      </c>
      <c r="BA150" s="59">
        <v>0.14719271623672231</v>
      </c>
      <c r="BB150" s="76">
        <v>94.156298226104695</v>
      </c>
      <c r="BC150" s="49">
        <v>14.7727272727273</v>
      </c>
      <c r="BD150" s="90" t="s">
        <v>83</v>
      </c>
      <c r="BE150" s="90" t="s">
        <v>83</v>
      </c>
      <c r="BF150" s="49">
        <v>2.9</v>
      </c>
      <c r="BG150" s="49">
        <v>0.7</v>
      </c>
      <c r="BH150" s="49">
        <v>0</v>
      </c>
      <c r="BI150" s="49">
        <v>0.8</v>
      </c>
      <c r="BJ150" s="85">
        <v>20.5</v>
      </c>
      <c r="BK150" s="129">
        <v>12215</v>
      </c>
      <c r="BL150" s="129">
        <v>53696</v>
      </c>
      <c r="BM150" s="129">
        <v>53839</v>
      </c>
      <c r="BN150" s="129">
        <v>50118</v>
      </c>
      <c r="BO150" s="59">
        <v>0</v>
      </c>
      <c r="BP150" s="59">
        <v>0.38129999999999997</v>
      </c>
      <c r="BQ150" s="59">
        <v>0.30209999999999998</v>
      </c>
      <c r="BR150" s="59">
        <v>0</v>
      </c>
      <c r="BS150" s="59">
        <v>7.3000000000000001E-3</v>
      </c>
      <c r="BT150" s="49">
        <v>13.6</v>
      </c>
      <c r="BU150" s="59">
        <f t="shared" si="12"/>
        <v>0.69069999999999998</v>
      </c>
      <c r="BV150" s="59">
        <v>2.9000000000000001E-2</v>
      </c>
      <c r="BW150" s="59">
        <v>7.3000000000000001E-3</v>
      </c>
      <c r="BX150" s="59">
        <v>2.9000000000000001E-2</v>
      </c>
      <c r="BY150" s="59">
        <v>0</v>
      </c>
      <c r="BZ150" s="59">
        <v>7.3000000000000001E-3</v>
      </c>
      <c r="CA150" s="49">
        <v>21.6</v>
      </c>
      <c r="CB150" s="59">
        <f t="shared" si="13"/>
        <v>7.2599999999999998E-2</v>
      </c>
      <c r="CC150" s="59">
        <v>0.15</v>
      </c>
      <c r="CD150" s="125">
        <v>0.41010000000000002</v>
      </c>
      <c r="CE150" s="125">
        <v>0.4254</v>
      </c>
      <c r="CF150" s="125">
        <v>0</v>
      </c>
      <c r="CG150" s="125">
        <v>1.4500000000000001E-2</v>
      </c>
      <c r="CH150" s="85">
        <v>14.1</v>
      </c>
      <c r="CI150" s="39" t="s">
        <v>258</v>
      </c>
      <c r="CJ150" s="18" t="s">
        <v>80</v>
      </c>
      <c r="CK150" s="20"/>
    </row>
    <row r="151" spans="1:95" x14ac:dyDescent="0.25">
      <c r="A151" s="18" t="s">
        <v>80</v>
      </c>
      <c r="B151" s="19" t="s">
        <v>255</v>
      </c>
      <c r="C151" s="39" t="s">
        <v>259</v>
      </c>
      <c r="D151" s="40">
        <v>1</v>
      </c>
      <c r="E151" s="40">
        <v>0</v>
      </c>
      <c r="F151" s="40">
        <v>1</v>
      </c>
      <c r="G151" s="166">
        <v>0</v>
      </c>
      <c r="H151" s="166">
        <v>0</v>
      </c>
      <c r="I151" s="166">
        <v>0</v>
      </c>
      <c r="J151" s="166">
        <v>0</v>
      </c>
      <c r="K151" s="166">
        <v>0</v>
      </c>
      <c r="L151" s="166">
        <v>0</v>
      </c>
      <c r="M151" s="166">
        <v>1</v>
      </c>
      <c r="N151" s="119">
        <v>3.27868852459016E-3</v>
      </c>
      <c r="O151" s="119">
        <v>4.9019607843137298E-3</v>
      </c>
      <c r="P151" s="119">
        <v>0</v>
      </c>
      <c r="Q151" s="119">
        <v>0</v>
      </c>
      <c r="R151" s="119">
        <v>0</v>
      </c>
      <c r="S151" s="119">
        <v>0</v>
      </c>
      <c r="T151" s="119">
        <v>0</v>
      </c>
      <c r="U151" s="119">
        <v>0</v>
      </c>
      <c r="V151" s="119">
        <v>2.32558139534884E-2</v>
      </c>
      <c r="W151" s="40">
        <v>609</v>
      </c>
      <c r="X151" s="40">
        <f t="shared" si="10"/>
        <v>192</v>
      </c>
      <c r="Y151" s="40">
        <f t="shared" si="11"/>
        <v>281</v>
      </c>
      <c r="Z151" s="105">
        <v>0.52100000000000002</v>
      </c>
      <c r="AA151" s="105">
        <v>0.48</v>
      </c>
      <c r="AB151" s="106">
        <f>3/609</f>
        <v>4.9261083743842365E-3</v>
      </c>
      <c r="AC151" s="106">
        <v>0</v>
      </c>
      <c r="AD151" s="106">
        <f>272/609</f>
        <v>0.44663382594417078</v>
      </c>
      <c r="AE151" s="106">
        <f>62/609</f>
        <v>0.10180623973727422</v>
      </c>
      <c r="AF151" s="106">
        <v>0</v>
      </c>
      <c r="AG151" s="106">
        <f>270/609</f>
        <v>0.44334975369458129</v>
      </c>
      <c r="AH151" s="106">
        <f>2/609</f>
        <v>3.2840722495894909E-3</v>
      </c>
      <c r="AI151" s="106">
        <f>339/609</f>
        <v>0.55665024630541871</v>
      </c>
      <c r="AJ151" s="105">
        <v>0.73727422003284071</v>
      </c>
      <c r="AK151" s="105">
        <v>5.3999999999999999E-2</v>
      </c>
      <c r="AL151" s="12">
        <v>41</v>
      </c>
      <c r="AM151" s="12">
        <v>48</v>
      </c>
      <c r="AN151" s="12">
        <v>5</v>
      </c>
      <c r="AO151" s="12">
        <v>44</v>
      </c>
      <c r="AP151" s="12">
        <v>54</v>
      </c>
      <c r="AQ151" s="12">
        <v>46</v>
      </c>
      <c r="AR151" s="12">
        <v>43</v>
      </c>
      <c r="AS151" s="59">
        <v>0.10204081632653061</v>
      </c>
      <c r="AT151" s="3">
        <v>1</v>
      </c>
      <c r="AU151" s="3">
        <v>6</v>
      </c>
      <c r="AV151" s="54">
        <v>73.408239700374537</v>
      </c>
      <c r="AW151" s="54">
        <v>22.846441947565545</v>
      </c>
      <c r="AX151" s="54">
        <v>3.7453183520599254</v>
      </c>
      <c r="AY151" s="68">
        <v>0</v>
      </c>
      <c r="AZ151" s="59">
        <v>0.15119760479041916</v>
      </c>
      <c r="BA151" s="59">
        <v>0.14221556886227546</v>
      </c>
      <c r="BB151" s="77">
        <v>94.153847888775502</v>
      </c>
      <c r="BC151" s="49">
        <v>31.9402985074627</v>
      </c>
      <c r="BD151" s="49">
        <v>5.0999999999999996</v>
      </c>
      <c r="BE151" s="49">
        <v>4.3</v>
      </c>
      <c r="BF151" s="49">
        <v>0</v>
      </c>
      <c r="BG151" s="49">
        <v>2</v>
      </c>
      <c r="BH151" s="49">
        <v>0</v>
      </c>
      <c r="BI151" s="49">
        <v>0</v>
      </c>
      <c r="BJ151" s="85">
        <v>18.399999999999999</v>
      </c>
      <c r="BK151" s="129">
        <v>11666</v>
      </c>
      <c r="BL151" s="129">
        <v>49974</v>
      </c>
      <c r="BM151" s="129">
        <v>58798</v>
      </c>
      <c r="BN151" s="129">
        <v>45933</v>
      </c>
      <c r="BO151" s="59">
        <v>0</v>
      </c>
      <c r="BP151" s="59">
        <v>0.50690000000000002</v>
      </c>
      <c r="BQ151" s="59">
        <v>0.19320000000000001</v>
      </c>
      <c r="BR151" s="59">
        <v>0</v>
      </c>
      <c r="BS151" s="59">
        <v>0</v>
      </c>
      <c r="BT151" s="49">
        <v>9.6</v>
      </c>
      <c r="BU151" s="59">
        <f t="shared" si="12"/>
        <v>0.70010000000000006</v>
      </c>
      <c r="BV151" s="59">
        <v>2.93E-2</v>
      </c>
      <c r="BW151" s="59">
        <v>0</v>
      </c>
      <c r="BX151" s="59">
        <v>2.93E-2</v>
      </c>
      <c r="BY151" s="59">
        <v>0</v>
      </c>
      <c r="BZ151" s="59">
        <v>1.47E-2</v>
      </c>
      <c r="CA151" s="49">
        <v>16</v>
      </c>
      <c r="CB151" s="59">
        <f t="shared" si="13"/>
        <v>7.3300000000000004E-2</v>
      </c>
      <c r="CC151" s="59">
        <v>0.18310000000000001</v>
      </c>
      <c r="CD151" s="125">
        <v>0.52149999999999996</v>
      </c>
      <c r="CE151" s="125">
        <v>0.2661</v>
      </c>
      <c r="CF151" s="125">
        <v>0</v>
      </c>
      <c r="CG151" s="125">
        <v>2.93E-2</v>
      </c>
      <c r="CH151" s="85">
        <v>9.9</v>
      </c>
      <c r="CI151" s="39" t="s">
        <v>259</v>
      </c>
      <c r="CJ151" s="18" t="s">
        <v>80</v>
      </c>
      <c r="CK151" s="20"/>
    </row>
    <row r="152" spans="1:95" x14ac:dyDescent="0.25">
      <c r="A152" s="18" t="s">
        <v>80</v>
      </c>
      <c r="B152" s="19" t="s">
        <v>260</v>
      </c>
      <c r="C152" s="39" t="s">
        <v>261</v>
      </c>
      <c r="D152" s="40">
        <v>17</v>
      </c>
      <c r="E152" s="40" t="s">
        <v>83</v>
      </c>
      <c r="F152" s="40">
        <v>17</v>
      </c>
      <c r="G152" s="162" t="s">
        <v>83</v>
      </c>
      <c r="H152" s="162" t="s">
        <v>83</v>
      </c>
      <c r="I152" s="166">
        <v>0</v>
      </c>
      <c r="J152" s="166">
        <v>2</v>
      </c>
      <c r="K152" s="166">
        <v>9</v>
      </c>
      <c r="L152" s="166">
        <v>1</v>
      </c>
      <c r="M152" s="166">
        <v>5</v>
      </c>
      <c r="N152" s="119">
        <v>2.93103448275862E-2</v>
      </c>
      <c r="O152" s="119">
        <v>2.93103448275862E-2</v>
      </c>
      <c r="P152" s="116" t="s">
        <v>83</v>
      </c>
      <c r="Q152" s="116" t="s">
        <v>83</v>
      </c>
      <c r="R152" s="119">
        <v>0</v>
      </c>
      <c r="S152" s="119">
        <v>1.6129032258064498E-2</v>
      </c>
      <c r="T152" s="119">
        <v>5.2631578947368397E-2</v>
      </c>
      <c r="U152" s="119">
        <v>7.4074074074074103E-3</v>
      </c>
      <c r="V152" s="119">
        <v>3.7037037037037E-2</v>
      </c>
      <c r="W152" s="40">
        <v>526</v>
      </c>
      <c r="X152" s="40">
        <f t="shared" si="10"/>
        <v>526</v>
      </c>
      <c r="Y152" s="40">
        <f t="shared" si="11"/>
        <v>526</v>
      </c>
      <c r="Z152" s="105">
        <v>0.45100000000000001</v>
      </c>
      <c r="AA152" s="105">
        <v>0.54900000000000004</v>
      </c>
      <c r="AB152" s="106">
        <f>2/526</f>
        <v>3.8022813688212928E-3</v>
      </c>
      <c r="AC152" s="106">
        <f>1/526</f>
        <v>1.9011406844106464E-3</v>
      </c>
      <c r="AD152" s="106">
        <f>46/526</f>
        <v>8.7452471482889732E-2</v>
      </c>
      <c r="AE152" s="106">
        <f>25/526</f>
        <v>4.7528517110266157E-2</v>
      </c>
      <c r="AF152" s="106">
        <v>0</v>
      </c>
      <c r="AG152" s="106">
        <f>445/526</f>
        <v>0.8460076045627376</v>
      </c>
      <c r="AH152" s="106">
        <f>7/526</f>
        <v>1.3307984790874524E-2</v>
      </c>
      <c r="AI152" s="106">
        <f>81/526</f>
        <v>0.15399239543726237</v>
      </c>
      <c r="AJ152" s="105">
        <v>0.58365019011406849</v>
      </c>
      <c r="AK152" s="105">
        <v>6.0000000000000001E-3</v>
      </c>
      <c r="AL152" s="12">
        <v>0</v>
      </c>
      <c r="AM152" s="12">
        <v>0</v>
      </c>
      <c r="AN152" s="12">
        <v>18</v>
      </c>
      <c r="AO152" s="12">
        <v>108</v>
      </c>
      <c r="AP152" s="12">
        <v>156</v>
      </c>
      <c r="AQ152" s="12">
        <v>123</v>
      </c>
      <c r="AR152" s="12">
        <v>121</v>
      </c>
      <c r="AS152" s="59">
        <v>0.14285714285714285</v>
      </c>
      <c r="AT152" s="3">
        <v>9</v>
      </c>
      <c r="AU152" s="3">
        <v>6</v>
      </c>
      <c r="AV152" s="54">
        <v>78.920308483290498</v>
      </c>
      <c r="AW152" s="54">
        <v>15.938303341902312</v>
      </c>
      <c r="AX152" s="54">
        <v>4.6272493573264777</v>
      </c>
      <c r="AY152" s="68">
        <v>0.51413881748071977</v>
      </c>
      <c r="AZ152" s="61">
        <v>0</v>
      </c>
      <c r="BA152" s="59">
        <v>0.1519434628975265</v>
      </c>
      <c r="BB152" s="77">
        <v>92.737317093488898</v>
      </c>
      <c r="BC152" s="49">
        <v>29.319371727748699</v>
      </c>
      <c r="BD152" s="90" t="s">
        <v>83</v>
      </c>
      <c r="BE152" s="90" t="s">
        <v>83</v>
      </c>
      <c r="BF152" s="49">
        <v>0.9</v>
      </c>
      <c r="BG152" s="49">
        <v>2</v>
      </c>
      <c r="BH152" s="49">
        <v>0</v>
      </c>
      <c r="BI152" s="49">
        <v>3.4</v>
      </c>
      <c r="BJ152" s="85">
        <v>18.5</v>
      </c>
      <c r="BK152" s="129">
        <v>8980</v>
      </c>
      <c r="BL152" s="129">
        <v>50271</v>
      </c>
      <c r="BM152" s="129">
        <v>52593</v>
      </c>
      <c r="BN152" s="129">
        <v>41575</v>
      </c>
      <c r="BO152" s="59">
        <v>1.8200000000000001E-2</v>
      </c>
      <c r="BP152" s="59">
        <v>0.39879999999999999</v>
      </c>
      <c r="BQ152" s="59">
        <v>0.1835</v>
      </c>
      <c r="BR152" s="59">
        <v>0</v>
      </c>
      <c r="BS152" s="59">
        <v>0</v>
      </c>
      <c r="BT152" s="49">
        <v>11</v>
      </c>
      <c r="BU152" s="59">
        <f t="shared" si="12"/>
        <v>0.60050000000000003</v>
      </c>
      <c r="BV152" s="59">
        <v>3.6400000000000002E-2</v>
      </c>
      <c r="BW152" s="59">
        <v>0</v>
      </c>
      <c r="BX152" s="59">
        <v>3.6400000000000002E-2</v>
      </c>
      <c r="BY152" s="59">
        <v>0</v>
      </c>
      <c r="BZ152" s="59">
        <v>0</v>
      </c>
      <c r="CA152" s="49">
        <v>22.7</v>
      </c>
      <c r="CB152" s="59">
        <f t="shared" si="13"/>
        <v>7.2800000000000004E-2</v>
      </c>
      <c r="CC152" s="59">
        <v>0.32669999999999999</v>
      </c>
      <c r="CD152" s="125">
        <v>0.41699999999999998</v>
      </c>
      <c r="CE152" s="125">
        <v>0.25629999999999997</v>
      </c>
      <c r="CF152" s="125">
        <v>0</v>
      </c>
      <c r="CG152" s="125">
        <v>0</v>
      </c>
      <c r="CH152" s="85">
        <v>11.3</v>
      </c>
      <c r="CI152" s="39" t="s">
        <v>261</v>
      </c>
      <c r="CJ152" s="18" t="s">
        <v>80</v>
      </c>
      <c r="CK152" s="20"/>
    </row>
    <row r="153" spans="1:95" s="2" customFormat="1" x14ac:dyDescent="0.25">
      <c r="A153" s="18" t="s">
        <v>80</v>
      </c>
      <c r="B153" s="19" t="s">
        <v>260</v>
      </c>
      <c r="C153" s="39" t="s">
        <v>262</v>
      </c>
      <c r="D153" s="40">
        <v>87</v>
      </c>
      <c r="E153" s="40" t="s">
        <v>83</v>
      </c>
      <c r="F153" s="40">
        <v>87</v>
      </c>
      <c r="G153" s="162" t="s">
        <v>83</v>
      </c>
      <c r="H153" s="162" t="s">
        <v>83</v>
      </c>
      <c r="I153" s="166">
        <v>0</v>
      </c>
      <c r="J153" s="166">
        <v>20</v>
      </c>
      <c r="K153" s="166">
        <v>41</v>
      </c>
      <c r="L153" s="166">
        <v>18</v>
      </c>
      <c r="M153" s="166">
        <v>8</v>
      </c>
      <c r="N153" s="101">
        <f>87/2480</f>
        <v>3.5080645161290322E-2</v>
      </c>
      <c r="O153" s="101">
        <f>87/2480</f>
        <v>3.5080645161290322E-2</v>
      </c>
      <c r="P153" s="116" t="s">
        <v>83</v>
      </c>
      <c r="Q153" s="116" t="s">
        <v>83</v>
      </c>
      <c r="R153" s="119">
        <v>0</v>
      </c>
      <c r="S153" s="119">
        <v>2.8409090909090901E-2</v>
      </c>
      <c r="T153" s="119">
        <v>6.0117302052785898E-2</v>
      </c>
      <c r="U153" s="119">
        <v>3.2667876588021803E-2</v>
      </c>
      <c r="V153" s="119">
        <v>1.5655577299412901E-2</v>
      </c>
      <c r="W153" s="6">
        <v>2237</v>
      </c>
      <c r="X153" s="40">
        <f t="shared" si="10"/>
        <v>2237</v>
      </c>
      <c r="Y153" s="40">
        <f t="shared" si="11"/>
        <v>2237</v>
      </c>
      <c r="Z153" s="61">
        <f>1103/2237</f>
        <v>0.49307107733571748</v>
      </c>
      <c r="AA153" s="61">
        <f>1134/2237</f>
        <v>0.50692892266428247</v>
      </c>
      <c r="AB153" s="61">
        <f>10/2237</f>
        <v>4.4702726866338843E-3</v>
      </c>
      <c r="AC153" s="61">
        <f>24/2237</f>
        <v>1.0728654447921324E-2</v>
      </c>
      <c r="AD153" s="61">
        <f>241/2237</f>
        <v>0.10773357174787662</v>
      </c>
      <c r="AE153" s="61">
        <f>100/2237</f>
        <v>4.4702726866338846E-2</v>
      </c>
      <c r="AF153" s="61">
        <f>1/2237</f>
        <v>4.4702726866338848E-4</v>
      </c>
      <c r="AG153" s="61">
        <f>1854/2237</f>
        <v>0.82878855610192226</v>
      </c>
      <c r="AH153" s="61">
        <f>7/2237</f>
        <v>3.1291908806437194E-3</v>
      </c>
      <c r="AI153" s="61">
        <f>383/2237</f>
        <v>0.17121144389807777</v>
      </c>
      <c r="AJ153" s="61">
        <f>981/2237</f>
        <v>0.43853375055878407</v>
      </c>
      <c r="AK153" s="61">
        <f>26/2237</f>
        <v>1.1622708985248101E-2</v>
      </c>
      <c r="AL153" s="3">
        <v>0</v>
      </c>
      <c r="AM153" s="3">
        <v>0</v>
      </c>
      <c r="AN153" s="3">
        <v>32</v>
      </c>
      <c r="AO153" s="3">
        <v>624</v>
      </c>
      <c r="AP153" s="3">
        <v>606</v>
      </c>
      <c r="AQ153" s="3">
        <v>498</v>
      </c>
      <c r="AR153" s="3">
        <v>477</v>
      </c>
      <c r="AS153" s="99">
        <v>4.878048780487805E-2</v>
      </c>
      <c r="AT153" s="3">
        <v>9</v>
      </c>
      <c r="AU153" s="3">
        <v>6</v>
      </c>
      <c r="AV153" s="55">
        <v>58.785942492012779</v>
      </c>
      <c r="AW153" s="55">
        <v>17.092651757188499</v>
      </c>
      <c r="AX153" s="55">
        <v>23.322683706070286</v>
      </c>
      <c r="AY153" s="69">
        <v>0.79872204472843444</v>
      </c>
      <c r="AZ153" s="61">
        <v>0</v>
      </c>
      <c r="BA153" s="60">
        <v>0.21267168808152415</v>
      </c>
      <c r="BB153" s="76">
        <v>92.246413899217202</v>
      </c>
      <c r="BC153" s="49">
        <v>32.174999999999997</v>
      </c>
      <c r="BD153" s="90" t="s">
        <v>83</v>
      </c>
      <c r="BE153" s="90" t="s">
        <v>83</v>
      </c>
      <c r="BF153" s="49">
        <v>7.2</v>
      </c>
      <c r="BG153" s="49">
        <v>4</v>
      </c>
      <c r="BH153" s="49">
        <v>2.6</v>
      </c>
      <c r="BI153" s="49">
        <v>2.6</v>
      </c>
      <c r="BJ153" s="85">
        <v>20.6</v>
      </c>
      <c r="BK153" s="129">
        <v>7816</v>
      </c>
      <c r="BL153" s="129">
        <v>50135</v>
      </c>
      <c r="BM153" s="129">
        <v>44328</v>
      </c>
      <c r="BN153" s="129">
        <v>38301</v>
      </c>
      <c r="BO153" s="59">
        <v>6.7999999999999996E-3</v>
      </c>
      <c r="BP153" s="59">
        <v>0.37709999999999999</v>
      </c>
      <c r="BQ153" s="59">
        <v>0.14860000000000001</v>
      </c>
      <c r="BR153" s="59">
        <v>0</v>
      </c>
      <c r="BS153" s="59">
        <v>6.7999999999999996E-3</v>
      </c>
      <c r="BT153" s="49">
        <v>12.3</v>
      </c>
      <c r="BU153" s="59">
        <f t="shared" si="12"/>
        <v>0.5393</v>
      </c>
      <c r="BV153" s="59">
        <v>2.7300000000000001E-2</v>
      </c>
      <c r="BW153" s="59">
        <v>6.7999999999999996E-3</v>
      </c>
      <c r="BX153" s="59">
        <v>2.7300000000000001E-2</v>
      </c>
      <c r="BY153" s="59">
        <v>0</v>
      </c>
      <c r="BZ153" s="59">
        <v>0</v>
      </c>
      <c r="CA153" s="49">
        <v>14</v>
      </c>
      <c r="CB153" s="59">
        <f t="shared" si="13"/>
        <v>6.1399999999999996E-2</v>
      </c>
      <c r="CC153" s="59">
        <v>0.38879999999999998</v>
      </c>
      <c r="CD153" s="125">
        <v>0.40110000000000001</v>
      </c>
      <c r="CE153" s="125">
        <v>0.20330000000000001</v>
      </c>
      <c r="CF153" s="125">
        <v>0</v>
      </c>
      <c r="CG153" s="125">
        <v>6.7999999999999996E-3</v>
      </c>
      <c r="CH153" s="85">
        <v>10.8</v>
      </c>
      <c r="CI153" s="39" t="s">
        <v>262</v>
      </c>
      <c r="CJ153" s="18" t="s">
        <v>80</v>
      </c>
      <c r="CK153" s="20"/>
      <c r="CL153"/>
      <c r="CM153"/>
      <c r="CN153"/>
      <c r="CO153"/>
      <c r="CP153"/>
      <c r="CQ153"/>
    </row>
    <row r="154" spans="1:95" x14ac:dyDescent="0.25">
      <c r="A154" s="18" t="s">
        <v>80</v>
      </c>
      <c r="B154" s="19" t="s">
        <v>260</v>
      </c>
      <c r="C154" s="39" t="s">
        <v>263</v>
      </c>
      <c r="D154" s="40">
        <v>17</v>
      </c>
      <c r="E154" s="40">
        <v>2</v>
      </c>
      <c r="F154" s="40">
        <v>15</v>
      </c>
      <c r="G154" s="166">
        <v>0</v>
      </c>
      <c r="H154" s="166">
        <v>2</v>
      </c>
      <c r="I154" s="166">
        <v>1</v>
      </c>
      <c r="J154" s="166">
        <v>5</v>
      </c>
      <c r="K154" s="166">
        <v>5</v>
      </c>
      <c r="L154" s="166">
        <v>2</v>
      </c>
      <c r="M154" s="166">
        <v>2</v>
      </c>
      <c r="N154" s="119">
        <v>2.6729559748427702E-2</v>
      </c>
      <c r="O154" s="119">
        <v>3.2894736842105303E-2</v>
      </c>
      <c r="P154" s="119">
        <v>0</v>
      </c>
      <c r="Q154" s="119">
        <v>2.1052631578947399E-2</v>
      </c>
      <c r="R154" s="119">
        <v>0.33333333333333298</v>
      </c>
      <c r="S154" s="119">
        <v>3.6496350364963501E-2</v>
      </c>
      <c r="T154" s="119">
        <v>3.9682539682539701E-2</v>
      </c>
      <c r="U154" s="119">
        <v>2.2471910112359599E-2</v>
      </c>
      <c r="V154" s="119">
        <v>1.9801980198019799E-2</v>
      </c>
      <c r="W154" s="40">
        <v>667</v>
      </c>
      <c r="X154" s="40">
        <f t="shared" si="10"/>
        <v>412</v>
      </c>
      <c r="Y154" s="40">
        <f t="shared" si="11"/>
        <v>576</v>
      </c>
      <c r="Z154" s="105">
        <v>0.48899999999999999</v>
      </c>
      <c r="AA154" s="105">
        <v>0.51100000000000001</v>
      </c>
      <c r="AB154" s="106">
        <f>1/667</f>
        <v>1.4992503748125937E-3</v>
      </c>
      <c r="AC154" s="106">
        <f>2/667</f>
        <v>2.9985007496251873E-3</v>
      </c>
      <c r="AD154" s="106">
        <f>13/667</f>
        <v>1.9490254872563718E-2</v>
      </c>
      <c r="AE154" s="106">
        <f>8/667</f>
        <v>1.1994002998500749E-2</v>
      </c>
      <c r="AF154" s="106">
        <v>0</v>
      </c>
      <c r="AG154" s="106">
        <f>642/667</f>
        <v>0.96251874062968512</v>
      </c>
      <c r="AH154" s="106">
        <f>1/667</f>
        <v>1.4992503748125937E-3</v>
      </c>
      <c r="AI154" s="106">
        <f>25/667</f>
        <v>3.7481259370314844E-2</v>
      </c>
      <c r="AJ154" s="105">
        <v>0.52023988005997002</v>
      </c>
      <c r="AK154" s="105">
        <v>3.0000000000000001E-3</v>
      </c>
      <c r="AL154" s="12">
        <v>77</v>
      </c>
      <c r="AM154" s="12">
        <v>87</v>
      </c>
      <c r="AN154" s="12">
        <v>2</v>
      </c>
      <c r="AO154" s="12">
        <v>115</v>
      </c>
      <c r="AP154" s="12">
        <v>117</v>
      </c>
      <c r="AQ154" s="12">
        <v>83</v>
      </c>
      <c r="AR154" s="12">
        <v>95</v>
      </c>
      <c r="AS154" s="59">
        <v>1.7094017094017096E-2</v>
      </c>
      <c r="AT154" s="3">
        <v>6</v>
      </c>
      <c r="AU154" s="3">
        <v>6</v>
      </c>
      <c r="AV154" s="54">
        <v>65.042372881355931</v>
      </c>
      <c r="AW154" s="54">
        <v>23.940677966101696</v>
      </c>
      <c r="AX154" s="54">
        <v>10.805084745762713</v>
      </c>
      <c r="AY154" s="68">
        <v>0.21186440677966101</v>
      </c>
      <c r="AZ154" s="61">
        <v>0</v>
      </c>
      <c r="BA154" s="59">
        <v>0.16391184573002754</v>
      </c>
      <c r="BB154" s="77">
        <v>94.725683731374403</v>
      </c>
      <c r="BC154" s="49">
        <v>17.5989085948158</v>
      </c>
      <c r="BD154" s="49">
        <v>3.8</v>
      </c>
      <c r="BE154" s="49">
        <v>2.2000000000000002</v>
      </c>
      <c r="BF154" s="49">
        <v>12</v>
      </c>
      <c r="BG154" s="49">
        <v>3.7</v>
      </c>
      <c r="BH154" s="49">
        <v>2.5</v>
      </c>
      <c r="BI154" s="49">
        <v>6.8</v>
      </c>
      <c r="BJ154" s="85">
        <v>19.600000000000001</v>
      </c>
      <c r="BK154" s="129">
        <v>8001</v>
      </c>
      <c r="BL154" s="129">
        <v>50598</v>
      </c>
      <c r="BM154" s="129">
        <v>48085</v>
      </c>
      <c r="BN154" s="129">
        <v>43025</v>
      </c>
      <c r="BO154" s="59">
        <v>0</v>
      </c>
      <c r="BP154" s="59">
        <v>0.44479999999999997</v>
      </c>
      <c r="BQ154" s="59">
        <v>0.16980000000000001</v>
      </c>
      <c r="BR154" s="59">
        <v>0</v>
      </c>
      <c r="BS154" s="59">
        <v>3.4000000000000002E-2</v>
      </c>
      <c r="BT154" s="49">
        <v>13.6</v>
      </c>
      <c r="BU154" s="59">
        <f t="shared" si="12"/>
        <v>0.64860000000000007</v>
      </c>
      <c r="BV154" s="59">
        <v>3.4000000000000002E-2</v>
      </c>
      <c r="BW154" s="59">
        <v>0</v>
      </c>
      <c r="BX154" s="59">
        <v>3.4000000000000002E-2</v>
      </c>
      <c r="BY154" s="59">
        <v>0</v>
      </c>
      <c r="BZ154" s="59">
        <v>0</v>
      </c>
      <c r="CA154" s="49">
        <v>12.7</v>
      </c>
      <c r="CB154" s="59">
        <f t="shared" si="13"/>
        <v>6.8000000000000005E-2</v>
      </c>
      <c r="CC154" s="59">
        <v>0.26650000000000001</v>
      </c>
      <c r="CD154" s="125">
        <v>0.46179999999999999</v>
      </c>
      <c r="CE154" s="125">
        <v>0.2208</v>
      </c>
      <c r="CF154" s="125">
        <v>1.7000000000000001E-2</v>
      </c>
      <c r="CG154" s="125">
        <v>3.4000000000000002E-2</v>
      </c>
      <c r="CH154" s="85">
        <v>13.5</v>
      </c>
      <c r="CI154" s="39" t="s">
        <v>263</v>
      </c>
      <c r="CJ154" s="18" t="s">
        <v>80</v>
      </c>
      <c r="CK154" s="20"/>
    </row>
    <row r="155" spans="1:95" x14ac:dyDescent="0.25">
      <c r="A155" s="18" t="s">
        <v>80</v>
      </c>
      <c r="B155" s="19" t="s">
        <v>260</v>
      </c>
      <c r="C155" s="39" t="s">
        <v>264</v>
      </c>
      <c r="D155" s="40">
        <v>14</v>
      </c>
      <c r="E155" s="40">
        <v>6</v>
      </c>
      <c r="F155" s="40">
        <v>8</v>
      </c>
      <c r="G155" s="166">
        <v>1</v>
      </c>
      <c r="H155" s="166">
        <v>5</v>
      </c>
      <c r="I155" s="166">
        <v>0</v>
      </c>
      <c r="J155" s="166">
        <v>5</v>
      </c>
      <c r="K155" s="166">
        <v>3</v>
      </c>
      <c r="L155" s="166">
        <v>0</v>
      </c>
      <c r="M155" s="166">
        <v>0</v>
      </c>
      <c r="N155" s="119">
        <v>3.1042128603104201E-2</v>
      </c>
      <c r="O155" s="119">
        <v>2.78745644599303E-2</v>
      </c>
      <c r="P155" s="119">
        <v>1.26582278481013E-2</v>
      </c>
      <c r="Q155" s="119">
        <v>5.8823529411764698E-2</v>
      </c>
      <c r="R155" s="119">
        <v>0</v>
      </c>
      <c r="S155" s="119">
        <v>5.1546391752577303E-2</v>
      </c>
      <c r="T155" s="119">
        <v>3.8461538461538498E-2</v>
      </c>
      <c r="U155" s="119">
        <v>0</v>
      </c>
      <c r="V155" s="119">
        <v>0</v>
      </c>
      <c r="W155" s="40">
        <v>405</v>
      </c>
      <c r="X155" s="40">
        <f t="shared" si="10"/>
        <v>257</v>
      </c>
      <c r="Y155" s="40">
        <f t="shared" si="11"/>
        <v>405</v>
      </c>
      <c r="Z155" s="105">
        <v>0.499</v>
      </c>
      <c r="AA155" s="105">
        <v>0.501</v>
      </c>
      <c r="AB155" s="106">
        <v>0</v>
      </c>
      <c r="AC155" s="106">
        <f>1/405</f>
        <v>2.4691358024691358E-3</v>
      </c>
      <c r="AD155" s="106">
        <f>3/405</f>
        <v>7.4074074074074077E-3</v>
      </c>
      <c r="AE155" s="106">
        <f>7/405</f>
        <v>1.7283950617283949E-2</v>
      </c>
      <c r="AF155" s="106">
        <v>0</v>
      </c>
      <c r="AG155" s="106">
        <f>392/405</f>
        <v>0.96790123456790123</v>
      </c>
      <c r="AH155" s="106">
        <f>2/405</f>
        <v>4.9382716049382715E-3</v>
      </c>
      <c r="AI155" s="106">
        <f>13/405</f>
        <v>3.2098765432098768E-2</v>
      </c>
      <c r="AJ155" s="105">
        <v>0.42469135802469138</v>
      </c>
      <c r="AK155" s="105">
        <v>0</v>
      </c>
      <c r="AL155" s="12">
        <v>68</v>
      </c>
      <c r="AM155" s="12">
        <v>80</v>
      </c>
      <c r="AN155" s="12">
        <v>2</v>
      </c>
      <c r="AO155" s="12">
        <v>83</v>
      </c>
      <c r="AP155" s="12">
        <v>69</v>
      </c>
      <c r="AQ155" s="12">
        <v>43</v>
      </c>
      <c r="AR155" s="12">
        <v>60</v>
      </c>
      <c r="AS155" s="59">
        <v>2.3529411764705882E-2</v>
      </c>
      <c r="AT155" s="3">
        <v>7</v>
      </c>
      <c r="AU155" s="3">
        <v>6</v>
      </c>
      <c r="AV155" s="54">
        <v>71.217712177121768</v>
      </c>
      <c r="AW155" s="54">
        <v>21.033210332103323</v>
      </c>
      <c r="AX155" s="54">
        <v>7.3800738007380069</v>
      </c>
      <c r="AY155" s="68">
        <v>0.36900369003690037</v>
      </c>
      <c r="AZ155" s="61">
        <v>0</v>
      </c>
      <c r="BA155" s="59">
        <v>0.18367346938775511</v>
      </c>
      <c r="BB155" s="76">
        <v>92.641962496343794</v>
      </c>
      <c r="BC155" s="49">
        <v>15.730337078651701</v>
      </c>
      <c r="BD155" s="49">
        <v>9.6</v>
      </c>
      <c r="BE155" s="49">
        <v>6.8</v>
      </c>
      <c r="BF155" s="49">
        <v>4</v>
      </c>
      <c r="BG155" s="49">
        <v>5</v>
      </c>
      <c r="BH155" s="49">
        <v>2.2999999999999998</v>
      </c>
      <c r="BI155" s="49">
        <v>1.7</v>
      </c>
      <c r="BJ155" s="85">
        <v>21.6</v>
      </c>
      <c r="BK155" s="129">
        <v>9896</v>
      </c>
      <c r="BL155" s="129">
        <v>50698</v>
      </c>
      <c r="BM155" s="129">
        <v>52169</v>
      </c>
      <c r="BN155" s="129">
        <v>38773</v>
      </c>
      <c r="BO155" s="59">
        <v>0</v>
      </c>
      <c r="BP155" s="59">
        <v>0.38819999999999999</v>
      </c>
      <c r="BQ155" s="59">
        <v>0.11650000000000001</v>
      </c>
      <c r="BR155" s="59">
        <v>0</v>
      </c>
      <c r="BS155" s="59">
        <v>0</v>
      </c>
      <c r="BT155" s="49">
        <v>13.1</v>
      </c>
      <c r="BU155" s="59">
        <f t="shared" si="12"/>
        <v>0.50470000000000004</v>
      </c>
      <c r="BV155" s="59">
        <v>3.8800000000000001E-2</v>
      </c>
      <c r="BW155" s="59">
        <v>0</v>
      </c>
      <c r="BX155" s="59">
        <v>3.8800000000000001E-2</v>
      </c>
      <c r="BY155" s="59">
        <v>0</v>
      </c>
      <c r="BZ155" s="59">
        <v>0</v>
      </c>
      <c r="CA155" s="49">
        <v>19</v>
      </c>
      <c r="CB155" s="59">
        <f t="shared" si="13"/>
        <v>7.7600000000000002E-2</v>
      </c>
      <c r="CC155" s="59">
        <v>0.39829999999999999</v>
      </c>
      <c r="CD155" s="125">
        <v>0.40760000000000002</v>
      </c>
      <c r="CE155" s="125">
        <v>0.19409999999999999</v>
      </c>
      <c r="CF155" s="125">
        <v>0</v>
      </c>
      <c r="CG155" s="125">
        <v>0</v>
      </c>
      <c r="CH155" s="85">
        <v>12.5</v>
      </c>
      <c r="CI155" s="39" t="s">
        <v>264</v>
      </c>
      <c r="CJ155" s="18" t="s">
        <v>80</v>
      </c>
      <c r="CK155" s="20"/>
    </row>
    <row r="156" spans="1:95" x14ac:dyDescent="0.25">
      <c r="A156" s="18" t="s">
        <v>80</v>
      </c>
      <c r="B156" s="19" t="s">
        <v>260</v>
      </c>
      <c r="C156" s="39" t="s">
        <v>265</v>
      </c>
      <c r="D156" s="40">
        <v>3</v>
      </c>
      <c r="E156" s="40">
        <v>0</v>
      </c>
      <c r="F156" s="40">
        <v>3</v>
      </c>
      <c r="G156" s="166">
        <v>0</v>
      </c>
      <c r="H156" s="166">
        <v>0</v>
      </c>
      <c r="I156" s="162" t="s">
        <v>83</v>
      </c>
      <c r="J156" s="166">
        <v>1</v>
      </c>
      <c r="K156" s="166">
        <v>1</v>
      </c>
      <c r="L156" s="166">
        <v>0</v>
      </c>
      <c r="M156" s="166">
        <v>1</v>
      </c>
      <c r="N156" s="119">
        <v>9.5846645367412102E-3</v>
      </c>
      <c r="O156" s="119">
        <v>1.53061224489796E-2</v>
      </c>
      <c r="P156" s="119">
        <v>0</v>
      </c>
      <c r="Q156" s="119">
        <v>0</v>
      </c>
      <c r="R156" s="116" t="s">
        <v>83</v>
      </c>
      <c r="S156" s="119">
        <v>1.5625E-2</v>
      </c>
      <c r="T156" s="119">
        <v>1.9607843137254902E-2</v>
      </c>
      <c r="U156" s="119">
        <v>0</v>
      </c>
      <c r="V156" s="119">
        <v>3.2258064516128997E-2</v>
      </c>
      <c r="W156" s="40">
        <v>717</v>
      </c>
      <c r="X156" s="40">
        <f t="shared" si="10"/>
        <v>183</v>
      </c>
      <c r="Y156" s="40">
        <f t="shared" si="11"/>
        <v>288</v>
      </c>
      <c r="Z156" s="105">
        <v>0.502</v>
      </c>
      <c r="AA156" s="105">
        <v>0.498</v>
      </c>
      <c r="AB156" s="106">
        <v>0</v>
      </c>
      <c r="AC156" s="106">
        <v>0</v>
      </c>
      <c r="AD156" s="106">
        <f>5/717</f>
        <v>6.9735006973500697E-3</v>
      </c>
      <c r="AE156" s="106">
        <f>30/717</f>
        <v>4.1841004184100417E-2</v>
      </c>
      <c r="AF156" s="106">
        <v>0</v>
      </c>
      <c r="AG156" s="106">
        <f>675/717</f>
        <v>0.94142259414225937</v>
      </c>
      <c r="AH156" s="106">
        <f>7/717</f>
        <v>9.7629009762900971E-3</v>
      </c>
      <c r="AI156" s="106">
        <f>42/717</f>
        <v>5.8577405857740586E-2</v>
      </c>
      <c r="AJ156" s="105">
        <v>0.56764295676429566</v>
      </c>
      <c r="AK156" s="105">
        <v>1.4999999999999999E-2</v>
      </c>
      <c r="AL156" s="12">
        <v>51</v>
      </c>
      <c r="AM156" s="12">
        <v>54</v>
      </c>
      <c r="AN156" s="12">
        <v>0</v>
      </c>
      <c r="AO156" s="12">
        <v>58</v>
      </c>
      <c r="AP156" s="12">
        <v>49</v>
      </c>
      <c r="AQ156" s="12">
        <v>47</v>
      </c>
      <c r="AR156" s="12">
        <v>29</v>
      </c>
      <c r="AS156" s="59">
        <v>0</v>
      </c>
      <c r="AT156" s="3">
        <v>1</v>
      </c>
      <c r="AU156" s="3">
        <v>6</v>
      </c>
      <c r="AV156" s="54">
        <v>69.108280254777071</v>
      </c>
      <c r="AW156" s="54">
        <v>24.522292993630572</v>
      </c>
      <c r="AX156" s="54">
        <v>6.0509554140127388</v>
      </c>
      <c r="AY156" s="68">
        <v>0.31847133757961787</v>
      </c>
      <c r="AZ156" s="61">
        <v>0</v>
      </c>
      <c r="BA156" s="59">
        <v>6.8965517241379309E-2</v>
      </c>
      <c r="BB156" s="77">
        <v>93.981826754487599</v>
      </c>
      <c r="BC156" s="49">
        <v>27.553763440860202</v>
      </c>
      <c r="BD156" s="49">
        <v>4</v>
      </c>
      <c r="BE156" s="49">
        <v>8.3000000000000007</v>
      </c>
      <c r="BF156" s="49">
        <v>0</v>
      </c>
      <c r="BG156" s="49">
        <v>2.1</v>
      </c>
      <c r="BH156" s="49">
        <v>2.2000000000000002</v>
      </c>
      <c r="BI156" s="49">
        <v>0</v>
      </c>
      <c r="BJ156" s="85">
        <v>22</v>
      </c>
      <c r="BK156" s="129">
        <v>9818</v>
      </c>
      <c r="BL156" s="129">
        <v>50919</v>
      </c>
      <c r="BM156" s="129">
        <v>37161</v>
      </c>
      <c r="BN156" s="129">
        <v>36788</v>
      </c>
      <c r="BO156" s="59">
        <v>0</v>
      </c>
      <c r="BP156" s="59">
        <v>0.34229999999999999</v>
      </c>
      <c r="BQ156" s="59">
        <v>0.1394</v>
      </c>
      <c r="BR156" s="59">
        <v>0</v>
      </c>
      <c r="BS156" s="59">
        <v>2.1399999999999999E-2</v>
      </c>
      <c r="BT156" s="49">
        <v>13.9</v>
      </c>
      <c r="BU156" s="59">
        <f t="shared" si="12"/>
        <v>0.50309999999999999</v>
      </c>
      <c r="BV156" s="59">
        <v>2.1399999999999999E-2</v>
      </c>
      <c r="BW156" s="59">
        <v>1.0699999999999999E-2</v>
      </c>
      <c r="BX156" s="59">
        <v>3.2199999999999999E-2</v>
      </c>
      <c r="BY156" s="59">
        <v>0</v>
      </c>
      <c r="BZ156" s="59">
        <v>0</v>
      </c>
      <c r="CA156" s="49">
        <v>17.5</v>
      </c>
      <c r="CB156" s="59">
        <f t="shared" si="13"/>
        <v>6.4299999999999996E-2</v>
      </c>
      <c r="CC156" s="59">
        <v>0.3896</v>
      </c>
      <c r="CD156" s="125">
        <v>0.39589999999999997</v>
      </c>
      <c r="CE156" s="125">
        <v>0.193</v>
      </c>
      <c r="CF156" s="125">
        <v>0</v>
      </c>
      <c r="CG156" s="125">
        <v>2.1399999999999999E-2</v>
      </c>
      <c r="CH156" s="85">
        <v>11.8</v>
      </c>
      <c r="CI156" s="39" t="s">
        <v>265</v>
      </c>
      <c r="CJ156" s="18" t="s">
        <v>80</v>
      </c>
      <c r="CK156" s="20"/>
    </row>
    <row r="157" spans="1:95" x14ac:dyDescent="0.25">
      <c r="A157" s="18" t="s">
        <v>80</v>
      </c>
      <c r="B157" s="19" t="s">
        <v>260</v>
      </c>
      <c r="C157" s="39" t="s">
        <v>266</v>
      </c>
      <c r="D157" s="40">
        <v>31</v>
      </c>
      <c r="E157" s="40" t="s">
        <v>83</v>
      </c>
      <c r="F157" s="40">
        <v>31</v>
      </c>
      <c r="G157" s="162" t="s">
        <v>83</v>
      </c>
      <c r="H157" s="162" t="s">
        <v>83</v>
      </c>
      <c r="I157" s="166">
        <v>0</v>
      </c>
      <c r="J157" s="166">
        <v>7</v>
      </c>
      <c r="K157" s="166">
        <v>13</v>
      </c>
      <c r="L157" s="166">
        <v>6</v>
      </c>
      <c r="M157" s="166">
        <v>5</v>
      </c>
      <c r="N157" s="119">
        <v>2.2578295702840499E-2</v>
      </c>
      <c r="O157" s="119">
        <v>2.2578295702840499E-2</v>
      </c>
      <c r="P157" s="116" t="s">
        <v>83</v>
      </c>
      <c r="Q157" s="116" t="s">
        <v>83</v>
      </c>
      <c r="R157" s="119">
        <v>0</v>
      </c>
      <c r="S157" s="119">
        <v>1.8041237113402098E-2</v>
      </c>
      <c r="T157" s="119">
        <v>3.4759358288770102E-2</v>
      </c>
      <c r="U157" s="119">
        <v>1.91693290734824E-2</v>
      </c>
      <c r="V157" s="119">
        <v>1.7605633802816899E-2</v>
      </c>
      <c r="W157" s="40">
        <v>1283</v>
      </c>
      <c r="X157" s="40">
        <f t="shared" si="10"/>
        <v>1283</v>
      </c>
      <c r="Y157" s="40">
        <f t="shared" si="11"/>
        <v>1283</v>
      </c>
      <c r="Z157" s="105">
        <v>0.51300000000000001</v>
      </c>
      <c r="AA157" s="105">
        <v>0.48699999999999999</v>
      </c>
      <c r="AB157" s="106">
        <f>3/1283</f>
        <v>2.3382696804364772E-3</v>
      </c>
      <c r="AC157" s="106">
        <f>4/1283</f>
        <v>3.1176929072486361E-3</v>
      </c>
      <c r="AD157" s="106">
        <f>45/1283</f>
        <v>3.5074045206547153E-2</v>
      </c>
      <c r="AE157" s="106">
        <f>21/1283</f>
        <v>1.6367887763055339E-2</v>
      </c>
      <c r="AF157" s="106">
        <v>0</v>
      </c>
      <c r="AG157" s="106">
        <f>1210/1283</f>
        <v>0.94310210444271236</v>
      </c>
      <c r="AH157" s="106">
        <v>0</v>
      </c>
      <c r="AI157" s="106">
        <f>73/1283</f>
        <v>5.6897895557287609E-2</v>
      </c>
      <c r="AJ157" s="105">
        <v>0.33593141075604055</v>
      </c>
      <c r="AK157" s="105">
        <v>2E-3</v>
      </c>
      <c r="AL157" s="12">
        <v>0</v>
      </c>
      <c r="AM157" s="12">
        <v>0</v>
      </c>
      <c r="AN157" s="12">
        <v>13</v>
      </c>
      <c r="AO157" s="12">
        <v>361</v>
      </c>
      <c r="AP157" s="12">
        <v>348</v>
      </c>
      <c r="AQ157" s="12">
        <v>297</v>
      </c>
      <c r="AR157" s="12">
        <v>264</v>
      </c>
      <c r="AS157" s="59">
        <v>3.4759358288770054E-2</v>
      </c>
      <c r="AT157" s="3">
        <v>9</v>
      </c>
      <c r="AU157" s="3">
        <v>6</v>
      </c>
      <c r="AV157" s="54">
        <v>48.892405063291136</v>
      </c>
      <c r="AW157" s="54">
        <v>24.367088607594937</v>
      </c>
      <c r="AX157" s="54">
        <v>26.582278481012654</v>
      </c>
      <c r="AY157" s="68">
        <v>0.15822784810126583</v>
      </c>
      <c r="AZ157" s="61">
        <v>0</v>
      </c>
      <c r="BA157" s="59">
        <v>0.10666666666666667</v>
      </c>
      <c r="BB157" s="76">
        <v>93.400553485004494</v>
      </c>
      <c r="BC157" s="49">
        <v>27.708179808400899</v>
      </c>
      <c r="BD157" s="90" t="s">
        <v>83</v>
      </c>
      <c r="BE157" s="90" t="s">
        <v>83</v>
      </c>
      <c r="BF157" s="49">
        <v>0.3</v>
      </c>
      <c r="BG157" s="49">
        <v>0</v>
      </c>
      <c r="BH157" s="49">
        <v>0.7</v>
      </c>
      <c r="BI157" s="49">
        <v>1.5</v>
      </c>
      <c r="BJ157" s="85">
        <v>21.4</v>
      </c>
      <c r="BK157" s="129">
        <v>8370</v>
      </c>
      <c r="BL157" s="129">
        <v>50291</v>
      </c>
      <c r="BM157" s="129">
        <v>35952</v>
      </c>
      <c r="BN157" s="129">
        <v>35253</v>
      </c>
      <c r="BO157" s="59">
        <v>7.1000000000000004E-3</v>
      </c>
      <c r="BP157" s="59">
        <v>0.3281</v>
      </c>
      <c r="BQ157" s="59">
        <v>0.1236</v>
      </c>
      <c r="BR157" s="59">
        <v>7.1000000000000004E-3</v>
      </c>
      <c r="BS157" s="59">
        <v>0</v>
      </c>
      <c r="BT157" s="49">
        <v>12.1</v>
      </c>
      <c r="BU157" s="59">
        <f t="shared" si="12"/>
        <v>0.46589999999999998</v>
      </c>
      <c r="BV157" s="59">
        <v>4.9399999999999999E-2</v>
      </c>
      <c r="BW157" s="59">
        <v>0</v>
      </c>
      <c r="BX157" s="59">
        <v>8.8999999999999999E-3</v>
      </c>
      <c r="BY157" s="59">
        <v>0</v>
      </c>
      <c r="BZ157" s="59">
        <v>0</v>
      </c>
      <c r="CA157" s="49">
        <v>6</v>
      </c>
      <c r="CB157" s="59">
        <f t="shared" si="13"/>
        <v>5.8299999999999998E-2</v>
      </c>
      <c r="CC157" s="59">
        <v>0.47460000000000002</v>
      </c>
      <c r="CD157" s="125">
        <v>0.35039999999999999</v>
      </c>
      <c r="CE157" s="125">
        <v>0.1678</v>
      </c>
      <c r="CF157" s="125">
        <v>7.1000000000000004E-3</v>
      </c>
      <c r="CG157" s="125">
        <v>0</v>
      </c>
      <c r="CH157" s="85">
        <v>10.3</v>
      </c>
      <c r="CI157" s="39" t="s">
        <v>266</v>
      </c>
      <c r="CJ157" s="18" t="s">
        <v>80</v>
      </c>
      <c r="CK157" s="20"/>
    </row>
    <row r="158" spans="1:95" x14ac:dyDescent="0.25">
      <c r="A158" s="18" t="s">
        <v>80</v>
      </c>
      <c r="B158" s="19" t="s">
        <v>260</v>
      </c>
      <c r="C158" s="39" t="s">
        <v>267</v>
      </c>
      <c r="D158" s="40">
        <v>1</v>
      </c>
      <c r="E158" s="40">
        <v>0</v>
      </c>
      <c r="F158" s="40">
        <v>1</v>
      </c>
      <c r="G158" s="166">
        <v>0</v>
      </c>
      <c r="H158" s="166">
        <v>0</v>
      </c>
      <c r="I158" s="166">
        <v>0</v>
      </c>
      <c r="J158" s="166">
        <v>1</v>
      </c>
      <c r="K158" s="166">
        <v>0</v>
      </c>
      <c r="L158" s="166">
        <v>0</v>
      </c>
      <c r="M158" s="166">
        <v>0</v>
      </c>
      <c r="N158" s="119">
        <v>5.40540540540541E-3</v>
      </c>
      <c r="O158" s="119">
        <v>8.7719298245613996E-3</v>
      </c>
      <c r="P158" s="119">
        <v>0</v>
      </c>
      <c r="Q158" s="119">
        <v>0</v>
      </c>
      <c r="R158" s="119">
        <v>0</v>
      </c>
      <c r="S158" s="119">
        <v>4.5454545454545497E-2</v>
      </c>
      <c r="T158" s="119">
        <v>0</v>
      </c>
      <c r="U158" s="119">
        <v>0</v>
      </c>
      <c r="V158" s="119">
        <v>0</v>
      </c>
      <c r="W158" s="40">
        <v>415</v>
      </c>
      <c r="X158" s="40">
        <f t="shared" si="10"/>
        <v>105</v>
      </c>
      <c r="Y158" s="40">
        <f t="shared" si="11"/>
        <v>167</v>
      </c>
      <c r="Z158" s="105">
        <v>0.51300000000000001</v>
      </c>
      <c r="AA158" s="105">
        <v>0.48699999999999999</v>
      </c>
      <c r="AB158" s="106">
        <v>0</v>
      </c>
      <c r="AC158" s="106">
        <v>0</v>
      </c>
      <c r="AD158" s="106">
        <f>5/415</f>
        <v>1.2048192771084338E-2</v>
      </c>
      <c r="AE158" s="106">
        <f>12/415</f>
        <v>2.891566265060241E-2</v>
      </c>
      <c r="AF158" s="106">
        <v>0</v>
      </c>
      <c r="AG158" s="106">
        <f>397/415</f>
        <v>0.95662650602409638</v>
      </c>
      <c r="AH158" s="106">
        <f>1/415</f>
        <v>2.4096385542168677E-3</v>
      </c>
      <c r="AI158" s="106">
        <f>18/415</f>
        <v>4.3373493975903614E-2</v>
      </c>
      <c r="AJ158" s="105">
        <v>0.57831325301204817</v>
      </c>
      <c r="AK158" s="105">
        <v>0.01</v>
      </c>
      <c r="AL158" s="12">
        <v>29</v>
      </c>
      <c r="AM158" s="12">
        <v>33</v>
      </c>
      <c r="AN158" s="12">
        <v>3</v>
      </c>
      <c r="AO158" s="12">
        <v>19</v>
      </c>
      <c r="AP158" s="12">
        <v>27</v>
      </c>
      <c r="AQ158" s="12">
        <v>31</v>
      </c>
      <c r="AR158" s="12">
        <v>25</v>
      </c>
      <c r="AS158" s="59">
        <v>0.13636363636363635</v>
      </c>
      <c r="AT158" s="3">
        <v>1</v>
      </c>
      <c r="AU158" s="3">
        <v>6</v>
      </c>
      <c r="AV158" s="54">
        <v>86.206896551724128</v>
      </c>
      <c r="AW158" s="54">
        <v>7.7586206896551726</v>
      </c>
      <c r="AX158" s="54">
        <v>4.7413793103448274</v>
      </c>
      <c r="AY158" s="68">
        <v>1.2931034482758621</v>
      </c>
      <c r="AZ158" s="61">
        <v>0</v>
      </c>
      <c r="BA158" s="59">
        <v>0.05</v>
      </c>
      <c r="BB158" s="76">
        <v>94.029909088973099</v>
      </c>
      <c r="BC158" s="49">
        <v>17.8571428571429</v>
      </c>
      <c r="BD158" s="93">
        <v>0</v>
      </c>
      <c r="BE158" s="49">
        <v>2.9</v>
      </c>
      <c r="BF158" s="49">
        <v>0</v>
      </c>
      <c r="BG158" s="49">
        <v>0</v>
      </c>
      <c r="BH158" s="49">
        <v>0</v>
      </c>
      <c r="BI158" s="49">
        <v>0</v>
      </c>
      <c r="BJ158" s="85">
        <v>20.9</v>
      </c>
      <c r="BK158" s="129">
        <v>11842</v>
      </c>
      <c r="BL158" s="129">
        <v>49752</v>
      </c>
      <c r="BM158" s="129">
        <v>58924</v>
      </c>
      <c r="BN158" s="129">
        <v>39603</v>
      </c>
      <c r="BO158" s="59">
        <v>0</v>
      </c>
      <c r="BP158" s="59">
        <v>0.37230000000000002</v>
      </c>
      <c r="BQ158" s="59">
        <v>0.1474</v>
      </c>
      <c r="BR158" s="59">
        <v>0</v>
      </c>
      <c r="BS158" s="59">
        <v>0</v>
      </c>
      <c r="BT158" s="49">
        <v>13</v>
      </c>
      <c r="BU158" s="59">
        <f t="shared" si="12"/>
        <v>0.51970000000000005</v>
      </c>
      <c r="BV158" s="59">
        <v>3.1E-2</v>
      </c>
      <c r="BW158" s="59">
        <v>1.55E-2</v>
      </c>
      <c r="BX158" s="59">
        <v>2.23E-2</v>
      </c>
      <c r="BY158" s="59">
        <v>1.55E-2</v>
      </c>
      <c r="BZ158" s="59">
        <v>0</v>
      </c>
      <c r="CA158" s="49">
        <v>23.8</v>
      </c>
      <c r="CB158" s="59">
        <f t="shared" si="13"/>
        <v>8.43E-2</v>
      </c>
      <c r="CC158" s="59">
        <v>0.38040000000000002</v>
      </c>
      <c r="CD158" s="125">
        <v>0.40339999999999998</v>
      </c>
      <c r="CE158" s="125">
        <v>0.20069999999999999</v>
      </c>
      <c r="CF158" s="125">
        <v>1.55E-2</v>
      </c>
      <c r="CG158" s="125">
        <v>0</v>
      </c>
      <c r="CH158" s="85">
        <v>13.1</v>
      </c>
      <c r="CI158" s="39" t="s">
        <v>267</v>
      </c>
      <c r="CJ158" s="18" t="s">
        <v>80</v>
      </c>
      <c r="CK158" s="20"/>
    </row>
    <row r="159" spans="1:95" x14ac:dyDescent="0.25">
      <c r="A159" s="18" t="s">
        <v>80</v>
      </c>
      <c r="B159" s="19" t="s">
        <v>260</v>
      </c>
      <c r="C159" s="39" t="s">
        <v>268</v>
      </c>
      <c r="D159" s="40">
        <v>9</v>
      </c>
      <c r="E159" s="40" t="s">
        <v>83</v>
      </c>
      <c r="F159" s="40">
        <v>9</v>
      </c>
      <c r="G159" s="162" t="s">
        <v>83</v>
      </c>
      <c r="H159" s="162" t="s">
        <v>83</v>
      </c>
      <c r="I159" s="166">
        <v>1</v>
      </c>
      <c r="J159" s="166">
        <v>2</v>
      </c>
      <c r="K159" s="166">
        <v>2</v>
      </c>
      <c r="L159" s="166">
        <v>2</v>
      </c>
      <c r="M159" s="166">
        <v>2</v>
      </c>
      <c r="N159" s="119">
        <v>2.3195876288659802E-2</v>
      </c>
      <c r="O159" s="119">
        <v>2.3195876288659802E-2</v>
      </c>
      <c r="P159" s="116" t="s">
        <v>83</v>
      </c>
      <c r="Q159" s="116" t="s">
        <v>83</v>
      </c>
      <c r="R159" s="119">
        <v>7.1428571428571397E-2</v>
      </c>
      <c r="S159" s="119">
        <v>2.1505376344085999E-2</v>
      </c>
      <c r="T159" s="119">
        <v>1.5748031496062999E-2</v>
      </c>
      <c r="U159" s="119">
        <v>2.6315789473684199E-2</v>
      </c>
      <c r="V159" s="119">
        <v>2.5641025641025599E-2</v>
      </c>
      <c r="W159" s="40">
        <v>361</v>
      </c>
      <c r="X159" s="40">
        <f t="shared" si="10"/>
        <v>361</v>
      </c>
      <c r="Y159" s="40">
        <f t="shared" si="11"/>
        <v>361</v>
      </c>
      <c r="Z159" s="105">
        <v>0.49299999999999999</v>
      </c>
      <c r="AA159" s="105">
        <v>0.50700000000000001</v>
      </c>
      <c r="AB159" s="106">
        <v>0</v>
      </c>
      <c r="AC159" s="106">
        <f>1/361</f>
        <v>2.7700831024930748E-3</v>
      </c>
      <c r="AD159" s="106">
        <f>57/361</f>
        <v>0.15789473684210525</v>
      </c>
      <c r="AE159" s="106">
        <f>7/361</f>
        <v>1.9390581717451522E-2</v>
      </c>
      <c r="AF159" s="106">
        <v>0</v>
      </c>
      <c r="AG159" s="106">
        <f>296/361</f>
        <v>0.81994459833795019</v>
      </c>
      <c r="AH159" s="106">
        <v>0</v>
      </c>
      <c r="AI159" s="106">
        <f>65/361</f>
        <v>0.18005540166204986</v>
      </c>
      <c r="AJ159" s="105">
        <v>0.59002770083102496</v>
      </c>
      <c r="AK159" s="105">
        <v>0</v>
      </c>
      <c r="AL159" s="12">
        <v>0</v>
      </c>
      <c r="AM159" s="12">
        <v>0</v>
      </c>
      <c r="AN159" s="12">
        <v>8</v>
      </c>
      <c r="AO159" s="12">
        <v>88</v>
      </c>
      <c r="AP159" s="12">
        <v>117</v>
      </c>
      <c r="AQ159" s="12">
        <v>72</v>
      </c>
      <c r="AR159" s="12">
        <v>76</v>
      </c>
      <c r="AS159" s="59">
        <v>8.3333333333333329E-2</v>
      </c>
      <c r="AT159" s="3">
        <v>9</v>
      </c>
      <c r="AU159" s="3">
        <v>6</v>
      </c>
      <c r="AV159" s="54">
        <v>67.889908256880744</v>
      </c>
      <c r="AW159" s="54">
        <v>20.183486238532112</v>
      </c>
      <c r="AX159" s="54">
        <v>11.467889908256881</v>
      </c>
      <c r="AY159" s="68">
        <v>0.45871559633027525</v>
      </c>
      <c r="AZ159" s="61">
        <v>0</v>
      </c>
      <c r="BA159" s="59">
        <v>0.20157068062827224</v>
      </c>
      <c r="BB159" s="77">
        <v>92.128198415316106</v>
      </c>
      <c r="BC159" s="49">
        <v>29.319371727748699</v>
      </c>
      <c r="BD159" s="90" t="s">
        <v>83</v>
      </c>
      <c r="BE159" s="90" t="s">
        <v>83</v>
      </c>
      <c r="BF159" s="49">
        <v>0</v>
      </c>
      <c r="BG159" s="49">
        <v>1.8</v>
      </c>
      <c r="BH159" s="49">
        <v>0</v>
      </c>
      <c r="BI159" s="49">
        <v>4.3</v>
      </c>
      <c r="BJ159" s="85">
        <v>19.600000000000001</v>
      </c>
      <c r="BK159" s="129">
        <v>10961</v>
      </c>
      <c r="BL159" s="129">
        <v>49928</v>
      </c>
      <c r="BM159" s="129">
        <v>52256</v>
      </c>
      <c r="BN159" s="129">
        <v>37249</v>
      </c>
      <c r="BO159" s="59">
        <v>0</v>
      </c>
      <c r="BP159" s="59">
        <v>0.34820000000000001</v>
      </c>
      <c r="BQ159" s="59">
        <v>0.11609999999999999</v>
      </c>
      <c r="BR159" s="59">
        <v>0</v>
      </c>
      <c r="BS159" s="59">
        <v>0</v>
      </c>
      <c r="BT159" s="49">
        <v>11.5</v>
      </c>
      <c r="BU159" s="59">
        <f t="shared" si="12"/>
        <v>0.46429999999999999</v>
      </c>
      <c r="BV159" s="59">
        <v>3.8699999999999998E-2</v>
      </c>
      <c r="BW159" s="59">
        <v>0</v>
      </c>
      <c r="BX159" s="59">
        <v>4.0300000000000002E-2</v>
      </c>
      <c r="BY159" s="59">
        <v>0</v>
      </c>
      <c r="BZ159" s="59">
        <v>0</v>
      </c>
      <c r="CA159" s="49">
        <v>12.5</v>
      </c>
      <c r="CB159" s="59">
        <f t="shared" si="13"/>
        <v>7.9000000000000001E-2</v>
      </c>
      <c r="CC159" s="59">
        <v>0.45679999999999998</v>
      </c>
      <c r="CD159" s="125">
        <v>0.34820000000000001</v>
      </c>
      <c r="CE159" s="125">
        <v>0.19500000000000001</v>
      </c>
      <c r="CF159" s="125">
        <v>0</v>
      </c>
      <c r="CG159" s="125">
        <v>0</v>
      </c>
      <c r="CH159" s="85">
        <v>11.1</v>
      </c>
      <c r="CI159" s="39" t="s">
        <v>268</v>
      </c>
      <c r="CJ159" s="18" t="s">
        <v>80</v>
      </c>
      <c r="CK159" s="20"/>
    </row>
    <row r="160" spans="1:95" x14ac:dyDescent="0.25">
      <c r="A160" s="18" t="s">
        <v>80</v>
      </c>
      <c r="B160" s="19" t="s">
        <v>260</v>
      </c>
      <c r="C160" s="39" t="s">
        <v>269</v>
      </c>
      <c r="D160" s="40">
        <v>39</v>
      </c>
      <c r="E160" s="40" t="s">
        <v>83</v>
      </c>
      <c r="F160" s="40">
        <v>39</v>
      </c>
      <c r="G160" s="162" t="s">
        <v>83</v>
      </c>
      <c r="H160" s="162" t="s">
        <v>83</v>
      </c>
      <c r="I160" s="166">
        <v>1</v>
      </c>
      <c r="J160" s="166">
        <v>10</v>
      </c>
      <c r="K160" s="166">
        <v>15</v>
      </c>
      <c r="L160" s="166">
        <v>10</v>
      </c>
      <c r="M160" s="166">
        <v>3</v>
      </c>
      <c r="N160" s="101">
        <f>39/1767</f>
        <v>2.2071307300509338E-2</v>
      </c>
      <c r="O160" s="101">
        <f>39/1767</f>
        <v>2.2071307300509338E-2</v>
      </c>
      <c r="P160" s="116" t="s">
        <v>83</v>
      </c>
      <c r="Q160" s="116" t="s">
        <v>83</v>
      </c>
      <c r="R160" s="119">
        <v>3.7037037037037E-2</v>
      </c>
      <c r="S160" s="119">
        <v>1.9493177387914201E-2</v>
      </c>
      <c r="T160" s="119">
        <v>3.1185031185031201E-2</v>
      </c>
      <c r="U160" s="119">
        <v>2.5706940874036001E-2</v>
      </c>
      <c r="V160" s="119">
        <v>8.4033613445378096E-3</v>
      </c>
      <c r="W160" s="6">
        <v>1611</v>
      </c>
      <c r="X160" s="40">
        <f t="shared" si="10"/>
        <v>1611</v>
      </c>
      <c r="Y160" s="40">
        <f t="shared" si="11"/>
        <v>1611</v>
      </c>
      <c r="Z160" s="61">
        <f>760/1611</f>
        <v>0.47175667287399131</v>
      </c>
      <c r="AA160" s="61">
        <f>851/1611</f>
        <v>0.52824332712600874</v>
      </c>
      <c r="AB160" s="61">
        <f>1/1611</f>
        <v>6.207324643078833E-4</v>
      </c>
      <c r="AC160" s="61">
        <f>11/1611</f>
        <v>6.8280571073867161E-3</v>
      </c>
      <c r="AD160" s="61">
        <f>127/1611</f>
        <v>7.883302296710118E-2</v>
      </c>
      <c r="AE160" s="61">
        <f>44/1611</f>
        <v>2.7312228429546864E-2</v>
      </c>
      <c r="AF160" s="61">
        <v>0</v>
      </c>
      <c r="AG160" s="61">
        <f>1426/1611</f>
        <v>0.88516449410304154</v>
      </c>
      <c r="AH160" s="61">
        <f>2/1611</f>
        <v>1.2414649286157666E-3</v>
      </c>
      <c r="AI160" s="61">
        <f>185/1611</f>
        <v>0.11483550589695841</v>
      </c>
      <c r="AJ160" s="61">
        <f>771/1611</f>
        <v>0.47858472998137802</v>
      </c>
      <c r="AK160" s="61">
        <f>6/1611</f>
        <v>3.7243947858472998E-3</v>
      </c>
      <c r="AL160" s="3">
        <v>0</v>
      </c>
      <c r="AM160" s="3">
        <v>0</v>
      </c>
      <c r="AN160" s="3">
        <v>26</v>
      </c>
      <c r="AO160" s="3">
        <v>465</v>
      </c>
      <c r="AP160" s="3">
        <v>429</v>
      </c>
      <c r="AQ160" s="3">
        <v>355</v>
      </c>
      <c r="AR160" s="3">
        <v>336</v>
      </c>
      <c r="AS160" s="59">
        <v>5.2953156822810592E-2</v>
      </c>
      <c r="AT160" s="3">
        <v>9</v>
      </c>
      <c r="AU160" s="3">
        <v>6</v>
      </c>
      <c r="AV160" s="55">
        <v>40</v>
      </c>
      <c r="AW160" s="55">
        <v>19.248120300751882</v>
      </c>
      <c r="AX160" s="55">
        <v>36.84210526315789</v>
      </c>
      <c r="AY160" s="69">
        <v>3.9097744360902258</v>
      </c>
      <c r="AZ160" s="61">
        <v>0</v>
      </c>
      <c r="BA160" s="60">
        <v>0.18001241464928616</v>
      </c>
      <c r="BB160" s="76">
        <v>93.555592731674693</v>
      </c>
      <c r="BC160" s="49">
        <v>29.574999999999999</v>
      </c>
      <c r="BD160" s="90" t="s">
        <v>83</v>
      </c>
      <c r="BE160" s="90" t="s">
        <v>83</v>
      </c>
      <c r="BF160" s="49">
        <v>4.2</v>
      </c>
      <c r="BG160" s="49">
        <v>7</v>
      </c>
      <c r="BH160" s="49">
        <v>1.8</v>
      </c>
      <c r="BI160" s="49">
        <v>5.0999999999999996</v>
      </c>
      <c r="BJ160" s="85">
        <v>20.2</v>
      </c>
      <c r="BK160" s="129">
        <v>7962</v>
      </c>
      <c r="BL160" s="129">
        <v>49881</v>
      </c>
      <c r="BM160" s="129">
        <v>44390</v>
      </c>
      <c r="BN160" s="129">
        <v>38864</v>
      </c>
      <c r="BO160" s="59">
        <v>0</v>
      </c>
      <c r="BP160" s="59">
        <v>0.39</v>
      </c>
      <c r="BQ160" s="59">
        <v>0.16550000000000001</v>
      </c>
      <c r="BR160" s="59">
        <v>0</v>
      </c>
      <c r="BS160" s="59">
        <v>0</v>
      </c>
      <c r="BT160" s="49">
        <v>10.8</v>
      </c>
      <c r="BU160" s="59">
        <f t="shared" si="12"/>
        <v>0.55549999999999999</v>
      </c>
      <c r="BV160" s="59">
        <v>3.9600000000000003E-2</v>
      </c>
      <c r="BW160" s="59">
        <v>9.7000000000000003E-3</v>
      </c>
      <c r="BX160" s="59">
        <v>1.95E-2</v>
      </c>
      <c r="BY160" s="59">
        <v>0</v>
      </c>
      <c r="BZ160" s="59">
        <v>0</v>
      </c>
      <c r="CA160" s="49">
        <v>13</v>
      </c>
      <c r="CB160" s="59">
        <f t="shared" si="13"/>
        <v>6.88E-2</v>
      </c>
      <c r="CC160" s="59">
        <v>0.37630000000000002</v>
      </c>
      <c r="CD160" s="125">
        <v>0.39979999999999999</v>
      </c>
      <c r="CE160" s="125">
        <v>0.22389999999999999</v>
      </c>
      <c r="CF160" s="125">
        <v>0</v>
      </c>
      <c r="CG160" s="125">
        <v>0</v>
      </c>
      <c r="CH160" s="85">
        <v>9.4</v>
      </c>
      <c r="CI160" s="39" t="s">
        <v>269</v>
      </c>
      <c r="CJ160" s="18" t="s">
        <v>80</v>
      </c>
      <c r="CK160" s="20"/>
    </row>
    <row r="161" spans="1:89" x14ac:dyDescent="0.25">
      <c r="A161" s="18" t="s">
        <v>80</v>
      </c>
      <c r="B161" s="19" t="s">
        <v>270</v>
      </c>
      <c r="C161" s="43" t="s">
        <v>271</v>
      </c>
      <c r="D161" s="44">
        <v>25</v>
      </c>
      <c r="E161" s="40" t="s">
        <v>83</v>
      </c>
      <c r="F161" s="44">
        <v>25</v>
      </c>
      <c r="G161" s="162" t="s">
        <v>83</v>
      </c>
      <c r="H161" s="162" t="s">
        <v>83</v>
      </c>
      <c r="I161" s="166">
        <v>1</v>
      </c>
      <c r="J161" s="166">
        <v>5</v>
      </c>
      <c r="K161" s="166">
        <v>9</v>
      </c>
      <c r="L161" s="166">
        <v>3</v>
      </c>
      <c r="M161" s="166">
        <v>7</v>
      </c>
      <c r="N161" s="119">
        <v>4.7528517110266198E-2</v>
      </c>
      <c r="O161" s="119">
        <v>4.7528517110266198E-2</v>
      </c>
      <c r="P161" s="116" t="s">
        <v>83</v>
      </c>
      <c r="Q161" s="116" t="s">
        <v>83</v>
      </c>
      <c r="R161" s="119">
        <v>3.4482758620689703E-2</v>
      </c>
      <c r="S161" s="119">
        <v>3.7037037037037E-2</v>
      </c>
      <c r="T161" s="119">
        <v>7.0866141732283505E-2</v>
      </c>
      <c r="U161" s="119">
        <v>2.6315789473684199E-2</v>
      </c>
      <c r="V161" s="119">
        <v>5.7851239669421503E-2</v>
      </c>
      <c r="W161" s="44">
        <v>471</v>
      </c>
      <c r="X161" s="40">
        <f t="shared" si="10"/>
        <v>471</v>
      </c>
      <c r="Y161" s="40">
        <f t="shared" si="11"/>
        <v>471</v>
      </c>
      <c r="Z161" s="108">
        <v>0.501</v>
      </c>
      <c r="AA161" s="108">
        <v>0.499</v>
      </c>
      <c r="AB161" s="106">
        <v>0</v>
      </c>
      <c r="AC161" s="106">
        <v>0</v>
      </c>
      <c r="AD161" s="106">
        <f>454/471</f>
        <v>0.96390658174097665</v>
      </c>
      <c r="AE161" s="106">
        <f>3/471</f>
        <v>6.369426751592357E-3</v>
      </c>
      <c r="AF161" s="106">
        <v>0</v>
      </c>
      <c r="AG161" s="106">
        <f>11/471</f>
        <v>2.3354564755838639E-2</v>
      </c>
      <c r="AH161" s="106">
        <f>3/471</f>
        <v>6.369426751592357E-3</v>
      </c>
      <c r="AI161" s="106">
        <f>460/471</f>
        <v>0.97664543524416136</v>
      </c>
      <c r="AJ161" s="108">
        <v>0.93205944798301488</v>
      </c>
      <c r="AK161" s="108">
        <v>0</v>
      </c>
      <c r="AL161" s="13">
        <v>0</v>
      </c>
      <c r="AM161" s="13">
        <v>0</v>
      </c>
      <c r="AN161" s="13">
        <v>24</v>
      </c>
      <c r="AO161" s="13">
        <v>119</v>
      </c>
      <c r="AP161" s="13">
        <v>106</v>
      </c>
      <c r="AQ161" s="13">
        <v>107</v>
      </c>
      <c r="AR161" s="13">
        <v>115</v>
      </c>
      <c r="AS161" s="59">
        <v>0.16783216783216784</v>
      </c>
      <c r="AT161" s="3">
        <v>9</v>
      </c>
      <c r="AU161" s="3">
        <v>6</v>
      </c>
      <c r="AV161" s="54">
        <v>66.222222222222229</v>
      </c>
      <c r="AW161" s="54">
        <v>19.111111111111111</v>
      </c>
      <c r="AX161" s="54">
        <v>14.666666666666666</v>
      </c>
      <c r="AY161" s="68">
        <v>0</v>
      </c>
      <c r="AZ161" s="59">
        <v>0.20736434108527133</v>
      </c>
      <c r="BA161" s="59">
        <v>0.18023255813953487</v>
      </c>
      <c r="BB161" s="77">
        <v>90.453410252921003</v>
      </c>
      <c r="BC161" s="49">
        <v>44.807692307692299</v>
      </c>
      <c r="BD161" s="90" t="s">
        <v>83</v>
      </c>
      <c r="BE161" s="90" t="s">
        <v>83</v>
      </c>
      <c r="BF161" s="49">
        <v>3.7</v>
      </c>
      <c r="BG161" s="49">
        <v>13.2</v>
      </c>
      <c r="BH161" s="49">
        <v>4.9000000000000004</v>
      </c>
      <c r="BI161" s="49">
        <v>3.7</v>
      </c>
      <c r="BJ161" s="85">
        <v>15</v>
      </c>
      <c r="BK161" s="129">
        <v>13340</v>
      </c>
      <c r="BL161" s="129">
        <v>49547</v>
      </c>
      <c r="BM161" s="129">
        <v>45091</v>
      </c>
      <c r="BN161" s="129">
        <v>39856</v>
      </c>
      <c r="BO161" s="59">
        <v>0</v>
      </c>
      <c r="BP161" s="59">
        <v>0.1948</v>
      </c>
      <c r="BQ161" s="59">
        <v>0.23910000000000001</v>
      </c>
      <c r="BR161" s="59">
        <v>0</v>
      </c>
      <c r="BS161" s="59">
        <v>3.56E-2</v>
      </c>
      <c r="BT161" s="49">
        <v>19.899999999999999</v>
      </c>
      <c r="BU161" s="59">
        <f t="shared" si="12"/>
        <v>0.46950000000000003</v>
      </c>
      <c r="BV161" s="59">
        <v>3.3599999999999998E-2</v>
      </c>
      <c r="BW161" s="59">
        <v>1.66E-2</v>
      </c>
      <c r="BX161" s="59">
        <v>1.78E-2</v>
      </c>
      <c r="BY161" s="59">
        <v>1.78E-2</v>
      </c>
      <c r="BZ161" s="59">
        <v>0</v>
      </c>
      <c r="CA161" s="49">
        <v>17.8</v>
      </c>
      <c r="CB161" s="59">
        <f t="shared" si="13"/>
        <v>8.5799999999999987E-2</v>
      </c>
      <c r="CC161" s="59">
        <v>0.30249999999999999</v>
      </c>
      <c r="CD161" s="125">
        <v>0.29970000000000002</v>
      </c>
      <c r="CE161" s="125">
        <v>0.32650000000000001</v>
      </c>
      <c r="CF161" s="125">
        <v>1.78E-2</v>
      </c>
      <c r="CG161" s="125">
        <v>5.3400000000000003E-2</v>
      </c>
      <c r="CH161" s="85">
        <v>17.3</v>
      </c>
      <c r="CI161" s="43" t="s">
        <v>271</v>
      </c>
      <c r="CJ161" s="18" t="s">
        <v>80</v>
      </c>
      <c r="CK161" s="20"/>
    </row>
    <row r="162" spans="1:89" x14ac:dyDescent="0.25">
      <c r="A162" s="18" t="s">
        <v>80</v>
      </c>
      <c r="B162" s="19" t="s">
        <v>272</v>
      </c>
      <c r="C162" s="43" t="s">
        <v>273</v>
      </c>
      <c r="D162" s="44">
        <v>84</v>
      </c>
      <c r="E162" s="40" t="s">
        <v>83</v>
      </c>
      <c r="F162" s="44">
        <v>84</v>
      </c>
      <c r="G162" s="162" t="s">
        <v>83</v>
      </c>
      <c r="H162" s="162" t="s">
        <v>83</v>
      </c>
      <c r="I162" s="166">
        <v>0</v>
      </c>
      <c r="J162" s="166">
        <v>18</v>
      </c>
      <c r="K162" s="166">
        <v>21</v>
      </c>
      <c r="L162" s="166">
        <v>20</v>
      </c>
      <c r="M162" s="166">
        <v>25</v>
      </c>
      <c r="N162" s="119">
        <v>8.5020242914979796E-2</v>
      </c>
      <c r="O162" s="119">
        <v>8.5020242914979796E-2</v>
      </c>
      <c r="P162" s="116" t="s">
        <v>83</v>
      </c>
      <c r="Q162" s="116" t="s">
        <v>83</v>
      </c>
      <c r="R162" s="119">
        <v>0</v>
      </c>
      <c r="S162" s="119">
        <v>7.9295154185022004E-2</v>
      </c>
      <c r="T162" s="119">
        <v>8.3333333333333301E-2</v>
      </c>
      <c r="U162" s="119">
        <v>7.7821011673151794E-2</v>
      </c>
      <c r="V162" s="119">
        <v>0.109649122807018</v>
      </c>
      <c r="W162" s="44">
        <v>856</v>
      </c>
      <c r="X162" s="40">
        <f t="shared" si="10"/>
        <v>856</v>
      </c>
      <c r="Y162" s="40">
        <f t="shared" si="11"/>
        <v>856</v>
      </c>
      <c r="Z162" s="108">
        <v>0.53900000000000003</v>
      </c>
      <c r="AA162" s="108">
        <v>0.46100000000000002</v>
      </c>
      <c r="AB162" s="106">
        <f>1/856</f>
        <v>1.1682242990654205E-3</v>
      </c>
      <c r="AC162" s="106">
        <f>4/856</f>
        <v>4.6728971962616819E-3</v>
      </c>
      <c r="AD162" s="106">
        <f>697/856</f>
        <v>0.81425233644859818</v>
      </c>
      <c r="AE162" s="106">
        <f>9/856</f>
        <v>1.0514018691588784E-2</v>
      </c>
      <c r="AF162" s="106">
        <f>2/856</f>
        <v>2.3364485981308409E-3</v>
      </c>
      <c r="AG162" s="106">
        <f>138/856</f>
        <v>0.16121495327102803</v>
      </c>
      <c r="AH162" s="106">
        <f>5/856</f>
        <v>5.8411214953271026E-3</v>
      </c>
      <c r="AI162" s="106">
        <f>718/856</f>
        <v>0.83878504672897192</v>
      </c>
      <c r="AJ162" s="108">
        <v>0.81308411214953269</v>
      </c>
      <c r="AK162" s="108">
        <v>7.0000000000000001E-3</v>
      </c>
      <c r="AL162" s="13">
        <v>0</v>
      </c>
      <c r="AM162" s="13">
        <v>0</v>
      </c>
      <c r="AN162" s="13">
        <v>26</v>
      </c>
      <c r="AO162" s="13">
        <v>186</v>
      </c>
      <c r="AP162" s="13">
        <v>210</v>
      </c>
      <c r="AQ162" s="13">
        <v>225</v>
      </c>
      <c r="AR162" s="13">
        <v>209</v>
      </c>
      <c r="AS162" s="59">
        <v>0.12264150943396226</v>
      </c>
      <c r="AT162" s="3">
        <v>9</v>
      </c>
      <c r="AU162" s="3">
        <v>6</v>
      </c>
      <c r="AV162" s="54">
        <v>66.938775510204081</v>
      </c>
      <c r="AW162" s="54">
        <v>23.26530612244898</v>
      </c>
      <c r="AX162" s="54">
        <v>9.591836734693878</v>
      </c>
      <c r="AY162" s="68">
        <v>0.20408163265306123</v>
      </c>
      <c r="AZ162" s="59">
        <v>0.2218683651804671</v>
      </c>
      <c r="BA162" s="59">
        <v>5.3078556263269641E-2</v>
      </c>
      <c r="BB162" s="77">
        <v>92.446413157405999</v>
      </c>
      <c r="BC162" s="49">
        <v>37.566137566137598</v>
      </c>
      <c r="BD162" s="90" t="s">
        <v>83</v>
      </c>
      <c r="BE162" s="90" t="s">
        <v>83</v>
      </c>
      <c r="BF162" s="49">
        <v>8.9</v>
      </c>
      <c r="BG162" s="49">
        <v>9.1</v>
      </c>
      <c r="BH162" s="49">
        <v>2.4</v>
      </c>
      <c r="BI162" s="49">
        <v>1.5</v>
      </c>
      <c r="BJ162" s="85">
        <v>17.600000000000001</v>
      </c>
      <c r="BK162" s="129">
        <v>14825</v>
      </c>
      <c r="BL162" s="129">
        <v>51879</v>
      </c>
      <c r="BM162" s="129">
        <v>44963</v>
      </c>
      <c r="BN162" s="129">
        <v>45968</v>
      </c>
      <c r="BO162" s="59">
        <v>1.03E-2</v>
      </c>
      <c r="BP162" s="59">
        <v>0.45789999999999997</v>
      </c>
      <c r="BQ162" s="59">
        <v>0.19500000000000001</v>
      </c>
      <c r="BR162" s="59">
        <v>0</v>
      </c>
      <c r="BS162" s="59">
        <v>0</v>
      </c>
      <c r="BT162" s="49">
        <v>16.3</v>
      </c>
      <c r="BU162" s="59">
        <f t="shared" si="12"/>
        <v>0.66320000000000001</v>
      </c>
      <c r="BV162" s="59">
        <v>3.6999999999999998E-2</v>
      </c>
      <c r="BW162" s="59">
        <v>0</v>
      </c>
      <c r="BX162" s="59">
        <v>2.06E-2</v>
      </c>
      <c r="BY162" s="59">
        <v>0</v>
      </c>
      <c r="BZ162" s="59">
        <v>1.03E-2</v>
      </c>
      <c r="CA162" s="49">
        <v>20.5</v>
      </c>
      <c r="CB162" s="59">
        <f t="shared" si="13"/>
        <v>6.7900000000000002E-2</v>
      </c>
      <c r="CC162" s="59">
        <v>0.1862</v>
      </c>
      <c r="CD162" s="125">
        <v>0.51600000000000001</v>
      </c>
      <c r="CE162" s="125">
        <v>0.27710000000000001</v>
      </c>
      <c r="CF162" s="125">
        <v>0</v>
      </c>
      <c r="CG162" s="125">
        <v>2.06E-2</v>
      </c>
      <c r="CH162" s="85">
        <v>15.9</v>
      </c>
      <c r="CI162" s="43" t="s">
        <v>273</v>
      </c>
      <c r="CJ162" s="18" t="s">
        <v>80</v>
      </c>
      <c r="CK162" s="20"/>
    </row>
    <row r="163" spans="1:89" x14ac:dyDescent="0.25">
      <c r="A163" s="18" t="s">
        <v>80</v>
      </c>
      <c r="B163" s="19" t="s">
        <v>272</v>
      </c>
      <c r="C163" s="43" t="s">
        <v>274</v>
      </c>
      <c r="D163" s="44">
        <v>4</v>
      </c>
      <c r="E163" s="44">
        <v>1</v>
      </c>
      <c r="F163" s="44">
        <v>3</v>
      </c>
      <c r="G163" s="166">
        <v>0</v>
      </c>
      <c r="H163" s="166">
        <v>1</v>
      </c>
      <c r="I163" s="162" t="s">
        <v>83</v>
      </c>
      <c r="J163" s="166">
        <v>1</v>
      </c>
      <c r="K163" s="166">
        <v>2</v>
      </c>
      <c r="L163" s="166">
        <v>0</v>
      </c>
      <c r="M163" s="166">
        <v>0</v>
      </c>
      <c r="N163" s="119">
        <v>9.4339622641509396E-3</v>
      </c>
      <c r="O163" s="119">
        <v>1.27659574468085E-2</v>
      </c>
      <c r="P163" s="119">
        <v>0</v>
      </c>
      <c r="Q163" s="119">
        <v>1.0752688172042999E-2</v>
      </c>
      <c r="R163" s="116" t="s">
        <v>83</v>
      </c>
      <c r="S163" s="119">
        <v>1.0869565217391301E-2</v>
      </c>
      <c r="T163" s="119">
        <v>2.53164556962025E-2</v>
      </c>
      <c r="U163" s="119">
        <v>0</v>
      </c>
      <c r="V163" s="119">
        <v>0</v>
      </c>
      <c r="W163" s="44">
        <v>775</v>
      </c>
      <c r="X163" s="40">
        <f t="shared" si="10"/>
        <v>218</v>
      </c>
      <c r="Y163" s="40">
        <f t="shared" si="11"/>
        <v>388</v>
      </c>
      <c r="Z163" s="108">
        <v>0.51500000000000001</v>
      </c>
      <c r="AA163" s="108">
        <v>0.48499999999999999</v>
      </c>
      <c r="AB163" s="106">
        <v>0</v>
      </c>
      <c r="AC163" s="106">
        <v>0</v>
      </c>
      <c r="AD163" s="106">
        <f>110/775</f>
        <v>0.14193548387096774</v>
      </c>
      <c r="AE163" s="106">
        <f>7/775</f>
        <v>9.0322580645161299E-3</v>
      </c>
      <c r="AF163" s="106">
        <v>0</v>
      </c>
      <c r="AG163" s="106">
        <f>656/775</f>
        <v>0.84645161290322579</v>
      </c>
      <c r="AH163" s="106">
        <f>2/775</f>
        <v>2.5806451612903226E-3</v>
      </c>
      <c r="AI163" s="106">
        <f>119/775</f>
        <v>0.15354838709677418</v>
      </c>
      <c r="AJ163" s="108">
        <v>0.63096774193548388</v>
      </c>
      <c r="AK163" s="108">
        <v>4.0000000000000001E-3</v>
      </c>
      <c r="AL163" s="13">
        <v>89</v>
      </c>
      <c r="AM163" s="13">
        <v>81</v>
      </c>
      <c r="AN163" s="13">
        <v>0</v>
      </c>
      <c r="AO163" s="13">
        <v>87</v>
      </c>
      <c r="AP163" s="13">
        <v>73</v>
      </c>
      <c r="AQ163" s="13">
        <v>40</v>
      </c>
      <c r="AR163" s="13">
        <v>18</v>
      </c>
      <c r="AS163" s="59">
        <v>0</v>
      </c>
      <c r="AT163" s="3">
        <v>1</v>
      </c>
      <c r="AU163" s="3">
        <v>3</v>
      </c>
      <c r="AV163" s="54">
        <v>72.682926829268297</v>
      </c>
      <c r="AW163" s="54">
        <v>25.853658536585368</v>
      </c>
      <c r="AX163" s="54">
        <v>0.24390243902439024</v>
      </c>
      <c r="AY163" s="68">
        <v>1.2195121951219512</v>
      </c>
      <c r="AZ163" s="59">
        <v>5.3129361800330441E-2</v>
      </c>
      <c r="BA163" s="59">
        <v>6.4398541919805583E-2</v>
      </c>
      <c r="BB163" s="76">
        <v>93.531700827894497</v>
      </c>
      <c r="BC163" s="49">
        <v>43.688118811881203</v>
      </c>
      <c r="BD163" s="49">
        <v>0</v>
      </c>
      <c r="BE163" s="49">
        <v>1.2</v>
      </c>
      <c r="BF163" s="49">
        <v>3.5</v>
      </c>
      <c r="BG163" s="49">
        <v>3.2</v>
      </c>
      <c r="BH163" s="49">
        <v>8.6</v>
      </c>
      <c r="BI163" s="49">
        <v>0</v>
      </c>
      <c r="BJ163" s="85">
        <v>20.8</v>
      </c>
      <c r="BK163" s="139"/>
      <c r="BL163" s="139"/>
      <c r="BM163" s="139"/>
      <c r="BN163" s="139"/>
      <c r="BO163" s="125"/>
      <c r="BP163" s="125"/>
      <c r="BQ163" s="125"/>
      <c r="BR163" s="125"/>
      <c r="BS163" s="125"/>
      <c r="BT163" s="85"/>
      <c r="BU163" s="59"/>
      <c r="BV163" s="125"/>
      <c r="BW163" s="125"/>
      <c r="BX163" s="125"/>
      <c r="BY163" s="125"/>
      <c r="BZ163" s="125"/>
      <c r="CA163" s="85"/>
      <c r="CB163" s="59"/>
      <c r="CC163" s="125"/>
      <c r="CD163" s="125"/>
      <c r="CE163" s="125"/>
      <c r="CF163" s="125"/>
      <c r="CG163" s="125"/>
      <c r="CH163" s="85"/>
      <c r="CI163" s="43" t="s">
        <v>274</v>
      </c>
      <c r="CJ163" s="18" t="s">
        <v>80</v>
      </c>
      <c r="CK163" s="20"/>
    </row>
    <row r="164" spans="1:89" x14ac:dyDescent="0.25">
      <c r="A164" s="18" t="s">
        <v>80</v>
      </c>
      <c r="B164" s="19" t="s">
        <v>275</v>
      </c>
      <c r="C164" s="43" t="s">
        <v>276</v>
      </c>
      <c r="D164" s="44">
        <v>74</v>
      </c>
      <c r="E164" s="40" t="s">
        <v>83</v>
      </c>
      <c r="F164" s="44">
        <v>74</v>
      </c>
      <c r="G164" s="162" t="s">
        <v>83</v>
      </c>
      <c r="H164" s="162" t="s">
        <v>83</v>
      </c>
      <c r="I164" s="166">
        <v>1</v>
      </c>
      <c r="J164" s="166">
        <v>19</v>
      </c>
      <c r="K164" s="166">
        <v>21</v>
      </c>
      <c r="L164" s="166">
        <v>18</v>
      </c>
      <c r="M164" s="166">
        <v>15</v>
      </c>
      <c r="N164" s="119">
        <v>4.7223994894703303E-2</v>
      </c>
      <c r="O164" s="119">
        <v>4.7223994894703303E-2</v>
      </c>
      <c r="P164" s="116" t="s">
        <v>83</v>
      </c>
      <c r="Q164" s="116" t="s">
        <v>83</v>
      </c>
      <c r="R164" s="119">
        <v>1.3333333333333299E-2</v>
      </c>
      <c r="S164" s="119">
        <v>4.7263681592039801E-2</v>
      </c>
      <c r="T164" s="119">
        <v>5.7220708446866497E-2</v>
      </c>
      <c r="U164" s="119">
        <v>4.86486486486487E-2</v>
      </c>
      <c r="V164" s="119">
        <v>4.2492917847025503E-2</v>
      </c>
      <c r="W164" s="44">
        <v>1427</v>
      </c>
      <c r="X164" s="40">
        <f t="shared" si="10"/>
        <v>1423</v>
      </c>
      <c r="Y164" s="40">
        <f t="shared" si="11"/>
        <v>1423</v>
      </c>
      <c r="Z164" s="108">
        <v>0.52</v>
      </c>
      <c r="AA164" s="108">
        <v>0.48</v>
      </c>
      <c r="AB164" s="106">
        <f>22/1427</f>
        <v>1.5416958654519973E-2</v>
      </c>
      <c r="AC164" s="106">
        <f>2/1427</f>
        <v>1.4015416958654519E-3</v>
      </c>
      <c r="AD164" s="106">
        <f>790/1427</f>
        <v>0.55360896986685348</v>
      </c>
      <c r="AE164" s="106">
        <f>25/1427</f>
        <v>1.751927119831815E-2</v>
      </c>
      <c r="AF164" s="106">
        <f>1/1427</f>
        <v>7.0077084793272596E-4</v>
      </c>
      <c r="AG164" s="106">
        <f>565/1427</f>
        <v>0.3959355290819902</v>
      </c>
      <c r="AH164" s="106">
        <f>22/1427</f>
        <v>1.5416958654519973E-2</v>
      </c>
      <c r="AI164" s="106">
        <f>862/1427</f>
        <v>0.60406447091800985</v>
      </c>
      <c r="AJ164" s="108">
        <v>0.65381920112123337</v>
      </c>
      <c r="AK164" s="108">
        <v>5.0000000000000001E-3</v>
      </c>
      <c r="AL164" s="13">
        <v>0</v>
      </c>
      <c r="AM164" s="13">
        <v>0</v>
      </c>
      <c r="AN164" s="13">
        <v>66</v>
      </c>
      <c r="AO164" s="13">
        <v>351</v>
      </c>
      <c r="AP164" s="13">
        <v>336</v>
      </c>
      <c r="AQ164" s="13">
        <v>352</v>
      </c>
      <c r="AR164" s="13">
        <v>318</v>
      </c>
      <c r="AS164" s="59">
        <v>0.15827338129496402</v>
      </c>
      <c r="AT164" s="3">
        <v>9</v>
      </c>
      <c r="AU164" s="3">
        <v>6</v>
      </c>
      <c r="AV164" s="54">
        <v>45.826513911620296</v>
      </c>
      <c r="AW164" s="54">
        <v>28.314238952536826</v>
      </c>
      <c r="AX164" s="54">
        <v>24.877250409165303</v>
      </c>
      <c r="AY164" s="68">
        <v>0.98199672667757776</v>
      </c>
      <c r="AZ164" s="59">
        <v>0.33376792698826596</v>
      </c>
      <c r="BA164" s="59">
        <v>0.22816166883963493</v>
      </c>
      <c r="BB164" s="76">
        <v>92.543596145171094</v>
      </c>
      <c r="BC164" s="49">
        <v>21.707953063885299</v>
      </c>
      <c r="BD164" s="90" t="s">
        <v>83</v>
      </c>
      <c r="BE164" s="90" t="s">
        <v>83</v>
      </c>
      <c r="BF164" s="49">
        <v>3.4</v>
      </c>
      <c r="BG164" s="49">
        <v>3.7</v>
      </c>
      <c r="BH164" s="49">
        <v>3.3</v>
      </c>
      <c r="BI164" s="49">
        <v>2.7</v>
      </c>
      <c r="BJ164" s="85">
        <v>17.899999999999999</v>
      </c>
      <c r="BK164" s="129">
        <v>10522</v>
      </c>
      <c r="BL164" s="129">
        <v>52166</v>
      </c>
      <c r="BM164" s="129">
        <v>45296</v>
      </c>
      <c r="BN164" s="129">
        <v>45738</v>
      </c>
      <c r="BO164" s="59">
        <v>8.0000000000000002E-3</v>
      </c>
      <c r="BP164" s="59">
        <v>0.4047</v>
      </c>
      <c r="BQ164" s="59">
        <v>0.23599999999999999</v>
      </c>
      <c r="BR164" s="59">
        <v>7.6E-3</v>
      </c>
      <c r="BS164" s="59">
        <v>1.61E-2</v>
      </c>
      <c r="BT164" s="49">
        <v>12.9</v>
      </c>
      <c r="BU164" s="59">
        <f t="shared" si="12"/>
        <v>0.67240000000000011</v>
      </c>
      <c r="BV164" s="59">
        <v>2.41E-2</v>
      </c>
      <c r="BW164" s="59">
        <v>8.0000000000000002E-3</v>
      </c>
      <c r="BX164" s="59">
        <v>3.2099999999999997E-2</v>
      </c>
      <c r="BY164" s="59">
        <v>0</v>
      </c>
      <c r="BZ164" s="59">
        <v>0</v>
      </c>
      <c r="CA164" s="49">
        <v>15.1</v>
      </c>
      <c r="CB164" s="59">
        <f t="shared" si="13"/>
        <v>6.4200000000000007E-2</v>
      </c>
      <c r="CC164" s="59">
        <v>0.20619999999999999</v>
      </c>
      <c r="CD164" s="125">
        <v>0.43680000000000002</v>
      </c>
      <c r="CE164" s="125">
        <v>0.31730000000000003</v>
      </c>
      <c r="CF164" s="125">
        <v>2.3699999999999999E-2</v>
      </c>
      <c r="CG164" s="125">
        <v>1.61E-2</v>
      </c>
      <c r="CH164" s="85">
        <v>13.2</v>
      </c>
      <c r="CI164" s="43" t="s">
        <v>276</v>
      </c>
      <c r="CJ164" s="18" t="s">
        <v>80</v>
      </c>
      <c r="CK164" s="20"/>
    </row>
    <row r="165" spans="1:89" x14ac:dyDescent="0.25">
      <c r="A165" s="18" t="s">
        <v>80</v>
      </c>
      <c r="B165" s="19" t="s">
        <v>275</v>
      </c>
      <c r="C165" s="43" t="s">
        <v>277</v>
      </c>
      <c r="D165" s="44">
        <v>12</v>
      </c>
      <c r="E165" s="44">
        <v>0</v>
      </c>
      <c r="F165" s="44">
        <v>12</v>
      </c>
      <c r="G165" s="166">
        <v>0</v>
      </c>
      <c r="H165" s="166">
        <v>0</v>
      </c>
      <c r="I165" s="166">
        <v>0</v>
      </c>
      <c r="J165" s="166">
        <v>2</v>
      </c>
      <c r="K165" s="166">
        <v>3</v>
      </c>
      <c r="L165" s="166">
        <v>6</v>
      </c>
      <c r="M165" s="166">
        <v>1</v>
      </c>
      <c r="N165" s="119">
        <v>2.5531914893616999E-2</v>
      </c>
      <c r="O165" s="119">
        <v>3.77358490566038E-2</v>
      </c>
      <c r="P165" s="119">
        <v>0</v>
      </c>
      <c r="Q165" s="119">
        <v>0</v>
      </c>
      <c r="R165" s="119">
        <v>0</v>
      </c>
      <c r="S165" s="119">
        <v>2.1276595744680899E-2</v>
      </c>
      <c r="T165" s="119">
        <v>3.7974683544303799E-2</v>
      </c>
      <c r="U165" s="119">
        <v>8.8235294117647106E-2</v>
      </c>
      <c r="V165" s="119">
        <v>1.5384615384615399E-2</v>
      </c>
      <c r="W165" s="44">
        <v>429</v>
      </c>
      <c r="X165" s="40">
        <f t="shared" si="10"/>
        <v>292</v>
      </c>
      <c r="Y165" s="40">
        <f t="shared" si="11"/>
        <v>429</v>
      </c>
      <c r="Z165" s="108">
        <v>0.47299999999999998</v>
      </c>
      <c r="AA165" s="108">
        <v>0.52700000000000002</v>
      </c>
      <c r="AB165" s="106">
        <f>3/429</f>
        <v>6.993006993006993E-3</v>
      </c>
      <c r="AC165" s="106">
        <v>0</v>
      </c>
      <c r="AD165" s="106">
        <f>237/429</f>
        <v>0.55244755244755239</v>
      </c>
      <c r="AE165" s="106">
        <f>1/429</f>
        <v>2.331002331002331E-3</v>
      </c>
      <c r="AF165" s="106">
        <v>0</v>
      </c>
      <c r="AG165" s="106">
        <f>176/429</f>
        <v>0.41025641025641024</v>
      </c>
      <c r="AH165" s="106">
        <f>12/429</f>
        <v>2.7972027972027972E-2</v>
      </c>
      <c r="AI165" s="106">
        <f>253/429</f>
        <v>0.58974358974358976</v>
      </c>
      <c r="AJ165" s="108">
        <v>0.75524475524475521</v>
      </c>
      <c r="AK165" s="108">
        <v>0</v>
      </c>
      <c r="AL165" s="13">
        <v>70</v>
      </c>
      <c r="AM165" s="13">
        <v>67</v>
      </c>
      <c r="AN165" s="13">
        <v>1</v>
      </c>
      <c r="AO165" s="13">
        <v>95</v>
      </c>
      <c r="AP165" s="13">
        <v>73</v>
      </c>
      <c r="AQ165" s="13">
        <v>63</v>
      </c>
      <c r="AR165" s="13">
        <v>60</v>
      </c>
      <c r="AS165" s="59">
        <v>1.0416666666666666E-2</v>
      </c>
      <c r="AT165" s="3">
        <v>7</v>
      </c>
      <c r="AU165" s="3">
        <v>6</v>
      </c>
      <c r="AV165" s="54">
        <v>77.702702702702695</v>
      </c>
      <c r="AW165" s="54">
        <v>11.486486486486488</v>
      </c>
      <c r="AX165" s="54">
        <v>4.3918918918918921</v>
      </c>
      <c r="AY165" s="68">
        <v>6.4189189189189184</v>
      </c>
      <c r="AZ165" s="59">
        <v>0.28077753779697623</v>
      </c>
      <c r="BA165" s="59">
        <v>0.24622030237580994</v>
      </c>
      <c r="BB165" s="77">
        <v>92.396424886260306</v>
      </c>
      <c r="BC165" s="49">
        <v>27.623126338329801</v>
      </c>
      <c r="BD165" s="49">
        <v>0</v>
      </c>
      <c r="BE165" s="93">
        <v>0</v>
      </c>
      <c r="BF165" s="49">
        <v>3.7</v>
      </c>
      <c r="BG165" s="49">
        <v>2.9</v>
      </c>
      <c r="BH165" s="49">
        <v>0</v>
      </c>
      <c r="BI165" s="49">
        <v>0</v>
      </c>
      <c r="BJ165" s="85">
        <v>16.399999999999999</v>
      </c>
      <c r="BK165" s="129">
        <v>10466</v>
      </c>
      <c r="BL165" s="129">
        <v>51512</v>
      </c>
      <c r="BM165" s="129">
        <v>43725</v>
      </c>
      <c r="BN165" s="129">
        <v>43899</v>
      </c>
      <c r="BO165" s="59">
        <v>2.5899999999999999E-2</v>
      </c>
      <c r="BP165" s="59">
        <v>0.36849999999999999</v>
      </c>
      <c r="BQ165" s="59">
        <v>0.20930000000000001</v>
      </c>
      <c r="BR165" s="59">
        <v>0</v>
      </c>
      <c r="BS165" s="59">
        <v>0</v>
      </c>
      <c r="BT165" s="49">
        <v>12.9</v>
      </c>
      <c r="BU165" s="59">
        <f t="shared" si="12"/>
        <v>0.60370000000000001</v>
      </c>
      <c r="BV165" s="59">
        <v>5.2299999999999999E-2</v>
      </c>
      <c r="BW165" s="59">
        <v>0</v>
      </c>
      <c r="BX165" s="59">
        <v>5.0500000000000003E-2</v>
      </c>
      <c r="BY165" s="59">
        <v>0</v>
      </c>
      <c r="BZ165" s="59">
        <v>0</v>
      </c>
      <c r="CA165" s="49">
        <v>17.600000000000001</v>
      </c>
      <c r="CB165" s="59">
        <f t="shared" si="13"/>
        <v>0.1028</v>
      </c>
      <c r="CC165" s="59">
        <v>0.29730000000000001</v>
      </c>
      <c r="CD165" s="125">
        <v>0.36849999999999999</v>
      </c>
      <c r="CE165" s="125">
        <v>0.33410000000000001</v>
      </c>
      <c r="CF165" s="125">
        <v>0</v>
      </c>
      <c r="CG165" s="125">
        <v>0</v>
      </c>
      <c r="CH165" s="85">
        <v>14.4</v>
      </c>
      <c r="CI165" s="43" t="s">
        <v>277</v>
      </c>
      <c r="CJ165" s="18" t="s">
        <v>80</v>
      </c>
      <c r="CK165" s="20"/>
    </row>
    <row r="166" spans="1:89" x14ac:dyDescent="0.25">
      <c r="A166" s="18" t="s">
        <v>80</v>
      </c>
      <c r="B166" s="19" t="s">
        <v>278</v>
      </c>
      <c r="C166" s="39" t="s">
        <v>279</v>
      </c>
      <c r="D166" s="40">
        <v>2</v>
      </c>
      <c r="E166" s="40" t="s">
        <v>83</v>
      </c>
      <c r="F166" s="40">
        <v>2</v>
      </c>
      <c r="G166" s="162" t="s">
        <v>83</v>
      </c>
      <c r="H166" s="162" t="s">
        <v>83</v>
      </c>
      <c r="I166" s="166">
        <v>0</v>
      </c>
      <c r="J166" s="166">
        <v>0</v>
      </c>
      <c r="K166" s="166">
        <v>0</v>
      </c>
      <c r="L166" s="166">
        <v>2</v>
      </c>
      <c r="M166" s="166">
        <v>0</v>
      </c>
      <c r="N166" s="119">
        <v>1.9743336623889401E-3</v>
      </c>
      <c r="O166" s="119">
        <v>1.9743336623889401E-3</v>
      </c>
      <c r="P166" s="116" t="s">
        <v>83</v>
      </c>
      <c r="Q166" s="116" t="s">
        <v>83</v>
      </c>
      <c r="R166" s="119">
        <v>0</v>
      </c>
      <c r="S166" s="119">
        <v>0</v>
      </c>
      <c r="T166" s="119">
        <v>0</v>
      </c>
      <c r="U166" s="119">
        <v>7.8431372549019607E-3</v>
      </c>
      <c r="V166" s="119">
        <v>0</v>
      </c>
      <c r="W166" s="40">
        <v>990</v>
      </c>
      <c r="X166" s="40">
        <f t="shared" si="10"/>
        <v>990</v>
      </c>
      <c r="Y166" s="40">
        <f t="shared" si="11"/>
        <v>990</v>
      </c>
      <c r="Z166" s="105">
        <v>0.61699999999999999</v>
      </c>
      <c r="AA166" s="105">
        <v>0.38300000000000001</v>
      </c>
      <c r="AB166" s="106">
        <f>1/990</f>
        <v>1.0101010101010101E-3</v>
      </c>
      <c r="AC166" s="106">
        <f>1/990</f>
        <v>1.0101010101010101E-3</v>
      </c>
      <c r="AD166" s="106">
        <f>956/990</f>
        <v>0.96565656565656566</v>
      </c>
      <c r="AE166" s="106">
        <f>25/990</f>
        <v>2.5252525252525252E-2</v>
      </c>
      <c r="AF166" s="106">
        <v>0</v>
      </c>
      <c r="AG166" s="106">
        <f>2/990</f>
        <v>2.0202020202020202E-3</v>
      </c>
      <c r="AH166" s="106">
        <f>5/990</f>
        <v>5.0505050505050509E-3</v>
      </c>
      <c r="AI166" s="106">
        <f>988/990</f>
        <v>0.99797979797979797</v>
      </c>
      <c r="AJ166" s="105">
        <v>0.78989898989898988</v>
      </c>
      <c r="AK166" s="105">
        <v>1.4999999999999999E-2</v>
      </c>
      <c r="AL166" s="12">
        <v>0</v>
      </c>
      <c r="AM166" s="12">
        <v>0</v>
      </c>
      <c r="AN166" s="12">
        <v>2</v>
      </c>
      <c r="AO166" s="12">
        <v>250</v>
      </c>
      <c r="AP166" s="12">
        <v>249</v>
      </c>
      <c r="AQ166" s="12">
        <v>251</v>
      </c>
      <c r="AR166" s="12">
        <v>238</v>
      </c>
      <c r="AS166" s="59">
        <v>7.9365079365079361E-3</v>
      </c>
      <c r="AT166" s="3">
        <v>9</v>
      </c>
      <c r="AU166" s="3">
        <v>3</v>
      </c>
      <c r="AV166" s="54">
        <v>47.69874476987448</v>
      </c>
      <c r="AW166" s="54">
        <v>30.125523012552303</v>
      </c>
      <c r="AX166" s="54">
        <v>20.502092050209207</v>
      </c>
      <c r="AY166" s="68">
        <v>1.6736401673640167</v>
      </c>
      <c r="AZ166" s="59">
        <v>1.5264026599845703E-2</v>
      </c>
      <c r="BA166" s="59">
        <v>8.8381330685203568E-2</v>
      </c>
      <c r="BB166" s="81">
        <v>96</v>
      </c>
      <c r="BC166" s="49">
        <v>44.422507403751197</v>
      </c>
      <c r="BD166" s="90" t="s">
        <v>83</v>
      </c>
      <c r="BE166" s="90" t="s">
        <v>83</v>
      </c>
      <c r="BF166" s="49">
        <v>0</v>
      </c>
      <c r="BG166" s="49">
        <v>1.2</v>
      </c>
      <c r="BH166" s="49">
        <v>0.8</v>
      </c>
      <c r="BI166" s="49">
        <v>0</v>
      </c>
      <c r="BJ166" s="85">
        <v>18.8</v>
      </c>
      <c r="BK166" s="129">
        <v>12619</v>
      </c>
      <c r="BL166" s="129">
        <v>49065</v>
      </c>
      <c r="BM166" s="129">
        <v>66254</v>
      </c>
      <c r="BN166" s="129">
        <v>46954</v>
      </c>
      <c r="BO166" s="59">
        <v>0</v>
      </c>
      <c r="BP166" s="59">
        <v>0.2505</v>
      </c>
      <c r="BQ166" s="59">
        <v>0.3155</v>
      </c>
      <c r="BR166" s="59">
        <v>0</v>
      </c>
      <c r="BS166" s="59">
        <v>0</v>
      </c>
      <c r="BT166" s="49">
        <v>15.4</v>
      </c>
      <c r="BU166" s="59">
        <f t="shared" si="12"/>
        <v>0.56600000000000006</v>
      </c>
      <c r="BV166" s="59">
        <v>2.0899999999999998E-2</v>
      </c>
      <c r="BW166" s="59">
        <v>1.5699999999999999E-2</v>
      </c>
      <c r="BX166" s="59">
        <v>2.98E-2</v>
      </c>
      <c r="BY166" s="59">
        <v>0</v>
      </c>
      <c r="BZ166" s="59">
        <v>0</v>
      </c>
      <c r="CA166" s="49">
        <v>21.2</v>
      </c>
      <c r="CB166" s="59">
        <f t="shared" si="13"/>
        <v>6.6399999999999987E-2</v>
      </c>
      <c r="CC166" s="59">
        <v>0.219</v>
      </c>
      <c r="CD166" s="125">
        <v>0.3392</v>
      </c>
      <c r="CE166" s="125">
        <v>0.44180000000000003</v>
      </c>
      <c r="CF166" s="125">
        <v>0</v>
      </c>
      <c r="CG166" s="125">
        <v>0</v>
      </c>
      <c r="CH166" s="85">
        <v>16.2</v>
      </c>
      <c r="CI166" s="39" t="s">
        <v>279</v>
      </c>
      <c r="CJ166" s="18" t="s">
        <v>80</v>
      </c>
      <c r="CK166" s="20"/>
    </row>
    <row r="167" spans="1:89" x14ac:dyDescent="0.25">
      <c r="A167" s="18" t="s">
        <v>80</v>
      </c>
      <c r="B167" s="19" t="s">
        <v>278</v>
      </c>
      <c r="C167" s="39" t="s">
        <v>280</v>
      </c>
      <c r="D167" s="40">
        <v>0</v>
      </c>
      <c r="E167" s="40" t="s">
        <v>83</v>
      </c>
      <c r="F167" s="40">
        <v>0</v>
      </c>
      <c r="G167" s="162" t="s">
        <v>83</v>
      </c>
      <c r="H167" s="162" t="s">
        <v>83</v>
      </c>
      <c r="I167" s="162" t="s">
        <v>83</v>
      </c>
      <c r="J167" s="166">
        <v>0</v>
      </c>
      <c r="K167" s="166">
        <v>0</v>
      </c>
      <c r="L167" s="166">
        <v>0</v>
      </c>
      <c r="M167" s="166">
        <v>0</v>
      </c>
      <c r="N167" s="119">
        <v>0</v>
      </c>
      <c r="O167" s="119">
        <v>0</v>
      </c>
      <c r="P167" s="116" t="s">
        <v>83</v>
      </c>
      <c r="Q167" s="116" t="s">
        <v>83</v>
      </c>
      <c r="R167" s="116" t="s">
        <v>83</v>
      </c>
      <c r="S167" s="119">
        <v>0</v>
      </c>
      <c r="T167" s="119">
        <v>0</v>
      </c>
      <c r="U167" s="119">
        <v>0</v>
      </c>
      <c r="V167" s="119">
        <v>0</v>
      </c>
      <c r="W167" s="40">
        <v>894</v>
      </c>
      <c r="X167" s="40">
        <f t="shared" si="10"/>
        <v>894</v>
      </c>
      <c r="Y167" s="40">
        <f t="shared" si="11"/>
        <v>894</v>
      </c>
      <c r="Z167" s="105">
        <v>0.57399999999999995</v>
      </c>
      <c r="AA167" s="105">
        <v>0.42599999999999999</v>
      </c>
      <c r="AB167" s="106">
        <f>3/894</f>
        <v>3.3557046979865771E-3</v>
      </c>
      <c r="AC167" s="106">
        <f>147/894</f>
        <v>0.16442953020134229</v>
      </c>
      <c r="AD167" s="106">
        <f>291/894</f>
        <v>0.32550335570469796</v>
      </c>
      <c r="AE167" s="106">
        <f>60/894</f>
        <v>6.7114093959731544E-2</v>
      </c>
      <c r="AF167" s="106">
        <v>0</v>
      </c>
      <c r="AG167" s="106">
        <f>367/894</f>
        <v>0.41051454138702459</v>
      </c>
      <c r="AH167" s="106">
        <f>26/894</f>
        <v>2.9082774049217001E-2</v>
      </c>
      <c r="AI167" s="106">
        <f>527/894</f>
        <v>0.58948545861297541</v>
      </c>
      <c r="AJ167" s="105">
        <v>0.30425055928411632</v>
      </c>
      <c r="AK167" s="105">
        <v>2E-3</v>
      </c>
      <c r="AL167" s="12">
        <v>0</v>
      </c>
      <c r="AM167" s="12">
        <v>0</v>
      </c>
      <c r="AN167" s="12">
        <v>0</v>
      </c>
      <c r="AO167" s="12">
        <v>233</v>
      </c>
      <c r="AP167" s="12">
        <v>259</v>
      </c>
      <c r="AQ167" s="12">
        <v>212</v>
      </c>
      <c r="AR167" s="12">
        <v>190</v>
      </c>
      <c r="AS167" s="59">
        <v>0</v>
      </c>
      <c r="AT167" s="3">
        <v>9</v>
      </c>
      <c r="AU167" s="3">
        <v>9</v>
      </c>
      <c r="AV167" s="54">
        <v>47.169811320754718</v>
      </c>
      <c r="AW167" s="54">
        <v>40.970350404312669</v>
      </c>
      <c r="AX167" s="54">
        <v>7.8167115902964959</v>
      </c>
      <c r="AY167" s="68">
        <v>4.0431266846361185</v>
      </c>
      <c r="AZ167" s="59">
        <v>5.9056430239153128E-3</v>
      </c>
      <c r="BA167" s="59">
        <v>6.5171808010007267E-3</v>
      </c>
      <c r="BB167" s="81">
        <v>96</v>
      </c>
      <c r="BC167" s="49">
        <v>2.0066889632107001</v>
      </c>
      <c r="BD167" s="90" t="s">
        <v>83</v>
      </c>
      <c r="BE167" s="90" t="s">
        <v>83</v>
      </c>
      <c r="BF167" s="49">
        <v>2.8</v>
      </c>
      <c r="BG167" s="49">
        <v>0.8</v>
      </c>
      <c r="BH167" s="49">
        <v>0</v>
      </c>
      <c r="BI167" s="49">
        <v>0</v>
      </c>
      <c r="BJ167" s="85">
        <v>28.4</v>
      </c>
      <c r="BK167" s="129">
        <v>13140</v>
      </c>
      <c r="BL167" s="129">
        <v>53081</v>
      </c>
      <c r="BM167" s="129">
        <v>72170</v>
      </c>
      <c r="BN167" s="129">
        <v>54934</v>
      </c>
      <c r="BO167" s="59">
        <v>0</v>
      </c>
      <c r="BP167" s="59">
        <v>8.8300000000000003E-2</v>
      </c>
      <c r="BQ167" s="59">
        <v>0.4551</v>
      </c>
      <c r="BR167" s="59">
        <v>0</v>
      </c>
      <c r="BS167" s="59">
        <v>0.1062</v>
      </c>
      <c r="BT167" s="49">
        <v>16.600000000000001</v>
      </c>
      <c r="BU167" s="59">
        <f t="shared" si="12"/>
        <v>0.64959999999999996</v>
      </c>
      <c r="BV167" s="59">
        <v>2.58E-2</v>
      </c>
      <c r="BW167" s="59">
        <v>3.2199999999999999E-2</v>
      </c>
      <c r="BX167" s="59">
        <v>6.2E-2</v>
      </c>
      <c r="BY167" s="59">
        <v>0</v>
      </c>
      <c r="BZ167" s="59">
        <v>1.9300000000000001E-2</v>
      </c>
      <c r="CA167" s="49">
        <v>9.5</v>
      </c>
      <c r="CB167" s="59">
        <f t="shared" si="13"/>
        <v>0.13930000000000001</v>
      </c>
      <c r="CC167" s="59">
        <v>0.11600000000000001</v>
      </c>
      <c r="CD167" s="125">
        <v>0.1656</v>
      </c>
      <c r="CE167" s="125">
        <v>0.59289999999999998</v>
      </c>
      <c r="CF167" s="125">
        <v>0</v>
      </c>
      <c r="CG167" s="125">
        <v>0.1255</v>
      </c>
      <c r="CH167" s="85">
        <v>13.9</v>
      </c>
      <c r="CI167" s="39" t="s">
        <v>280</v>
      </c>
      <c r="CJ167" s="18" t="s">
        <v>80</v>
      </c>
      <c r="CK167" s="20"/>
    </row>
    <row r="168" spans="1:89" x14ac:dyDescent="0.25">
      <c r="A168" s="18" t="s">
        <v>80</v>
      </c>
      <c r="B168" s="19" t="s">
        <v>278</v>
      </c>
      <c r="C168" s="39" t="s">
        <v>281</v>
      </c>
      <c r="D168" s="40">
        <v>5</v>
      </c>
      <c r="E168" s="40" t="s">
        <v>83</v>
      </c>
      <c r="F168" s="40">
        <v>5</v>
      </c>
      <c r="G168" s="162" t="s">
        <v>83</v>
      </c>
      <c r="H168" s="162" t="s">
        <v>83</v>
      </c>
      <c r="I168" s="166">
        <v>0</v>
      </c>
      <c r="J168" s="166">
        <v>1</v>
      </c>
      <c r="K168" s="166">
        <v>1</v>
      </c>
      <c r="L168" s="166">
        <v>3</v>
      </c>
      <c r="M168" s="166">
        <v>0</v>
      </c>
      <c r="N168" s="119">
        <v>4.5620437956204402E-3</v>
      </c>
      <c r="O168" s="119">
        <v>4.5620437956204402E-3</v>
      </c>
      <c r="P168" s="116" t="s">
        <v>83</v>
      </c>
      <c r="Q168" s="116" t="s">
        <v>83</v>
      </c>
      <c r="R168" s="119">
        <v>0</v>
      </c>
      <c r="S168" s="119">
        <v>3.3670033670033699E-3</v>
      </c>
      <c r="T168" s="119">
        <v>3.5842293906810001E-3</v>
      </c>
      <c r="U168" s="119">
        <v>1.1111111111111099E-2</v>
      </c>
      <c r="V168" s="119">
        <v>0</v>
      </c>
      <c r="W168" s="40">
        <v>1080</v>
      </c>
      <c r="X168" s="40">
        <f t="shared" si="10"/>
        <v>1080</v>
      </c>
      <c r="Y168" s="40">
        <f t="shared" si="11"/>
        <v>1080</v>
      </c>
      <c r="Z168" s="105">
        <v>0.48599999999999999</v>
      </c>
      <c r="AA168" s="105">
        <v>0.51400000000000001</v>
      </c>
      <c r="AB168" s="106">
        <f>1/1080</f>
        <v>9.2592592592592596E-4</v>
      </c>
      <c r="AC168" s="106">
        <f>23/1080</f>
        <v>2.1296296296296296E-2</v>
      </c>
      <c r="AD168" s="106">
        <f>1024/1080</f>
        <v>0.94814814814814818</v>
      </c>
      <c r="AE168" s="106">
        <f>19/1080</f>
        <v>1.7592592592592594E-2</v>
      </c>
      <c r="AF168" s="106">
        <v>0</v>
      </c>
      <c r="AG168" s="106">
        <f>11/1080</f>
        <v>1.0185185185185186E-2</v>
      </c>
      <c r="AH168" s="106">
        <f>2/1080</f>
        <v>1.8518518518518519E-3</v>
      </c>
      <c r="AI168" s="106">
        <f>1069/1080</f>
        <v>0.98981481481481481</v>
      </c>
      <c r="AJ168" s="105">
        <v>0.81851851851851853</v>
      </c>
      <c r="AK168" s="105">
        <v>8.9999999999999993E-3</v>
      </c>
      <c r="AL168" s="12">
        <v>0</v>
      </c>
      <c r="AM168" s="12">
        <v>0</v>
      </c>
      <c r="AN168" s="12">
        <v>15</v>
      </c>
      <c r="AO168" s="12">
        <v>296</v>
      </c>
      <c r="AP168" s="12">
        <v>273</v>
      </c>
      <c r="AQ168" s="12">
        <v>264</v>
      </c>
      <c r="AR168" s="12">
        <v>232</v>
      </c>
      <c r="AS168" s="59">
        <v>4.8231511254019289E-2</v>
      </c>
      <c r="AT168" s="3">
        <v>9</v>
      </c>
      <c r="AU168" s="3">
        <v>3</v>
      </c>
      <c r="AV168" s="54">
        <v>44.989775051124745</v>
      </c>
      <c r="AW168" s="54">
        <v>19.631901840490798</v>
      </c>
      <c r="AX168" s="54">
        <v>33.537832310838446</v>
      </c>
      <c r="AY168" s="68">
        <v>1.8404907975460123</v>
      </c>
      <c r="AZ168" s="59">
        <v>2.1968365553602811E-4</v>
      </c>
      <c r="BA168" s="59">
        <v>0.17808219178082191</v>
      </c>
      <c r="BB168" s="76">
        <v>93.834339848036507</v>
      </c>
      <c r="BC168" s="49">
        <v>18.248175182481798</v>
      </c>
      <c r="BD168" s="90" t="s">
        <v>83</v>
      </c>
      <c r="BE168" s="90" t="s">
        <v>83</v>
      </c>
      <c r="BF168" s="49">
        <v>3.9</v>
      </c>
      <c r="BG168" s="49">
        <v>1.9</v>
      </c>
      <c r="BH168" s="49">
        <v>1.2</v>
      </c>
      <c r="BI168" s="49">
        <v>1.8</v>
      </c>
      <c r="BJ168" s="85">
        <v>19</v>
      </c>
      <c r="BK168" s="129">
        <v>13248</v>
      </c>
      <c r="BL168" s="129">
        <v>44480</v>
      </c>
      <c r="BM168" s="129">
        <v>62157</v>
      </c>
      <c r="BN168" s="129">
        <v>43646</v>
      </c>
      <c r="BO168" s="59">
        <v>0</v>
      </c>
      <c r="BP168" s="59">
        <v>0.42559999999999998</v>
      </c>
      <c r="BQ168" s="59">
        <v>0.1462</v>
      </c>
      <c r="BR168" s="59">
        <v>0</v>
      </c>
      <c r="BS168" s="59">
        <v>0</v>
      </c>
      <c r="BT168" s="49">
        <v>7.9</v>
      </c>
      <c r="BU168" s="59">
        <f t="shared" si="12"/>
        <v>0.57179999999999997</v>
      </c>
      <c r="BV168" s="59">
        <v>0.1208</v>
      </c>
      <c r="BW168" s="59">
        <v>0.61219999999999997</v>
      </c>
      <c r="BX168" s="59">
        <v>0.24970000000000001</v>
      </c>
      <c r="BY168" s="59">
        <v>0</v>
      </c>
      <c r="BZ168" s="59">
        <v>1.7299999999999999E-2</v>
      </c>
      <c r="CA168" s="49">
        <v>9.9</v>
      </c>
      <c r="CB168" s="59">
        <f t="shared" si="13"/>
        <v>1</v>
      </c>
      <c r="CC168" s="59">
        <v>0.1208</v>
      </c>
      <c r="CD168" s="125">
        <v>0.61219999999999997</v>
      </c>
      <c r="CE168" s="125">
        <v>0.24970000000000001</v>
      </c>
      <c r="CF168" s="125">
        <v>0</v>
      </c>
      <c r="CG168" s="125">
        <v>1.7299999999999999E-2</v>
      </c>
      <c r="CH168" s="85">
        <v>9.9</v>
      </c>
      <c r="CI168" s="39" t="s">
        <v>281</v>
      </c>
      <c r="CJ168" s="18" t="s">
        <v>80</v>
      </c>
      <c r="CK168" s="20"/>
    </row>
    <row r="169" spans="1:89" x14ac:dyDescent="0.25">
      <c r="A169" s="18" t="s">
        <v>80</v>
      </c>
      <c r="B169" s="19" t="s">
        <v>278</v>
      </c>
      <c r="C169" s="39" t="s">
        <v>282</v>
      </c>
      <c r="D169" s="40">
        <v>0</v>
      </c>
      <c r="E169" s="40">
        <v>0</v>
      </c>
      <c r="F169" s="40">
        <v>0</v>
      </c>
      <c r="G169" s="166">
        <v>0</v>
      </c>
      <c r="H169" s="166">
        <v>0</v>
      </c>
      <c r="I169" s="162" t="s">
        <v>83</v>
      </c>
      <c r="J169" s="166">
        <v>0</v>
      </c>
      <c r="K169" s="166">
        <v>0</v>
      </c>
      <c r="L169" s="166">
        <v>0</v>
      </c>
      <c r="M169" s="166">
        <v>0</v>
      </c>
      <c r="N169" s="119">
        <v>0</v>
      </c>
      <c r="O169" s="119">
        <v>0</v>
      </c>
      <c r="P169" s="119">
        <v>0</v>
      </c>
      <c r="Q169" s="119">
        <v>0</v>
      </c>
      <c r="R169" s="116" t="s">
        <v>83</v>
      </c>
      <c r="S169" s="119">
        <v>0</v>
      </c>
      <c r="T169" s="119">
        <v>0</v>
      </c>
      <c r="U169" s="119">
        <v>0</v>
      </c>
      <c r="V169" s="119">
        <v>0</v>
      </c>
      <c r="W169" s="40">
        <v>1691</v>
      </c>
      <c r="X169" s="40">
        <f t="shared" si="10"/>
        <v>505</v>
      </c>
      <c r="Y169" s="40">
        <f t="shared" si="11"/>
        <v>830</v>
      </c>
      <c r="Z169" s="105">
        <v>0.51800000000000002</v>
      </c>
      <c r="AA169" s="105">
        <v>0.48199999999999998</v>
      </c>
      <c r="AB169" s="106">
        <f>2/1691</f>
        <v>1.1827321111768185E-3</v>
      </c>
      <c r="AC169" s="106">
        <f>58/1691</f>
        <v>3.4299231224127737E-2</v>
      </c>
      <c r="AD169" s="106">
        <f>494/1691</f>
        <v>0.29213483146067415</v>
      </c>
      <c r="AE169" s="106">
        <f>130/1691</f>
        <v>7.6877587226493196E-2</v>
      </c>
      <c r="AF169" s="106">
        <f>1/1691</f>
        <v>5.9136605558840927E-4</v>
      </c>
      <c r="AG169" s="106">
        <f>903/1691</f>
        <v>0.53400354819633356</v>
      </c>
      <c r="AH169" s="106">
        <f>103/1691</f>
        <v>6.0910703725606148E-2</v>
      </c>
      <c r="AI169" s="106">
        <f>788/1691</f>
        <v>0.46599645180366644</v>
      </c>
      <c r="AJ169" s="105">
        <v>0.20993494973388527</v>
      </c>
      <c r="AK169" s="105">
        <v>0.01</v>
      </c>
      <c r="AL169" s="12">
        <v>150</v>
      </c>
      <c r="AM169" s="12">
        <v>175</v>
      </c>
      <c r="AN169" s="12">
        <v>0</v>
      </c>
      <c r="AO169" s="12">
        <v>127</v>
      </c>
      <c r="AP169" s="12">
        <v>126</v>
      </c>
      <c r="AQ169" s="12">
        <v>132</v>
      </c>
      <c r="AR169" s="12">
        <v>120</v>
      </c>
      <c r="AS169" s="59">
        <v>0</v>
      </c>
      <c r="AT169" s="3">
        <v>1</v>
      </c>
      <c r="AU169" s="3">
        <v>3</v>
      </c>
      <c r="AV169" s="54">
        <v>69.852104664391362</v>
      </c>
      <c r="AW169" s="54">
        <v>26.27986348122867</v>
      </c>
      <c r="AX169" s="54">
        <v>3.8680318543799777</v>
      </c>
      <c r="AY169" s="68">
        <v>0</v>
      </c>
      <c r="AZ169" s="59">
        <v>2.9819946597019966E-3</v>
      </c>
      <c r="BA169" s="59">
        <v>5.2910052910052907E-2</v>
      </c>
      <c r="BB169" s="81">
        <v>96</v>
      </c>
      <c r="BC169" s="49">
        <v>9.0962441314553999</v>
      </c>
      <c r="BD169" s="93">
        <v>0</v>
      </c>
      <c r="BE169" s="93">
        <v>0</v>
      </c>
      <c r="BF169" s="49">
        <v>0</v>
      </c>
      <c r="BG169" s="49">
        <v>0</v>
      </c>
      <c r="BH169" s="49">
        <v>0</v>
      </c>
      <c r="BI169" s="49">
        <v>0</v>
      </c>
      <c r="BJ169" s="85">
        <v>25.8</v>
      </c>
      <c r="BK169" s="129">
        <v>14079</v>
      </c>
      <c r="BL169" s="129">
        <v>49519</v>
      </c>
      <c r="BM169" s="129">
        <v>64155</v>
      </c>
      <c r="BN169" s="129">
        <v>48406</v>
      </c>
      <c r="BO169" s="59">
        <v>0</v>
      </c>
      <c r="BP169" s="59">
        <v>0.27810000000000001</v>
      </c>
      <c r="BQ169" s="59">
        <v>0.30819999999999997</v>
      </c>
      <c r="BR169" s="59">
        <v>5.4000000000000003E-3</v>
      </c>
      <c r="BS169" s="59">
        <v>1.61E-2</v>
      </c>
      <c r="BT169" s="49">
        <v>12.2</v>
      </c>
      <c r="BU169" s="59">
        <f t="shared" si="12"/>
        <v>0.60780000000000001</v>
      </c>
      <c r="BV169" s="59">
        <v>5.4000000000000003E-3</v>
      </c>
      <c r="BW169" s="59">
        <v>2.2700000000000001E-2</v>
      </c>
      <c r="BX169" s="59">
        <v>5.5100000000000003E-2</v>
      </c>
      <c r="BY169" s="59">
        <v>0</v>
      </c>
      <c r="BZ169" s="59">
        <v>0</v>
      </c>
      <c r="CA169" s="49">
        <v>20.2</v>
      </c>
      <c r="CB169" s="59">
        <f t="shared" si="13"/>
        <v>8.3199999999999996E-2</v>
      </c>
      <c r="CC169" s="59">
        <v>0.11020000000000001</v>
      </c>
      <c r="CD169" s="125">
        <v>0.39069999999999999</v>
      </c>
      <c r="CE169" s="125">
        <v>0.47770000000000001</v>
      </c>
      <c r="CF169" s="125">
        <v>5.4000000000000003E-3</v>
      </c>
      <c r="CG169" s="125">
        <v>1.61E-2</v>
      </c>
      <c r="CH169" s="85">
        <v>13.5</v>
      </c>
      <c r="CI169" s="39" t="s">
        <v>282</v>
      </c>
      <c r="CJ169" s="18" t="s">
        <v>80</v>
      </c>
      <c r="CK169" s="20"/>
    </row>
    <row r="170" spans="1:89" x14ac:dyDescent="0.25">
      <c r="A170" s="18" t="s">
        <v>80</v>
      </c>
      <c r="B170" s="19" t="s">
        <v>278</v>
      </c>
      <c r="C170" s="39" t="s">
        <v>283</v>
      </c>
      <c r="D170" s="40">
        <v>34</v>
      </c>
      <c r="E170" s="40" t="s">
        <v>83</v>
      </c>
      <c r="F170" s="40">
        <v>34</v>
      </c>
      <c r="G170" s="162" t="s">
        <v>83</v>
      </c>
      <c r="H170" s="162" t="s">
        <v>83</v>
      </c>
      <c r="I170" s="166">
        <v>0</v>
      </c>
      <c r="J170" s="166">
        <v>7</v>
      </c>
      <c r="K170" s="166">
        <v>7</v>
      </c>
      <c r="L170" s="166">
        <v>8</v>
      </c>
      <c r="M170" s="166">
        <v>12</v>
      </c>
      <c r="N170" s="119">
        <v>3.7362637362637403E-2</v>
      </c>
      <c r="O170" s="119">
        <v>3.7362637362637403E-2</v>
      </c>
      <c r="P170" s="116" t="s">
        <v>83</v>
      </c>
      <c r="Q170" s="116" t="s">
        <v>83</v>
      </c>
      <c r="R170" s="119">
        <v>0</v>
      </c>
      <c r="S170" s="119">
        <v>2.7777777777777801E-2</v>
      </c>
      <c r="T170" s="119">
        <v>3.0042918454935601E-2</v>
      </c>
      <c r="U170" s="119">
        <v>3.6363636363636397E-2</v>
      </c>
      <c r="V170" s="119">
        <v>6.9767441860465101E-2</v>
      </c>
      <c r="W170" s="40">
        <v>853</v>
      </c>
      <c r="X170" s="40">
        <f t="shared" si="10"/>
        <v>853</v>
      </c>
      <c r="Y170" s="40">
        <f t="shared" si="11"/>
        <v>853</v>
      </c>
      <c r="Z170" s="105">
        <v>0.49099999999999999</v>
      </c>
      <c r="AA170" s="105">
        <v>0.50900000000000001</v>
      </c>
      <c r="AB170" s="106">
        <v>0</v>
      </c>
      <c r="AC170" s="106">
        <v>0</v>
      </c>
      <c r="AD170" s="106">
        <f>832/853</f>
        <v>0.97538100820633056</v>
      </c>
      <c r="AE170" s="106">
        <f>20/853</f>
        <v>2.3446658851113716E-2</v>
      </c>
      <c r="AF170" s="106">
        <v>0</v>
      </c>
      <c r="AG170" s="106">
        <f>1/853</f>
        <v>1.1723329425556857E-3</v>
      </c>
      <c r="AH170" s="106">
        <v>0</v>
      </c>
      <c r="AI170" s="106">
        <f>852/853</f>
        <v>0.9988276670574443</v>
      </c>
      <c r="AJ170" s="105">
        <v>0.89566236811254396</v>
      </c>
      <c r="AK170" s="105">
        <v>1.0999999999999999E-2</v>
      </c>
      <c r="AL170" s="12">
        <v>0</v>
      </c>
      <c r="AM170" s="12">
        <v>0</v>
      </c>
      <c r="AN170" s="12">
        <v>34</v>
      </c>
      <c r="AO170" s="12">
        <v>243</v>
      </c>
      <c r="AP170" s="12">
        <v>212</v>
      </c>
      <c r="AQ170" s="12">
        <v>203</v>
      </c>
      <c r="AR170" s="12">
        <v>161</v>
      </c>
      <c r="AS170" s="59">
        <v>0.12274368231046931</v>
      </c>
      <c r="AT170" s="3">
        <v>9</v>
      </c>
      <c r="AU170" s="3">
        <v>3</v>
      </c>
      <c r="AV170" s="54">
        <v>41.522491349480966</v>
      </c>
      <c r="AW170" s="54">
        <v>16.608996539792386</v>
      </c>
      <c r="AX170" s="54">
        <v>23.183391003460208</v>
      </c>
      <c r="AY170" s="68">
        <v>18.685121107266436</v>
      </c>
      <c r="AZ170" s="59">
        <v>3.1673863437654891E-3</v>
      </c>
      <c r="BA170" s="59">
        <v>7.4492099322799099E-2</v>
      </c>
      <c r="BB170" s="76">
        <v>86.977418457561498</v>
      </c>
      <c r="BC170" s="84"/>
      <c r="BD170" s="90" t="s">
        <v>83</v>
      </c>
      <c r="BE170" s="90" t="s">
        <v>83</v>
      </c>
      <c r="BF170" s="49">
        <v>12.3</v>
      </c>
      <c r="BG170" s="49">
        <v>14.8</v>
      </c>
      <c r="BH170" s="49">
        <v>15.7</v>
      </c>
      <c r="BI170" s="49">
        <v>6.9</v>
      </c>
      <c r="BJ170" s="85">
        <v>16.3</v>
      </c>
      <c r="BK170" s="129">
        <v>12907</v>
      </c>
      <c r="BL170" s="129">
        <v>49228</v>
      </c>
      <c r="BM170" s="129">
        <v>54497</v>
      </c>
      <c r="BN170" s="129">
        <v>44417</v>
      </c>
      <c r="BO170" s="59">
        <v>1.23E-2</v>
      </c>
      <c r="BP170" s="59">
        <v>0.30399999999999999</v>
      </c>
      <c r="BQ170" s="59">
        <v>0.2712</v>
      </c>
      <c r="BR170" s="59">
        <v>0</v>
      </c>
      <c r="BS170" s="59">
        <v>0</v>
      </c>
      <c r="BT170" s="49">
        <v>16.600000000000001</v>
      </c>
      <c r="BU170" s="59">
        <f t="shared" si="12"/>
        <v>0.58749999999999991</v>
      </c>
      <c r="BV170" s="59">
        <v>1.43E-2</v>
      </c>
      <c r="BW170" s="59">
        <v>1.23E-2</v>
      </c>
      <c r="BX170" s="59">
        <v>2.46E-2</v>
      </c>
      <c r="BY170" s="59">
        <v>0</v>
      </c>
      <c r="BZ170" s="59">
        <v>0</v>
      </c>
      <c r="CA170" s="49">
        <v>21</v>
      </c>
      <c r="CB170" s="59">
        <f t="shared" si="13"/>
        <v>5.1199999999999996E-2</v>
      </c>
      <c r="CC170" s="59">
        <v>0.21560000000000001</v>
      </c>
      <c r="CD170" s="125">
        <v>0.36840000000000001</v>
      </c>
      <c r="CE170" s="125">
        <v>0.3921</v>
      </c>
      <c r="CF170" s="125">
        <v>2.3900000000000001E-2</v>
      </c>
      <c r="CG170" s="125">
        <v>0</v>
      </c>
      <c r="CH170" s="85">
        <v>16.100000000000001</v>
      </c>
      <c r="CI170" s="39" t="s">
        <v>283</v>
      </c>
      <c r="CJ170" s="18" t="s">
        <v>80</v>
      </c>
      <c r="CK170" s="20"/>
    </row>
    <row r="171" spans="1:89" x14ac:dyDescent="0.25">
      <c r="A171" s="18" t="s">
        <v>80</v>
      </c>
      <c r="B171" s="19" t="s">
        <v>278</v>
      </c>
      <c r="C171" s="39" t="s">
        <v>284</v>
      </c>
      <c r="D171" s="40">
        <v>16</v>
      </c>
      <c r="E171" s="40">
        <v>3</v>
      </c>
      <c r="F171" s="40">
        <v>13</v>
      </c>
      <c r="G171" s="166">
        <v>1</v>
      </c>
      <c r="H171" s="166">
        <v>2</v>
      </c>
      <c r="I171" s="166">
        <v>0</v>
      </c>
      <c r="J171" s="166">
        <v>2</v>
      </c>
      <c r="K171" s="166">
        <v>5</v>
      </c>
      <c r="L171" s="166">
        <v>2</v>
      </c>
      <c r="M171" s="166">
        <v>4</v>
      </c>
      <c r="N171" s="119">
        <v>1.85830429732869E-2</v>
      </c>
      <c r="O171" s="119">
        <v>2.0249221183800601E-2</v>
      </c>
      <c r="P171" s="119">
        <v>1.4492753623188401E-2</v>
      </c>
      <c r="Q171" s="119">
        <v>1.3333333333333299E-2</v>
      </c>
      <c r="R171" s="119">
        <v>0</v>
      </c>
      <c r="S171" s="119">
        <v>1.37931034482759E-2</v>
      </c>
      <c r="T171" s="119">
        <v>2.4038461538461502E-2</v>
      </c>
      <c r="U171" s="119">
        <v>1.2987012987013E-2</v>
      </c>
      <c r="V171" s="119">
        <v>3.1496062992125998E-2</v>
      </c>
      <c r="W171" s="40">
        <v>814</v>
      </c>
      <c r="X171" s="40">
        <f t="shared" si="10"/>
        <v>616</v>
      </c>
      <c r="Y171" s="40">
        <f t="shared" si="11"/>
        <v>814</v>
      </c>
      <c r="Z171" s="105">
        <v>0.56000000000000005</v>
      </c>
      <c r="AA171" s="105">
        <v>0.44</v>
      </c>
      <c r="AB171" s="106">
        <v>0</v>
      </c>
      <c r="AC171" s="106">
        <f>64/814</f>
        <v>7.8624078624078622E-2</v>
      </c>
      <c r="AD171" s="106">
        <f>729/814</f>
        <v>0.89557739557739557</v>
      </c>
      <c r="AE171" s="106">
        <f>18/814</f>
        <v>2.2113022113022112E-2</v>
      </c>
      <c r="AF171" s="106">
        <f>1/814</f>
        <v>1.2285012285012285E-3</v>
      </c>
      <c r="AG171" s="106">
        <f>2/814</f>
        <v>2.4570024570024569E-3</v>
      </c>
      <c r="AH171" s="106">
        <v>0</v>
      </c>
      <c r="AI171" s="106">
        <f>812/814</f>
        <v>0.99754299754299758</v>
      </c>
      <c r="AJ171" s="105">
        <v>0.85257985257985258</v>
      </c>
      <c r="AK171" s="105">
        <v>2.5000000000000001E-2</v>
      </c>
      <c r="AL171" s="12">
        <v>59</v>
      </c>
      <c r="AM171" s="12">
        <v>139</v>
      </c>
      <c r="AN171" s="12">
        <v>7</v>
      </c>
      <c r="AO171" s="12">
        <v>163</v>
      </c>
      <c r="AP171" s="12">
        <v>161</v>
      </c>
      <c r="AQ171" s="12">
        <v>162</v>
      </c>
      <c r="AR171" s="12">
        <v>123</v>
      </c>
      <c r="AS171" s="59">
        <v>4.1176470588235294E-2</v>
      </c>
      <c r="AT171" s="3">
        <v>7</v>
      </c>
      <c r="AU171" s="3">
        <v>3</v>
      </c>
      <c r="AV171" s="54">
        <v>62.849872773536894</v>
      </c>
      <c r="AW171" s="54">
        <v>15.521628498727736</v>
      </c>
      <c r="AX171" s="54">
        <v>18.829516539440203</v>
      </c>
      <c r="AY171" s="68">
        <v>2.7989821882951653</v>
      </c>
      <c r="AZ171" s="59">
        <v>0.23612750885478159</v>
      </c>
      <c r="BA171" s="59">
        <v>0.31641086186540734</v>
      </c>
      <c r="BB171" s="77">
        <v>93.248025560341901</v>
      </c>
      <c r="BC171" s="49">
        <v>88.053097345132699</v>
      </c>
      <c r="BD171" s="49">
        <v>6.9</v>
      </c>
      <c r="BE171" s="49">
        <v>5</v>
      </c>
      <c r="BF171" s="49">
        <v>16.5</v>
      </c>
      <c r="BG171" s="49">
        <v>3.7</v>
      </c>
      <c r="BH171" s="49">
        <v>2</v>
      </c>
      <c r="BI171" s="49">
        <v>3.9</v>
      </c>
      <c r="BJ171" s="85">
        <v>19.100000000000001</v>
      </c>
      <c r="BK171" s="129">
        <v>13277</v>
      </c>
      <c r="BL171" s="129">
        <v>49639</v>
      </c>
      <c r="BM171" s="129">
        <v>51579</v>
      </c>
      <c r="BN171" s="129">
        <v>45362</v>
      </c>
      <c r="BO171" s="59">
        <v>1.1900000000000001E-2</v>
      </c>
      <c r="BP171" s="59">
        <v>0.2555</v>
      </c>
      <c r="BQ171" s="59">
        <v>0.33839999999999998</v>
      </c>
      <c r="BR171" s="59">
        <v>0</v>
      </c>
      <c r="BS171" s="59">
        <v>0</v>
      </c>
      <c r="BT171" s="49">
        <v>15</v>
      </c>
      <c r="BU171" s="59">
        <f t="shared" si="12"/>
        <v>0.60580000000000001</v>
      </c>
      <c r="BV171" s="59">
        <v>3.56E-2</v>
      </c>
      <c r="BW171" s="59">
        <v>1.1900000000000001E-2</v>
      </c>
      <c r="BX171" s="59">
        <v>2.3699999999999999E-2</v>
      </c>
      <c r="BY171" s="59">
        <v>0</v>
      </c>
      <c r="BZ171" s="59">
        <v>0</v>
      </c>
      <c r="CA171" s="49">
        <v>16.2</v>
      </c>
      <c r="CB171" s="59">
        <f t="shared" si="13"/>
        <v>7.1199999999999999E-2</v>
      </c>
      <c r="CC171" s="59">
        <v>0.16569999999999999</v>
      </c>
      <c r="CD171" s="125">
        <v>0.34339999999999998</v>
      </c>
      <c r="CE171" s="125">
        <v>0.47910000000000003</v>
      </c>
      <c r="CF171" s="125">
        <v>1.18E-2</v>
      </c>
      <c r="CG171" s="125">
        <v>0</v>
      </c>
      <c r="CH171" s="85">
        <v>14.8</v>
      </c>
      <c r="CI171" s="39" t="s">
        <v>284</v>
      </c>
      <c r="CJ171" s="18" t="s">
        <v>80</v>
      </c>
      <c r="CK171" s="20"/>
    </row>
    <row r="172" spans="1:89" x14ac:dyDescent="0.25">
      <c r="A172" s="18" t="s">
        <v>80</v>
      </c>
      <c r="B172" s="19" t="s">
        <v>278</v>
      </c>
      <c r="C172" s="39" t="s">
        <v>285</v>
      </c>
      <c r="D172" s="40">
        <v>4</v>
      </c>
      <c r="E172" s="40" t="s">
        <v>83</v>
      </c>
      <c r="F172" s="40">
        <v>4</v>
      </c>
      <c r="G172" s="162" t="s">
        <v>83</v>
      </c>
      <c r="H172" s="162" t="s">
        <v>83</v>
      </c>
      <c r="I172" s="166">
        <v>0</v>
      </c>
      <c r="J172" s="166">
        <v>0</v>
      </c>
      <c r="K172" s="166">
        <v>0</v>
      </c>
      <c r="L172" s="166">
        <v>2</v>
      </c>
      <c r="M172" s="166">
        <v>2</v>
      </c>
      <c r="N172" s="119">
        <v>9.1533180778032002E-3</v>
      </c>
      <c r="O172" s="119">
        <v>9.1533180778032002E-3</v>
      </c>
      <c r="P172" s="116" t="s">
        <v>83</v>
      </c>
      <c r="Q172" s="116" t="s">
        <v>83</v>
      </c>
      <c r="R172" s="119">
        <v>0</v>
      </c>
      <c r="S172" s="119">
        <v>0</v>
      </c>
      <c r="T172" s="119">
        <v>0</v>
      </c>
      <c r="U172" s="119">
        <v>1.7094017094017099E-2</v>
      </c>
      <c r="V172" s="119">
        <v>2.4691358024691398E-2</v>
      </c>
      <c r="W172" s="40">
        <v>415</v>
      </c>
      <c r="X172" s="40">
        <f t="shared" si="10"/>
        <v>415</v>
      </c>
      <c r="Y172" s="40">
        <f t="shared" si="11"/>
        <v>415</v>
      </c>
      <c r="Z172" s="105">
        <v>0.53700000000000003</v>
      </c>
      <c r="AA172" s="105">
        <v>0.46300000000000002</v>
      </c>
      <c r="AB172" s="106">
        <v>0</v>
      </c>
      <c r="AC172" s="106">
        <f>5/415</f>
        <v>1.2048192771084338E-2</v>
      </c>
      <c r="AD172" s="106">
        <f>340/415</f>
        <v>0.81927710843373491</v>
      </c>
      <c r="AE172" s="106">
        <f>21/415</f>
        <v>5.0602409638554217E-2</v>
      </c>
      <c r="AF172" s="106">
        <v>0</v>
      </c>
      <c r="AG172" s="106">
        <f>36/415</f>
        <v>8.6746987951807228E-2</v>
      </c>
      <c r="AH172" s="106">
        <f>13/415</f>
        <v>3.1325301204819279E-2</v>
      </c>
      <c r="AI172" s="106">
        <f>379/415</f>
        <v>0.91325301204819276</v>
      </c>
      <c r="AJ172" s="105">
        <v>0.75662650602409642</v>
      </c>
      <c r="AK172" s="105">
        <v>0.01</v>
      </c>
      <c r="AL172" s="12">
        <v>0</v>
      </c>
      <c r="AM172" s="12">
        <v>0</v>
      </c>
      <c r="AN172" s="12">
        <v>7</v>
      </c>
      <c r="AO172" s="12">
        <v>114</v>
      </c>
      <c r="AP172" s="12">
        <v>106</v>
      </c>
      <c r="AQ172" s="12">
        <v>114</v>
      </c>
      <c r="AR172" s="12">
        <v>74</v>
      </c>
      <c r="AS172" s="59">
        <v>5.7851239669421489E-2</v>
      </c>
      <c r="AT172" s="3">
        <v>9</v>
      </c>
      <c r="AU172" s="3">
        <v>3</v>
      </c>
      <c r="AV172" s="54">
        <v>56.994818652849744</v>
      </c>
      <c r="AW172" s="54">
        <v>39.37823834196891</v>
      </c>
      <c r="AX172" s="54">
        <v>3.6269430051813467</v>
      </c>
      <c r="AY172" s="68">
        <v>0</v>
      </c>
      <c r="AZ172" s="59">
        <v>0.14882857421895257</v>
      </c>
      <c r="BA172" s="59">
        <v>0.23502304147465439</v>
      </c>
      <c r="BB172" s="77">
        <v>94.618593177993603</v>
      </c>
      <c r="BC172" s="49">
        <v>7.6749435665914199</v>
      </c>
      <c r="BD172" s="90" t="s">
        <v>83</v>
      </c>
      <c r="BE172" s="90" t="s">
        <v>83</v>
      </c>
      <c r="BF172" s="49">
        <v>19.2</v>
      </c>
      <c r="BG172" s="49">
        <v>3</v>
      </c>
      <c r="BH172" s="49">
        <v>7.7</v>
      </c>
      <c r="BI172" s="49">
        <v>0</v>
      </c>
      <c r="BJ172" s="85">
        <v>19.3</v>
      </c>
      <c r="BK172" s="129">
        <v>15309</v>
      </c>
      <c r="BL172" s="129">
        <v>46179</v>
      </c>
      <c r="BM172" s="129">
        <v>45109</v>
      </c>
      <c r="BN172" s="129">
        <v>44334</v>
      </c>
      <c r="BO172" s="59">
        <v>0</v>
      </c>
      <c r="BP172" s="59">
        <v>0.26579999999999998</v>
      </c>
      <c r="BQ172" s="59">
        <v>0.24560000000000001</v>
      </c>
      <c r="BR172" s="59">
        <v>0</v>
      </c>
      <c r="BS172" s="59">
        <v>1.7299999999999999E-2</v>
      </c>
      <c r="BT172" s="49">
        <v>7.2</v>
      </c>
      <c r="BU172" s="59">
        <f t="shared" si="12"/>
        <v>0.52869999999999995</v>
      </c>
      <c r="BV172" s="59">
        <v>2.5899999999999999E-2</v>
      </c>
      <c r="BW172" s="59">
        <v>0</v>
      </c>
      <c r="BX172" s="59">
        <v>1.7299999999999999E-2</v>
      </c>
      <c r="BY172" s="59">
        <v>0</v>
      </c>
      <c r="BZ172" s="59">
        <v>0</v>
      </c>
      <c r="CA172" s="49">
        <v>6.6</v>
      </c>
      <c r="CB172" s="59">
        <f t="shared" si="13"/>
        <v>4.3200000000000002E-2</v>
      </c>
      <c r="CC172" s="59">
        <v>0.1381</v>
      </c>
      <c r="CD172" s="125">
        <v>0.47820000000000001</v>
      </c>
      <c r="CE172" s="125">
        <v>0.3664</v>
      </c>
      <c r="CF172" s="125">
        <v>0</v>
      </c>
      <c r="CG172" s="125">
        <v>1.7299999999999999E-2</v>
      </c>
      <c r="CH172" s="85">
        <v>8.6</v>
      </c>
      <c r="CI172" s="39" t="s">
        <v>285</v>
      </c>
      <c r="CJ172" s="18" t="s">
        <v>80</v>
      </c>
      <c r="CK172" s="20"/>
    </row>
    <row r="173" spans="1:89" x14ac:dyDescent="0.25">
      <c r="A173" s="18" t="s">
        <v>80</v>
      </c>
      <c r="B173" s="19" t="s">
        <v>286</v>
      </c>
      <c r="C173" s="39" t="s">
        <v>287</v>
      </c>
      <c r="D173" s="40">
        <v>54</v>
      </c>
      <c r="E173" s="40" t="s">
        <v>83</v>
      </c>
      <c r="F173" s="40">
        <v>54</v>
      </c>
      <c r="G173" s="162" t="s">
        <v>83</v>
      </c>
      <c r="H173" s="162" t="s">
        <v>83</v>
      </c>
      <c r="I173" s="166">
        <v>0</v>
      </c>
      <c r="J173" s="166">
        <v>13</v>
      </c>
      <c r="K173" s="166">
        <v>14</v>
      </c>
      <c r="L173" s="166">
        <v>13</v>
      </c>
      <c r="M173" s="166">
        <v>14</v>
      </c>
      <c r="N173" s="119">
        <v>3.80549682875264E-2</v>
      </c>
      <c r="O173" s="119">
        <v>3.80549682875264E-2</v>
      </c>
      <c r="P173" s="116" t="s">
        <v>83</v>
      </c>
      <c r="Q173" s="116" t="s">
        <v>83</v>
      </c>
      <c r="R173" s="119">
        <v>0</v>
      </c>
      <c r="S173" s="119">
        <v>3.2581453634085197E-2</v>
      </c>
      <c r="T173" s="119">
        <v>3.7837837837837798E-2</v>
      </c>
      <c r="U173" s="119">
        <v>4.2345276872964202E-2</v>
      </c>
      <c r="V173" s="119">
        <v>4.2424242424242399E-2</v>
      </c>
      <c r="W173" s="40">
        <v>1285</v>
      </c>
      <c r="X173" s="40">
        <f t="shared" si="10"/>
        <v>1285</v>
      </c>
      <c r="Y173" s="40">
        <f t="shared" si="11"/>
        <v>1285</v>
      </c>
      <c r="Z173" s="105">
        <v>0.53200000000000003</v>
      </c>
      <c r="AA173" s="105">
        <v>0.46800000000000003</v>
      </c>
      <c r="AB173" s="106">
        <f>2/1285</f>
        <v>1.5564202334630351E-3</v>
      </c>
      <c r="AC173" s="106">
        <f>20/1285</f>
        <v>1.556420233463035E-2</v>
      </c>
      <c r="AD173" s="106">
        <f>772/1285</f>
        <v>0.60077821011673149</v>
      </c>
      <c r="AE173" s="106">
        <f>20/1285</f>
        <v>1.556420233463035E-2</v>
      </c>
      <c r="AF173" s="106">
        <v>0</v>
      </c>
      <c r="AG173" s="106">
        <f>467/1285</f>
        <v>0.36342412451361866</v>
      </c>
      <c r="AH173" s="106">
        <f>4/1285</f>
        <v>3.1128404669260703E-3</v>
      </c>
      <c r="AI173" s="106">
        <f>818/1285</f>
        <v>0.63657587548638128</v>
      </c>
      <c r="AJ173" s="105">
        <v>0.58988326848249029</v>
      </c>
      <c r="AK173" s="105">
        <v>7.0000000000000001E-3</v>
      </c>
      <c r="AL173" s="12">
        <v>0</v>
      </c>
      <c r="AM173" s="12">
        <v>0</v>
      </c>
      <c r="AN173" s="12">
        <v>15</v>
      </c>
      <c r="AO173" s="12">
        <v>338</v>
      </c>
      <c r="AP173" s="12">
        <v>330</v>
      </c>
      <c r="AQ173" s="12">
        <v>286</v>
      </c>
      <c r="AR173" s="12">
        <v>316</v>
      </c>
      <c r="AS173" s="59">
        <v>4.2492917847025496E-2</v>
      </c>
      <c r="AT173" s="3">
        <v>9</v>
      </c>
      <c r="AU173" s="3">
        <v>6</v>
      </c>
      <c r="AV173" s="54">
        <v>64.735099337748352</v>
      </c>
      <c r="AW173" s="54">
        <v>22.350993377483444</v>
      </c>
      <c r="AX173" s="54">
        <v>11.589403973509933</v>
      </c>
      <c r="AY173" s="68">
        <v>1.3245033112582782</v>
      </c>
      <c r="AZ173" s="59">
        <v>0.26546762589928058</v>
      </c>
      <c r="BA173" s="59">
        <v>0.16618705035971224</v>
      </c>
      <c r="BB173" s="77">
        <v>92.747209455494001</v>
      </c>
      <c r="BC173" s="49">
        <v>33.286318758815199</v>
      </c>
      <c r="BD173" s="90" t="s">
        <v>83</v>
      </c>
      <c r="BE173" s="90" t="s">
        <v>83</v>
      </c>
      <c r="BF173" s="49">
        <v>0.9</v>
      </c>
      <c r="BG173" s="49">
        <v>2.8</v>
      </c>
      <c r="BH173" s="49">
        <v>0.4</v>
      </c>
      <c r="BI173" s="49">
        <v>5.2</v>
      </c>
      <c r="BJ173" s="85">
        <v>18.8</v>
      </c>
      <c r="BK173" s="129">
        <v>10636</v>
      </c>
      <c r="BL173" s="129">
        <v>52415</v>
      </c>
      <c r="BM173" s="129">
        <v>52337</v>
      </c>
      <c r="BN173" s="129">
        <v>40998</v>
      </c>
      <c r="BO173" s="59">
        <v>0</v>
      </c>
      <c r="BP173" s="59">
        <v>0.21890000000000001</v>
      </c>
      <c r="BQ173" s="59">
        <v>0.29349999999999998</v>
      </c>
      <c r="BR173" s="59">
        <v>0</v>
      </c>
      <c r="BS173" s="59">
        <v>6.1000000000000004E-3</v>
      </c>
      <c r="BT173" s="49">
        <v>12.9</v>
      </c>
      <c r="BU173" s="59">
        <f t="shared" si="12"/>
        <v>0.51849999999999996</v>
      </c>
      <c r="BV173" s="59">
        <v>3.6400000000000002E-2</v>
      </c>
      <c r="BW173" s="59">
        <v>0</v>
      </c>
      <c r="BX173" s="59">
        <v>4.1500000000000002E-2</v>
      </c>
      <c r="BY173" s="59">
        <v>0</v>
      </c>
      <c r="BZ173" s="59">
        <v>0</v>
      </c>
      <c r="CA173" s="49">
        <v>15.7</v>
      </c>
      <c r="CB173" s="59">
        <f t="shared" si="13"/>
        <v>7.7899999999999997E-2</v>
      </c>
      <c r="CC173" s="59">
        <v>0.38340000000000002</v>
      </c>
      <c r="CD173" s="125">
        <v>0.23</v>
      </c>
      <c r="CE173" s="125">
        <v>0.3795</v>
      </c>
      <c r="CF173" s="125">
        <v>1E-3</v>
      </c>
      <c r="CG173" s="125">
        <v>6.1000000000000004E-3</v>
      </c>
      <c r="CH173" s="85">
        <v>11.1</v>
      </c>
      <c r="CI173" s="39" t="s">
        <v>287</v>
      </c>
      <c r="CJ173" s="18" t="s">
        <v>80</v>
      </c>
      <c r="CK173" s="20"/>
    </row>
    <row r="174" spans="1:89" x14ac:dyDescent="0.25">
      <c r="A174" s="18" t="s">
        <v>80</v>
      </c>
      <c r="B174" s="19" t="s">
        <v>286</v>
      </c>
      <c r="C174" s="39" t="s">
        <v>288</v>
      </c>
      <c r="D174" s="40">
        <v>11</v>
      </c>
      <c r="E174" s="40" t="s">
        <v>83</v>
      </c>
      <c r="F174" s="40">
        <v>11</v>
      </c>
      <c r="G174" s="162" t="s">
        <v>83</v>
      </c>
      <c r="H174" s="162" t="s">
        <v>83</v>
      </c>
      <c r="I174" s="166">
        <v>0</v>
      </c>
      <c r="J174" s="166">
        <v>2</v>
      </c>
      <c r="K174" s="166">
        <v>3</v>
      </c>
      <c r="L174" s="166">
        <v>2</v>
      </c>
      <c r="M174" s="166">
        <v>4</v>
      </c>
      <c r="N174" s="119">
        <v>2.57009345794393E-2</v>
      </c>
      <c r="O174" s="119">
        <v>2.57009345794393E-2</v>
      </c>
      <c r="P174" s="116" t="s">
        <v>83</v>
      </c>
      <c r="Q174" s="116" t="s">
        <v>83</v>
      </c>
      <c r="R174" s="119">
        <v>0</v>
      </c>
      <c r="S174" s="119">
        <v>1.5267175572519101E-2</v>
      </c>
      <c r="T174" s="119">
        <v>2.5641025641025599E-2</v>
      </c>
      <c r="U174" s="119">
        <v>0.02</v>
      </c>
      <c r="V174" s="119">
        <v>0.05</v>
      </c>
      <c r="W174" s="40">
        <v>399</v>
      </c>
      <c r="X174" s="40">
        <f t="shared" si="10"/>
        <v>399</v>
      </c>
      <c r="Y174" s="40">
        <f t="shared" si="11"/>
        <v>399</v>
      </c>
      <c r="Z174" s="105">
        <v>0.50900000000000001</v>
      </c>
      <c r="AA174" s="105">
        <v>0.49099999999999999</v>
      </c>
      <c r="AB174" s="106">
        <v>0</v>
      </c>
      <c r="AC174" s="106">
        <f>5/399</f>
        <v>1.2531328320802004E-2</v>
      </c>
      <c r="AD174" s="106">
        <f>48/399</f>
        <v>0.12030075187969924</v>
      </c>
      <c r="AE174" s="106">
        <f>7/399</f>
        <v>1.7543859649122806E-2</v>
      </c>
      <c r="AF174" s="106">
        <v>0</v>
      </c>
      <c r="AG174" s="106">
        <f>338/399</f>
        <v>0.84711779448621549</v>
      </c>
      <c r="AH174" s="106">
        <f>1/399</f>
        <v>2.5062656641604009E-3</v>
      </c>
      <c r="AI174" s="106">
        <f>61/399</f>
        <v>0.15288220551378445</v>
      </c>
      <c r="AJ174" s="105">
        <v>0.39849624060150374</v>
      </c>
      <c r="AK174" s="105">
        <v>0</v>
      </c>
      <c r="AL174" s="12">
        <v>0</v>
      </c>
      <c r="AM174" s="12">
        <v>0</v>
      </c>
      <c r="AN174" s="12">
        <v>1</v>
      </c>
      <c r="AO174" s="12">
        <v>117</v>
      </c>
      <c r="AP174" s="12">
        <v>112</v>
      </c>
      <c r="AQ174" s="12">
        <v>92</v>
      </c>
      <c r="AR174" s="12">
        <v>77</v>
      </c>
      <c r="AS174" s="59">
        <v>8.4745762711864406E-3</v>
      </c>
      <c r="AT174" s="3">
        <v>9</v>
      </c>
      <c r="AU174" s="3">
        <v>6</v>
      </c>
      <c r="AV174" s="54">
        <v>85.234899328859058</v>
      </c>
      <c r="AW174" s="54">
        <v>10.067114093959731</v>
      </c>
      <c r="AX174" s="54">
        <v>2.348993288590604</v>
      </c>
      <c r="AY174" s="68">
        <v>2.348993288590604</v>
      </c>
      <c r="AZ174" s="59">
        <v>8.2352941176470587E-2</v>
      </c>
      <c r="BA174" s="59">
        <v>6.3529411764705876E-2</v>
      </c>
      <c r="BB174" s="76">
        <v>93.555184290081698</v>
      </c>
      <c r="BC174" s="49">
        <v>22.5352112676056</v>
      </c>
      <c r="BD174" s="90" t="s">
        <v>83</v>
      </c>
      <c r="BE174" s="90" t="s">
        <v>83</v>
      </c>
      <c r="BF174" s="49">
        <v>0</v>
      </c>
      <c r="BG174" s="49">
        <v>0</v>
      </c>
      <c r="BH174" s="49">
        <v>0</v>
      </c>
      <c r="BI174" s="49">
        <v>0</v>
      </c>
      <c r="BJ174" s="85">
        <v>19.7</v>
      </c>
      <c r="BK174" s="129">
        <v>13996</v>
      </c>
      <c r="BL174" s="129">
        <v>55001</v>
      </c>
      <c r="BM174" s="129">
        <v>57238</v>
      </c>
      <c r="BN174" s="129">
        <v>43762</v>
      </c>
      <c r="BO174" s="59">
        <v>0</v>
      </c>
      <c r="BP174" s="59">
        <v>0.27989999999999998</v>
      </c>
      <c r="BQ174" s="59">
        <v>0.23069999999999999</v>
      </c>
      <c r="BR174" s="59">
        <v>0</v>
      </c>
      <c r="BS174" s="59">
        <v>0</v>
      </c>
      <c r="BT174" s="49">
        <v>14.9</v>
      </c>
      <c r="BU174" s="59">
        <f t="shared" si="12"/>
        <v>0.51059999999999994</v>
      </c>
      <c r="BV174" s="59">
        <v>4.3700000000000003E-2</v>
      </c>
      <c r="BW174" s="59">
        <v>0</v>
      </c>
      <c r="BX174" s="59">
        <v>4.3700000000000003E-2</v>
      </c>
      <c r="BY174" s="59">
        <v>0</v>
      </c>
      <c r="BZ174" s="59">
        <v>0</v>
      </c>
      <c r="CA174" s="49">
        <v>18.2</v>
      </c>
      <c r="CB174" s="59">
        <f t="shared" si="13"/>
        <v>8.7400000000000005E-2</v>
      </c>
      <c r="CC174" s="59">
        <v>0.36509999999999998</v>
      </c>
      <c r="CD174" s="125">
        <v>0.28960000000000002</v>
      </c>
      <c r="CE174" s="125">
        <v>0.34239999999999998</v>
      </c>
      <c r="CF174" s="125">
        <v>2.8999999999999998E-3</v>
      </c>
      <c r="CG174" s="125">
        <v>0</v>
      </c>
      <c r="CH174" s="85">
        <v>13.9</v>
      </c>
      <c r="CI174" s="39" t="s">
        <v>288</v>
      </c>
      <c r="CJ174" s="18" t="s">
        <v>80</v>
      </c>
      <c r="CK174" s="20"/>
    </row>
    <row r="175" spans="1:89" x14ac:dyDescent="0.25">
      <c r="A175" s="18" t="s">
        <v>80</v>
      </c>
      <c r="B175" s="19" t="s">
        <v>286</v>
      </c>
      <c r="C175" s="39" t="s">
        <v>289</v>
      </c>
      <c r="D175" s="40">
        <v>98</v>
      </c>
      <c r="E175" s="40" t="s">
        <v>83</v>
      </c>
      <c r="F175" s="40">
        <v>98</v>
      </c>
      <c r="G175" s="162" t="s">
        <v>83</v>
      </c>
      <c r="H175" s="162" t="s">
        <v>83</v>
      </c>
      <c r="I175" s="166">
        <v>1</v>
      </c>
      <c r="J175" s="166">
        <v>27</v>
      </c>
      <c r="K175" s="166">
        <v>30</v>
      </c>
      <c r="L175" s="166">
        <v>30</v>
      </c>
      <c r="M175" s="166">
        <v>10</v>
      </c>
      <c r="N175" s="119">
        <v>4.1280539174389203E-2</v>
      </c>
      <c r="O175" s="119">
        <v>4.1280539174389203E-2</v>
      </c>
      <c r="P175" s="116" t="s">
        <v>83</v>
      </c>
      <c r="Q175" s="116" t="s">
        <v>83</v>
      </c>
      <c r="R175" s="119">
        <v>7.1428571428571397E-2</v>
      </c>
      <c r="S175" s="119">
        <v>4.0662650602409603E-2</v>
      </c>
      <c r="T175" s="119">
        <v>4.67289719626168E-2</v>
      </c>
      <c r="U175" s="119">
        <v>5.1724137931034503E-2</v>
      </c>
      <c r="V175" s="119">
        <v>2.1097046413502098E-2</v>
      </c>
      <c r="W175" s="40">
        <v>2178</v>
      </c>
      <c r="X175" s="40">
        <f t="shared" si="10"/>
        <v>2178</v>
      </c>
      <c r="Y175" s="40">
        <f t="shared" si="11"/>
        <v>2178</v>
      </c>
      <c r="Z175" s="105">
        <v>0.505</v>
      </c>
      <c r="AA175" s="105">
        <v>0.495</v>
      </c>
      <c r="AB175" s="106">
        <f>1/2178</f>
        <v>4.591368227731864E-4</v>
      </c>
      <c r="AC175" s="106">
        <f>27/2178</f>
        <v>1.2396694214876033E-2</v>
      </c>
      <c r="AD175" s="106">
        <f>467/2178</f>
        <v>0.21441689623507806</v>
      </c>
      <c r="AE175" s="106">
        <f>73/2178</f>
        <v>3.3516988062442611E-2</v>
      </c>
      <c r="AF175" s="106">
        <f>1/2178</f>
        <v>4.591368227731864E-4</v>
      </c>
      <c r="AG175" s="106">
        <f>1605/2178</f>
        <v>0.73691460055096414</v>
      </c>
      <c r="AH175" s="106">
        <f>4/2178</f>
        <v>1.8365472910927456E-3</v>
      </c>
      <c r="AI175" s="106">
        <f>573/2178</f>
        <v>0.26308539944903581</v>
      </c>
      <c r="AJ175" s="105">
        <v>0.49081726354453625</v>
      </c>
      <c r="AK175" s="105">
        <v>1.0999999999999999E-2</v>
      </c>
      <c r="AL175" s="12">
        <v>0</v>
      </c>
      <c r="AM175" s="12">
        <v>0</v>
      </c>
      <c r="AN175" s="12">
        <v>12</v>
      </c>
      <c r="AO175" s="12">
        <v>614</v>
      </c>
      <c r="AP175" s="12">
        <v>578</v>
      </c>
      <c r="AQ175" s="12">
        <v>529</v>
      </c>
      <c r="AR175" s="12">
        <v>445</v>
      </c>
      <c r="AS175" s="59">
        <v>1.9169329073482427E-2</v>
      </c>
      <c r="AT175" s="3">
        <v>9</v>
      </c>
      <c r="AU175" s="3">
        <v>6</v>
      </c>
      <c r="AV175" s="54">
        <v>54.694323144104807</v>
      </c>
      <c r="AW175" s="54">
        <v>29.803493449781659</v>
      </c>
      <c r="AX175" s="54">
        <v>14.519650655021834</v>
      </c>
      <c r="AY175" s="68">
        <v>0.98253275109170313</v>
      </c>
      <c r="AZ175" s="59">
        <v>6.6551426101987901E-2</v>
      </c>
      <c r="BA175" s="59">
        <v>9.8098530682800347E-2</v>
      </c>
      <c r="BB175" s="77">
        <v>90.986740021092601</v>
      </c>
      <c r="BC175" s="49">
        <v>51.129100979974403</v>
      </c>
      <c r="BD175" s="90" t="s">
        <v>83</v>
      </c>
      <c r="BE175" s="90" t="s">
        <v>83</v>
      </c>
      <c r="BF175" s="49">
        <v>5</v>
      </c>
      <c r="BG175" s="49">
        <v>3.1</v>
      </c>
      <c r="BH175" s="49">
        <v>3.2</v>
      </c>
      <c r="BI175" s="49">
        <v>2.5</v>
      </c>
      <c r="BJ175" s="85">
        <v>20.9</v>
      </c>
      <c r="BK175" s="129">
        <v>9650</v>
      </c>
      <c r="BL175" s="129">
        <v>53200</v>
      </c>
      <c r="BM175" s="129">
        <v>58933</v>
      </c>
      <c r="BN175" s="129">
        <v>42997</v>
      </c>
      <c r="BO175" s="59">
        <v>0</v>
      </c>
      <c r="BP175" s="59">
        <v>0.2455</v>
      </c>
      <c r="BQ175" s="59">
        <v>0.29039999999999999</v>
      </c>
      <c r="BR175" s="59">
        <v>0</v>
      </c>
      <c r="BS175" s="59">
        <v>8.6999999999999994E-3</v>
      </c>
      <c r="BT175" s="49">
        <v>16.2</v>
      </c>
      <c r="BU175" s="59">
        <f t="shared" si="12"/>
        <v>0.54460000000000008</v>
      </c>
      <c r="BV175" s="59">
        <v>3.0300000000000001E-2</v>
      </c>
      <c r="BW175" s="59">
        <v>0</v>
      </c>
      <c r="BX175" s="59">
        <v>4.3400000000000001E-2</v>
      </c>
      <c r="BY175" s="59">
        <v>0</v>
      </c>
      <c r="BZ175" s="59">
        <v>0</v>
      </c>
      <c r="CA175" s="49">
        <v>19.7</v>
      </c>
      <c r="CB175" s="59">
        <f t="shared" si="13"/>
        <v>7.3700000000000002E-2</v>
      </c>
      <c r="CC175" s="59">
        <v>0.33929999999999999</v>
      </c>
      <c r="CD175" s="125">
        <v>0.2636</v>
      </c>
      <c r="CE175" s="125">
        <v>0.38300000000000001</v>
      </c>
      <c r="CF175" s="125">
        <v>5.4000000000000003E-3</v>
      </c>
      <c r="CG175" s="125">
        <v>8.6999999999999994E-3</v>
      </c>
      <c r="CH175" s="85">
        <v>14.6</v>
      </c>
      <c r="CI175" s="39" t="s">
        <v>289</v>
      </c>
      <c r="CJ175" s="18" t="s">
        <v>80</v>
      </c>
      <c r="CK175" s="20"/>
    </row>
    <row r="176" spans="1:89" x14ac:dyDescent="0.25">
      <c r="A176" s="18" t="s">
        <v>80</v>
      </c>
      <c r="B176" s="19" t="s">
        <v>286</v>
      </c>
      <c r="C176" s="39" t="s">
        <v>290</v>
      </c>
      <c r="D176" s="40">
        <v>38</v>
      </c>
      <c r="E176" s="40" t="s">
        <v>83</v>
      </c>
      <c r="F176" s="40">
        <v>38</v>
      </c>
      <c r="G176" s="162" t="s">
        <v>83</v>
      </c>
      <c r="H176" s="162" t="s">
        <v>83</v>
      </c>
      <c r="I176" s="166">
        <v>0</v>
      </c>
      <c r="J176" s="166">
        <v>6</v>
      </c>
      <c r="K176" s="166">
        <v>7</v>
      </c>
      <c r="L176" s="166">
        <v>17</v>
      </c>
      <c r="M176" s="166">
        <v>8</v>
      </c>
      <c r="N176" s="119">
        <v>3.1353135313531399E-2</v>
      </c>
      <c r="O176" s="119">
        <v>3.1353135313531399E-2</v>
      </c>
      <c r="P176" s="116" t="s">
        <v>83</v>
      </c>
      <c r="Q176" s="116" t="s">
        <v>83</v>
      </c>
      <c r="R176" s="119">
        <v>0</v>
      </c>
      <c r="S176" s="119">
        <v>1.94174757281553E-2</v>
      </c>
      <c r="T176" s="119">
        <v>2.1806853582554499E-2</v>
      </c>
      <c r="U176" s="119">
        <v>5.7627118644067797E-2</v>
      </c>
      <c r="V176" s="119">
        <v>2.78745644599303E-2</v>
      </c>
      <c r="W176" s="40">
        <v>1129</v>
      </c>
      <c r="X176" s="40">
        <f t="shared" si="10"/>
        <v>1129</v>
      </c>
      <c r="Y176" s="40">
        <f t="shared" si="11"/>
        <v>1129</v>
      </c>
      <c r="Z176" s="105">
        <v>0.46800000000000003</v>
      </c>
      <c r="AA176" s="105">
        <v>0.53200000000000003</v>
      </c>
      <c r="AB176" s="106">
        <v>0</v>
      </c>
      <c r="AC176" s="106">
        <f>4/1129</f>
        <v>3.5429583702391498E-3</v>
      </c>
      <c r="AD176" s="106">
        <f>35/1129</f>
        <v>3.100088573959256E-2</v>
      </c>
      <c r="AE176" s="106">
        <f>15/1129</f>
        <v>1.3286093888396812E-2</v>
      </c>
      <c r="AF176" s="106">
        <v>0</v>
      </c>
      <c r="AG176" s="106">
        <f>1070/1129</f>
        <v>0.94774136403897258</v>
      </c>
      <c r="AH176" s="106">
        <f>5/1129</f>
        <v>4.4286979627989375E-3</v>
      </c>
      <c r="AI176" s="106">
        <f>59/1129</f>
        <v>5.2258635961027457E-2</v>
      </c>
      <c r="AJ176" s="105">
        <v>0.44818423383525241</v>
      </c>
      <c r="AK176" s="105">
        <v>0</v>
      </c>
      <c r="AL176" s="12">
        <v>0</v>
      </c>
      <c r="AM176" s="12">
        <v>0</v>
      </c>
      <c r="AN176" s="12">
        <v>11</v>
      </c>
      <c r="AO176" s="12">
        <v>268</v>
      </c>
      <c r="AP176" s="12">
        <v>300</v>
      </c>
      <c r="AQ176" s="12">
        <v>290</v>
      </c>
      <c r="AR176" s="12">
        <v>260</v>
      </c>
      <c r="AS176" s="59">
        <v>3.9426523297491037E-2</v>
      </c>
      <c r="AT176" s="3">
        <v>9</v>
      </c>
      <c r="AU176" s="3">
        <v>6</v>
      </c>
      <c r="AV176" s="54">
        <v>70.496894409937894</v>
      </c>
      <c r="AW176" s="54">
        <v>22.826086956521738</v>
      </c>
      <c r="AX176" s="54">
        <v>6.366459627329192</v>
      </c>
      <c r="AY176" s="68">
        <v>0.3105590062111801</v>
      </c>
      <c r="AZ176" s="59">
        <v>0.17116357504215851</v>
      </c>
      <c r="BA176" s="59">
        <v>7.3355817875210796E-2</v>
      </c>
      <c r="BB176" s="76">
        <v>93.516797180576702</v>
      </c>
      <c r="BC176" s="49">
        <v>15.475189234650999</v>
      </c>
      <c r="BD176" s="90" t="s">
        <v>83</v>
      </c>
      <c r="BE176" s="90" t="s">
        <v>83</v>
      </c>
      <c r="BF176" s="49">
        <v>3</v>
      </c>
      <c r="BG176" s="49">
        <v>1</v>
      </c>
      <c r="BH176" s="49">
        <v>1.9</v>
      </c>
      <c r="BI176" s="49">
        <v>3.3</v>
      </c>
      <c r="BJ176" s="85">
        <v>19.899999999999999</v>
      </c>
      <c r="BK176" s="129">
        <v>10426</v>
      </c>
      <c r="BL176" s="129">
        <v>51870</v>
      </c>
      <c r="BM176" s="129">
        <v>57022</v>
      </c>
      <c r="BN176" s="129">
        <v>41123</v>
      </c>
      <c r="BO176" s="59">
        <v>0</v>
      </c>
      <c r="BP176" s="59">
        <v>0.3014</v>
      </c>
      <c r="BQ176" s="59">
        <v>0.2351</v>
      </c>
      <c r="BR176" s="59">
        <v>0</v>
      </c>
      <c r="BS176" s="59">
        <v>7.1999999999999998E-3</v>
      </c>
      <c r="BT176" s="49">
        <v>13.7</v>
      </c>
      <c r="BU176" s="59">
        <f t="shared" si="12"/>
        <v>0.54369999999999996</v>
      </c>
      <c r="BV176" s="59">
        <v>3.5799999999999998E-2</v>
      </c>
      <c r="BW176" s="59">
        <v>0</v>
      </c>
      <c r="BX176" s="59">
        <v>2.81E-2</v>
      </c>
      <c r="BY176" s="59">
        <v>0</v>
      </c>
      <c r="BZ176" s="59">
        <v>7.1999999999999998E-3</v>
      </c>
      <c r="CA176" s="49">
        <v>18.100000000000001</v>
      </c>
      <c r="CB176" s="59">
        <f t="shared" si="13"/>
        <v>7.1099999999999997E-2</v>
      </c>
      <c r="CC176" s="59">
        <v>0.3735</v>
      </c>
      <c r="CD176" s="125">
        <v>0.30969999999999998</v>
      </c>
      <c r="CE176" s="125">
        <v>0.3024</v>
      </c>
      <c r="CF176" s="125">
        <v>0</v>
      </c>
      <c r="CG176" s="125">
        <v>1.43E-2</v>
      </c>
      <c r="CH176" s="85">
        <v>12.3</v>
      </c>
      <c r="CI176" s="39" t="s">
        <v>290</v>
      </c>
      <c r="CJ176" s="18" t="s">
        <v>80</v>
      </c>
      <c r="CK176" s="20"/>
    </row>
    <row r="177" spans="1:99" x14ac:dyDescent="0.25">
      <c r="A177" s="18" t="s">
        <v>80</v>
      </c>
      <c r="B177" s="19" t="s">
        <v>286</v>
      </c>
      <c r="C177" s="39" t="s">
        <v>291</v>
      </c>
      <c r="D177" s="40">
        <v>35</v>
      </c>
      <c r="E177" s="40" t="s">
        <v>83</v>
      </c>
      <c r="F177" s="40">
        <v>35</v>
      </c>
      <c r="G177" s="162" t="s">
        <v>83</v>
      </c>
      <c r="H177" s="162" t="s">
        <v>83</v>
      </c>
      <c r="I177" s="166">
        <v>2</v>
      </c>
      <c r="J177" s="166">
        <v>9</v>
      </c>
      <c r="K177" s="166">
        <v>13</v>
      </c>
      <c r="L177" s="166">
        <v>8</v>
      </c>
      <c r="M177" s="166">
        <v>3</v>
      </c>
      <c r="N177" s="119">
        <v>0.05</v>
      </c>
      <c r="O177" s="119">
        <v>0.05</v>
      </c>
      <c r="P177" s="116" t="s">
        <v>83</v>
      </c>
      <c r="Q177" s="116" t="s">
        <v>83</v>
      </c>
      <c r="R177" s="119">
        <v>8.6956521739130405E-2</v>
      </c>
      <c r="S177" s="119">
        <v>4.3269230769230803E-2</v>
      </c>
      <c r="T177" s="119">
        <v>6.7708333333333301E-2</v>
      </c>
      <c r="U177" s="119">
        <v>5.0955414012738898E-2</v>
      </c>
      <c r="V177" s="119">
        <v>2.5000000000000001E-2</v>
      </c>
      <c r="W177" s="40">
        <v>604</v>
      </c>
      <c r="X177" s="40">
        <f t="shared" si="10"/>
        <v>604</v>
      </c>
      <c r="Y177" s="40">
        <f t="shared" si="11"/>
        <v>604</v>
      </c>
      <c r="Z177" s="105">
        <v>0.47899999999999998</v>
      </c>
      <c r="AA177" s="105">
        <v>0.52200000000000002</v>
      </c>
      <c r="AB177" s="106">
        <v>0</v>
      </c>
      <c r="AC177" s="106">
        <v>0</v>
      </c>
      <c r="AD177" s="106">
        <f>589/604</f>
        <v>0.97516556291390732</v>
      </c>
      <c r="AE177" s="106">
        <f>3/604</f>
        <v>4.9668874172185433E-3</v>
      </c>
      <c r="AF177" s="106">
        <v>0</v>
      </c>
      <c r="AG177" s="106">
        <f>12/604</f>
        <v>1.9867549668874173E-2</v>
      </c>
      <c r="AH177" s="106">
        <v>0</v>
      </c>
      <c r="AI177" s="106">
        <f>592/604</f>
        <v>0.98013245033112584</v>
      </c>
      <c r="AJ177" s="105">
        <v>0.8741721854304636</v>
      </c>
      <c r="AK177" s="105">
        <v>0</v>
      </c>
      <c r="AL177" s="12">
        <v>0</v>
      </c>
      <c r="AM177" s="12">
        <v>0</v>
      </c>
      <c r="AN177" s="12">
        <v>17</v>
      </c>
      <c r="AO177" s="12">
        <v>177</v>
      </c>
      <c r="AP177" s="12">
        <v>161</v>
      </c>
      <c r="AQ177" s="12">
        <v>137</v>
      </c>
      <c r="AR177" s="12">
        <v>112</v>
      </c>
      <c r="AS177" s="59">
        <v>8.7628865979381437E-2</v>
      </c>
      <c r="AT177" s="3">
        <v>9</v>
      </c>
      <c r="AU177" s="3">
        <v>6</v>
      </c>
      <c r="AV177" s="54">
        <v>76.704545454545453</v>
      </c>
      <c r="AW177" s="54">
        <v>16.193181818181817</v>
      </c>
      <c r="AX177" s="54">
        <v>7.1022727272727275</v>
      </c>
      <c r="AY177" s="68">
        <v>0</v>
      </c>
      <c r="AZ177" s="59">
        <v>0.12220566318926974</v>
      </c>
      <c r="BA177" s="59">
        <v>0.2667660208643815</v>
      </c>
      <c r="BB177" s="77">
        <v>91.414873959553304</v>
      </c>
      <c r="BC177" s="49">
        <v>42.105263157894697</v>
      </c>
      <c r="BD177" s="90" t="s">
        <v>83</v>
      </c>
      <c r="BE177" s="90" t="s">
        <v>83</v>
      </c>
      <c r="BF177" s="49">
        <v>3.6</v>
      </c>
      <c r="BG177" s="49">
        <v>2</v>
      </c>
      <c r="BH177" s="49">
        <v>0.8</v>
      </c>
      <c r="BI177" s="49">
        <v>3.5</v>
      </c>
      <c r="BJ177" s="85">
        <v>16.2</v>
      </c>
      <c r="BK177" s="129">
        <v>13386</v>
      </c>
      <c r="BL177" s="129">
        <v>52793</v>
      </c>
      <c r="BM177" s="129">
        <v>52079</v>
      </c>
      <c r="BN177" s="129">
        <v>39835</v>
      </c>
      <c r="BO177" s="59">
        <v>0</v>
      </c>
      <c r="BP177" s="59">
        <v>0.1845</v>
      </c>
      <c r="BQ177" s="59">
        <v>0.2213</v>
      </c>
      <c r="BR177" s="59">
        <v>9.7000000000000003E-3</v>
      </c>
      <c r="BS177" s="59">
        <v>0</v>
      </c>
      <c r="BT177" s="49">
        <v>12.3</v>
      </c>
      <c r="BU177" s="59">
        <f t="shared" si="12"/>
        <v>0.41549999999999998</v>
      </c>
      <c r="BV177" s="59">
        <v>5.79E-2</v>
      </c>
      <c r="BW177" s="59">
        <v>9.7000000000000003E-3</v>
      </c>
      <c r="BX177" s="59">
        <v>2.92E-2</v>
      </c>
      <c r="BY177" s="59">
        <v>0</v>
      </c>
      <c r="BZ177" s="59">
        <v>2.92E-2</v>
      </c>
      <c r="CA177" s="49">
        <v>14.4</v>
      </c>
      <c r="CB177" s="59">
        <f t="shared" si="13"/>
        <v>0.126</v>
      </c>
      <c r="CC177" s="59">
        <v>0.42659999999999998</v>
      </c>
      <c r="CD177" s="125">
        <v>0.21</v>
      </c>
      <c r="CE177" s="125">
        <v>0.3226</v>
      </c>
      <c r="CF177" s="125">
        <v>1.1599999999999999E-2</v>
      </c>
      <c r="CG177" s="125">
        <v>2.92E-2</v>
      </c>
      <c r="CH177" s="85">
        <v>11.2</v>
      </c>
      <c r="CI177" s="39" t="s">
        <v>291</v>
      </c>
      <c r="CJ177" s="18" t="s">
        <v>80</v>
      </c>
      <c r="CK177" s="20"/>
    </row>
    <row r="178" spans="1:99" x14ac:dyDescent="0.25">
      <c r="A178" s="18" t="s">
        <v>80</v>
      </c>
      <c r="B178" s="19" t="s">
        <v>292</v>
      </c>
      <c r="C178" s="39" t="s">
        <v>293</v>
      </c>
      <c r="D178" s="40">
        <v>17</v>
      </c>
      <c r="E178" s="40" t="s">
        <v>83</v>
      </c>
      <c r="F178" s="40">
        <v>17</v>
      </c>
      <c r="G178" s="162" t="s">
        <v>83</v>
      </c>
      <c r="H178" s="162" t="s">
        <v>83</v>
      </c>
      <c r="I178" s="166">
        <v>0</v>
      </c>
      <c r="J178" s="166">
        <v>8</v>
      </c>
      <c r="K178" s="166">
        <v>4</v>
      </c>
      <c r="L178" s="166">
        <v>3</v>
      </c>
      <c r="M178" s="166">
        <v>2</v>
      </c>
      <c r="N178" s="119">
        <v>1.85387131952017E-2</v>
      </c>
      <c r="O178" s="119">
        <v>1.85387131952017E-2</v>
      </c>
      <c r="P178" s="116" t="s">
        <v>83</v>
      </c>
      <c r="Q178" s="116" t="s">
        <v>83</v>
      </c>
      <c r="R178" s="119">
        <v>0</v>
      </c>
      <c r="S178" s="119">
        <v>3.3195020746888002E-2</v>
      </c>
      <c r="T178" s="119">
        <v>1.7621145374449299E-2</v>
      </c>
      <c r="U178" s="119">
        <v>1.4018691588785E-2</v>
      </c>
      <c r="V178" s="119">
        <v>8.9285714285714298E-3</v>
      </c>
      <c r="W178" s="40">
        <v>883</v>
      </c>
      <c r="X178" s="40">
        <f t="shared" si="10"/>
        <v>883</v>
      </c>
      <c r="Y178" s="40">
        <f t="shared" si="11"/>
        <v>883</v>
      </c>
      <c r="Z178" s="105">
        <v>0.47599999999999998</v>
      </c>
      <c r="AA178" s="105">
        <v>0.52400000000000002</v>
      </c>
      <c r="AB178" s="106">
        <f>10/883</f>
        <v>1.1325028312570781E-2</v>
      </c>
      <c r="AC178" s="106">
        <f>21/883</f>
        <v>2.3782559456398639E-2</v>
      </c>
      <c r="AD178" s="106">
        <f>160/883</f>
        <v>0.18120045300113249</v>
      </c>
      <c r="AE178" s="106">
        <f>46/883</f>
        <v>5.2095130237825596E-2</v>
      </c>
      <c r="AF178" s="106">
        <f>1/883</f>
        <v>1.1325028312570782E-3</v>
      </c>
      <c r="AG178" s="106">
        <f>623/883</f>
        <v>0.70554926387315964</v>
      </c>
      <c r="AH178" s="106">
        <f>22/883</f>
        <v>2.491506228765572E-2</v>
      </c>
      <c r="AI178" s="106">
        <f>260/883</f>
        <v>0.29445073612684031</v>
      </c>
      <c r="AJ178" s="105">
        <v>0.40770101925254815</v>
      </c>
      <c r="AK178" s="105">
        <v>3.0000000000000001E-3</v>
      </c>
      <c r="AL178" s="12">
        <v>0</v>
      </c>
      <c r="AM178" s="12">
        <v>0</v>
      </c>
      <c r="AN178" s="12">
        <v>12</v>
      </c>
      <c r="AO178" s="12">
        <v>231</v>
      </c>
      <c r="AP178" s="12">
        <v>217</v>
      </c>
      <c r="AQ178" s="12">
        <v>211</v>
      </c>
      <c r="AR178" s="12">
        <v>212</v>
      </c>
      <c r="AS178" s="59">
        <v>4.9382716049382713E-2</v>
      </c>
      <c r="AT178" s="3">
        <v>9</v>
      </c>
      <c r="AU178" s="3">
        <v>6</v>
      </c>
      <c r="AV178" s="54">
        <v>61.348314606741575</v>
      </c>
      <c r="AW178" s="54">
        <v>33.707865168539328</v>
      </c>
      <c r="AX178" s="54">
        <v>4.7191011235955056</v>
      </c>
      <c r="AY178" s="68">
        <v>0.22471910112359553</v>
      </c>
      <c r="AZ178" s="59">
        <v>0.10076670317634173</v>
      </c>
      <c r="BA178" s="59">
        <v>0.13472070098576122</v>
      </c>
      <c r="BB178" s="81">
        <v>96</v>
      </c>
      <c r="BC178" s="49">
        <v>36.074561403508802</v>
      </c>
      <c r="BD178" s="90" t="s">
        <v>83</v>
      </c>
      <c r="BE178" s="90" t="s">
        <v>83</v>
      </c>
      <c r="BF178" s="49">
        <v>8.1</v>
      </c>
      <c r="BG178" s="49">
        <v>2.8</v>
      </c>
      <c r="BH178" s="49">
        <v>1.5</v>
      </c>
      <c r="BI178" s="49">
        <v>0.5</v>
      </c>
      <c r="BJ178" s="85">
        <v>20.6</v>
      </c>
      <c r="BK178" s="129">
        <v>15106</v>
      </c>
      <c r="BL178" s="129">
        <v>38273</v>
      </c>
      <c r="BM178" s="129">
        <v>43911</v>
      </c>
      <c r="BN178" s="129">
        <v>33884</v>
      </c>
      <c r="BO178" s="59">
        <v>0</v>
      </c>
      <c r="BP178" s="59">
        <v>0.32069999999999999</v>
      </c>
      <c r="BQ178" s="59">
        <v>0.17910000000000001</v>
      </c>
      <c r="BR178" s="59">
        <v>0</v>
      </c>
      <c r="BS178" s="59">
        <v>0</v>
      </c>
      <c r="BT178" s="49">
        <v>8.1</v>
      </c>
      <c r="BU178" s="59">
        <f t="shared" si="12"/>
        <v>0.49980000000000002</v>
      </c>
      <c r="BV178" s="59">
        <v>9.4000000000000004E-3</v>
      </c>
      <c r="BW178" s="59">
        <v>9.4000000000000004E-3</v>
      </c>
      <c r="BX178" s="59">
        <v>2.8299999999999999E-2</v>
      </c>
      <c r="BY178" s="59">
        <v>0</v>
      </c>
      <c r="BZ178" s="59">
        <v>0</v>
      </c>
      <c r="CA178" s="49">
        <v>9.6</v>
      </c>
      <c r="CB178" s="59">
        <f t="shared" si="13"/>
        <v>4.7100000000000003E-2</v>
      </c>
      <c r="CC178" s="59">
        <v>0.28289999999999998</v>
      </c>
      <c r="CD178" s="125">
        <v>0.4199</v>
      </c>
      <c r="CE178" s="125">
        <v>0.29720000000000002</v>
      </c>
      <c r="CF178" s="125">
        <v>0</v>
      </c>
      <c r="CG178" s="125">
        <v>0</v>
      </c>
      <c r="CH178" s="85">
        <v>7.4</v>
      </c>
      <c r="CI178" s="39" t="s">
        <v>293</v>
      </c>
      <c r="CJ178" s="18" t="s">
        <v>80</v>
      </c>
      <c r="CK178" s="20"/>
    </row>
    <row r="179" spans="1:99" x14ac:dyDescent="0.25">
      <c r="A179" s="18" t="s">
        <v>80</v>
      </c>
      <c r="B179" s="19" t="s">
        <v>292</v>
      </c>
      <c r="C179" s="39" t="s">
        <v>294</v>
      </c>
      <c r="D179" s="40">
        <v>3</v>
      </c>
      <c r="E179" s="40">
        <v>1</v>
      </c>
      <c r="F179" s="40">
        <v>2</v>
      </c>
      <c r="G179" s="166">
        <v>1</v>
      </c>
      <c r="H179" s="166">
        <v>0</v>
      </c>
      <c r="I179" s="166">
        <v>0</v>
      </c>
      <c r="J179" s="166">
        <v>0</v>
      </c>
      <c r="K179" s="166">
        <v>1</v>
      </c>
      <c r="L179" s="166">
        <v>1</v>
      </c>
      <c r="M179" s="166">
        <v>0</v>
      </c>
      <c r="N179" s="119">
        <v>3.1914893617021302E-2</v>
      </c>
      <c r="O179" s="119">
        <v>3.2258064516128997E-2</v>
      </c>
      <c r="P179" s="119">
        <v>5.8823529411764698E-2</v>
      </c>
      <c r="Q179" s="119">
        <v>0</v>
      </c>
      <c r="R179" s="119">
        <v>0</v>
      </c>
      <c r="S179" s="119">
        <v>0</v>
      </c>
      <c r="T179" s="119">
        <v>7.1428571428571397E-2</v>
      </c>
      <c r="U179" s="119">
        <v>0.1</v>
      </c>
      <c r="V179" s="119">
        <v>0</v>
      </c>
      <c r="W179" s="40">
        <v>222</v>
      </c>
      <c r="X179" s="40">
        <f t="shared" si="10"/>
        <v>58</v>
      </c>
      <c r="Y179" s="40">
        <f t="shared" si="11"/>
        <v>89</v>
      </c>
      <c r="Z179" s="105">
        <v>0.437</v>
      </c>
      <c r="AA179" s="105">
        <v>0.56299999999999994</v>
      </c>
      <c r="AB179" s="106">
        <v>0</v>
      </c>
      <c r="AC179" s="106">
        <v>0</v>
      </c>
      <c r="AD179" s="106">
        <f>217/222</f>
        <v>0.97747747747747749</v>
      </c>
      <c r="AE179" s="106">
        <v>0</v>
      </c>
      <c r="AF179" s="106">
        <v>0</v>
      </c>
      <c r="AG179" s="106">
        <f>2/222</f>
        <v>9.0090090090090089E-3</v>
      </c>
      <c r="AH179" s="106">
        <f>3/222</f>
        <v>1.3513513513513514E-2</v>
      </c>
      <c r="AI179" s="106">
        <f>220/222</f>
        <v>0.99099099099099097</v>
      </c>
      <c r="AJ179" s="105">
        <v>0.90090090090090091</v>
      </c>
      <c r="AK179" s="105">
        <v>0</v>
      </c>
      <c r="AL179" s="12">
        <v>16</v>
      </c>
      <c r="AM179" s="12">
        <v>15</v>
      </c>
      <c r="AN179" s="12">
        <v>3</v>
      </c>
      <c r="AO179" s="12">
        <v>16</v>
      </c>
      <c r="AP179" s="12">
        <v>13</v>
      </c>
      <c r="AQ179" s="12">
        <v>12</v>
      </c>
      <c r="AR179" s="12">
        <v>14</v>
      </c>
      <c r="AS179" s="59">
        <v>0.15789473684210525</v>
      </c>
      <c r="AT179" s="3">
        <v>1</v>
      </c>
      <c r="AU179" s="3">
        <v>6</v>
      </c>
      <c r="AV179" s="54">
        <v>100</v>
      </c>
      <c r="AW179" s="54">
        <v>0</v>
      </c>
      <c r="AX179" s="54">
        <v>0</v>
      </c>
      <c r="AY179" s="68">
        <v>0</v>
      </c>
      <c r="AZ179" s="59">
        <v>4.5932252136762783E-3</v>
      </c>
      <c r="BA179" s="59">
        <v>0.11304347826086956</v>
      </c>
      <c r="BB179" s="81">
        <v>96</v>
      </c>
      <c r="BC179" s="49">
        <v>12.3762376237624</v>
      </c>
      <c r="BD179" s="93">
        <v>0</v>
      </c>
      <c r="BE179" s="93">
        <v>0</v>
      </c>
      <c r="BF179" s="49">
        <v>6.3</v>
      </c>
      <c r="BG179" s="49">
        <v>7.7</v>
      </c>
      <c r="BH179" s="49">
        <v>0</v>
      </c>
      <c r="BI179" s="49">
        <v>0</v>
      </c>
      <c r="BJ179" s="85">
        <v>18.2</v>
      </c>
      <c r="BK179" s="129">
        <v>26121</v>
      </c>
      <c r="BL179" s="129">
        <v>37229</v>
      </c>
      <c r="BM179" s="129">
        <v>51490</v>
      </c>
      <c r="BN179" s="129">
        <v>30238</v>
      </c>
      <c r="BO179" s="59">
        <v>0</v>
      </c>
      <c r="BP179" s="59">
        <v>0.17860000000000001</v>
      </c>
      <c r="BQ179" s="59">
        <v>0.125</v>
      </c>
      <c r="BR179" s="59">
        <v>0</v>
      </c>
      <c r="BS179" s="59">
        <v>0</v>
      </c>
      <c r="BT179" s="49">
        <v>5.5</v>
      </c>
      <c r="BU179" s="59">
        <f t="shared" si="12"/>
        <v>0.30359999999999998</v>
      </c>
      <c r="BV179" s="59">
        <v>1.7899999999999999E-2</v>
      </c>
      <c r="BW179" s="59">
        <v>0</v>
      </c>
      <c r="BX179" s="59">
        <v>1.7899999999999999E-2</v>
      </c>
      <c r="BY179" s="59">
        <v>0</v>
      </c>
      <c r="BZ179" s="59">
        <v>0</v>
      </c>
      <c r="CA179" s="49">
        <v>23.5</v>
      </c>
      <c r="CB179" s="59">
        <f t="shared" si="13"/>
        <v>3.5799999999999998E-2</v>
      </c>
      <c r="CC179" s="59">
        <v>0.44640000000000002</v>
      </c>
      <c r="CD179" s="125">
        <v>0.28570000000000001</v>
      </c>
      <c r="CE179" s="125">
        <v>0.26790000000000003</v>
      </c>
      <c r="CF179" s="125">
        <v>0</v>
      </c>
      <c r="CG179" s="125">
        <v>0</v>
      </c>
      <c r="CH179" s="85">
        <v>5.9</v>
      </c>
      <c r="CI179" s="39" t="s">
        <v>294</v>
      </c>
      <c r="CJ179" s="18" t="s">
        <v>80</v>
      </c>
      <c r="CK179" s="20"/>
    </row>
    <row r="180" spans="1:99" ht="15.75" thickBot="1" x14ac:dyDescent="0.3">
      <c r="A180" s="18" t="s">
        <v>80</v>
      </c>
      <c r="B180" s="19" t="s">
        <v>292</v>
      </c>
      <c r="C180" s="39" t="s">
        <v>295</v>
      </c>
      <c r="D180" s="40">
        <v>5</v>
      </c>
      <c r="E180" s="40">
        <v>0</v>
      </c>
      <c r="F180" s="40">
        <v>5</v>
      </c>
      <c r="G180" s="166">
        <v>0</v>
      </c>
      <c r="H180" s="166">
        <v>0</v>
      </c>
      <c r="I180" s="166">
        <v>0</v>
      </c>
      <c r="J180" s="166">
        <v>2</v>
      </c>
      <c r="K180" s="166">
        <v>2</v>
      </c>
      <c r="L180" s="166">
        <v>0</v>
      </c>
      <c r="M180" s="166">
        <v>1</v>
      </c>
      <c r="N180" s="119">
        <v>1.0351966873706001E-2</v>
      </c>
      <c r="O180" s="119">
        <v>1.74216027874564E-2</v>
      </c>
      <c r="P180" s="119">
        <v>0</v>
      </c>
      <c r="Q180" s="119">
        <v>0</v>
      </c>
      <c r="R180" s="119">
        <v>0</v>
      </c>
      <c r="S180" s="119">
        <v>2.32558139534884E-2</v>
      </c>
      <c r="T180" s="119">
        <v>2.1505376344085999E-2</v>
      </c>
      <c r="U180" s="119">
        <v>0</v>
      </c>
      <c r="V180" s="119">
        <v>2.27272727272727E-2</v>
      </c>
      <c r="W180" s="40">
        <v>435</v>
      </c>
      <c r="X180" s="40">
        <f t="shared" si="10"/>
        <v>254</v>
      </c>
      <c r="Y180" s="40">
        <f t="shared" si="11"/>
        <v>435</v>
      </c>
      <c r="Z180" s="105">
        <v>0.49199999999999999</v>
      </c>
      <c r="AA180" s="105">
        <v>0.50800000000000001</v>
      </c>
      <c r="AB180" s="106">
        <f>20/435</f>
        <v>4.5977011494252873E-2</v>
      </c>
      <c r="AC180" s="106">
        <f>71/435</f>
        <v>0.16321839080459771</v>
      </c>
      <c r="AD180" s="106">
        <f>169/435</f>
        <v>0.38850574712643676</v>
      </c>
      <c r="AE180" s="106">
        <f>7/435</f>
        <v>1.6091954022988506E-2</v>
      </c>
      <c r="AF180" s="106">
        <f>1/435</f>
        <v>2.2988505747126436E-3</v>
      </c>
      <c r="AG180" s="106">
        <f>163/435</f>
        <v>0.37471264367816093</v>
      </c>
      <c r="AH180" s="106">
        <f>4/435</f>
        <v>9.1954022988505746E-3</v>
      </c>
      <c r="AI180" s="106">
        <f>272/435</f>
        <v>0.62528735632183907</v>
      </c>
      <c r="AJ180" s="105">
        <v>0.7931034482758621</v>
      </c>
      <c r="AK180" s="105">
        <v>3.9E-2</v>
      </c>
      <c r="AL180" s="12">
        <v>95</v>
      </c>
      <c r="AM180" s="12">
        <v>86</v>
      </c>
      <c r="AN180" s="12">
        <v>3</v>
      </c>
      <c r="AO180" s="12">
        <v>74</v>
      </c>
      <c r="AP180" s="12">
        <v>83</v>
      </c>
      <c r="AQ180" s="12">
        <v>60</v>
      </c>
      <c r="AR180" s="12">
        <v>34</v>
      </c>
      <c r="AS180" s="59">
        <v>3.896103896103896E-2</v>
      </c>
      <c r="AT180" s="3">
        <v>7</v>
      </c>
      <c r="AU180" s="3">
        <v>6</v>
      </c>
      <c r="AV180" s="54">
        <v>78.540772532188839</v>
      </c>
      <c r="AW180" s="54">
        <v>18.454935622317599</v>
      </c>
      <c r="AX180" s="54">
        <v>1.7167381974248928</v>
      </c>
      <c r="AY180" s="68">
        <v>1.2875536480686696</v>
      </c>
      <c r="AZ180" s="59">
        <v>7.151639499038848E-3</v>
      </c>
      <c r="BA180" s="59">
        <v>6.2240663900414939E-2</v>
      </c>
      <c r="BB180" s="81">
        <v>96</v>
      </c>
      <c r="BC180" s="49">
        <v>13.900414937759299</v>
      </c>
      <c r="BD180" s="49">
        <v>18.100000000000001</v>
      </c>
      <c r="BE180" s="49">
        <v>9.3000000000000007</v>
      </c>
      <c r="BF180" s="49">
        <v>9.6999999999999993</v>
      </c>
      <c r="BG180" s="49">
        <v>7.2</v>
      </c>
      <c r="BH180" s="49">
        <v>5.6</v>
      </c>
      <c r="BI180" s="49">
        <v>0</v>
      </c>
      <c r="BJ180" s="85">
        <v>18.899999999999999</v>
      </c>
      <c r="BK180" s="129">
        <v>18881</v>
      </c>
      <c r="BL180" s="129">
        <v>36751</v>
      </c>
      <c r="BM180" s="129">
        <v>44151</v>
      </c>
      <c r="BN180" s="129">
        <v>32209</v>
      </c>
      <c r="BO180" s="59">
        <v>0</v>
      </c>
      <c r="BP180" s="59">
        <v>0.22059999999999999</v>
      </c>
      <c r="BQ180" s="59">
        <v>0.14710000000000001</v>
      </c>
      <c r="BR180" s="59">
        <v>0</v>
      </c>
      <c r="BS180" s="59">
        <v>0</v>
      </c>
      <c r="BT180" s="49">
        <v>3.6</v>
      </c>
      <c r="BU180" s="59">
        <f t="shared" si="12"/>
        <v>0.36770000000000003</v>
      </c>
      <c r="BV180" s="59">
        <v>2.9399999999999999E-2</v>
      </c>
      <c r="BW180" s="59">
        <v>0</v>
      </c>
      <c r="BX180" s="59">
        <v>1.47E-2</v>
      </c>
      <c r="BY180" s="59">
        <v>0</v>
      </c>
      <c r="BZ180" s="59">
        <v>0</v>
      </c>
      <c r="CA180" s="49">
        <v>16.3</v>
      </c>
      <c r="CB180" s="59">
        <f t="shared" si="13"/>
        <v>4.41E-2</v>
      </c>
      <c r="CC180" s="59">
        <v>0.4264</v>
      </c>
      <c r="CD180" s="125">
        <v>0.3382</v>
      </c>
      <c r="CE180" s="125">
        <v>0.2354</v>
      </c>
      <c r="CF180" s="125">
        <v>0</v>
      </c>
      <c r="CG180" s="125">
        <v>0</v>
      </c>
      <c r="CH180" s="85">
        <v>6.1</v>
      </c>
      <c r="CI180" s="39" t="s">
        <v>295</v>
      </c>
      <c r="CJ180" s="18" t="s">
        <v>80</v>
      </c>
      <c r="CK180" s="20"/>
    </row>
    <row r="181" spans="1:99" s="1" customFormat="1" ht="21" customHeight="1" x14ac:dyDescent="0.25">
      <c r="A181" s="21" t="s">
        <v>0</v>
      </c>
      <c r="B181" s="22" t="s">
        <v>1</v>
      </c>
      <c r="C181" s="22" t="s">
        <v>2</v>
      </c>
      <c r="D181" s="9" t="s">
        <v>3</v>
      </c>
      <c r="E181" s="9" t="s">
        <v>4</v>
      </c>
      <c r="F181" s="9" t="s">
        <v>5</v>
      </c>
      <c r="G181" s="161" t="s">
        <v>565</v>
      </c>
      <c r="H181" s="161" t="s">
        <v>566</v>
      </c>
      <c r="I181" s="161" t="s">
        <v>567</v>
      </c>
      <c r="J181" s="161" t="s">
        <v>568</v>
      </c>
      <c r="K181" s="161" t="s">
        <v>569</v>
      </c>
      <c r="L181" s="161" t="s">
        <v>570</v>
      </c>
      <c r="M181" s="161" t="s">
        <v>571</v>
      </c>
      <c r="N181" s="120" t="s">
        <v>6</v>
      </c>
      <c r="O181" s="120" t="s">
        <v>7</v>
      </c>
      <c r="P181" s="120" t="s">
        <v>8</v>
      </c>
      <c r="Q181" s="120" t="s">
        <v>9</v>
      </c>
      <c r="R181" s="120" t="s">
        <v>10</v>
      </c>
      <c r="S181" s="120" t="s">
        <v>11</v>
      </c>
      <c r="T181" s="120" t="s">
        <v>12</v>
      </c>
      <c r="U181" s="120" t="s">
        <v>13</v>
      </c>
      <c r="V181" s="120" t="s">
        <v>14</v>
      </c>
      <c r="W181" s="41" t="s">
        <v>15</v>
      </c>
      <c r="X181" s="41" t="s">
        <v>16</v>
      </c>
      <c r="Y181" s="41" t="s">
        <v>17</v>
      </c>
      <c r="Z181" s="107" t="s">
        <v>18</v>
      </c>
      <c r="AA181" s="107" t="s">
        <v>19</v>
      </c>
      <c r="AB181" s="95" t="s">
        <v>20</v>
      </c>
      <c r="AC181" s="95" t="s">
        <v>21</v>
      </c>
      <c r="AD181" s="95" t="s">
        <v>22</v>
      </c>
      <c r="AE181" s="95" t="s">
        <v>23</v>
      </c>
      <c r="AF181" s="95" t="s">
        <v>24</v>
      </c>
      <c r="AG181" s="95" t="s">
        <v>25</v>
      </c>
      <c r="AH181" s="95" t="s">
        <v>26</v>
      </c>
      <c r="AI181" s="95" t="s">
        <v>27</v>
      </c>
      <c r="AJ181" s="95" t="s">
        <v>28</v>
      </c>
      <c r="AK181" s="107" t="s">
        <v>29</v>
      </c>
      <c r="AL181" s="42" t="s">
        <v>30</v>
      </c>
      <c r="AM181" s="42" t="s">
        <v>31</v>
      </c>
      <c r="AN181" s="42" t="s">
        <v>32</v>
      </c>
      <c r="AO181" s="42" t="s">
        <v>33</v>
      </c>
      <c r="AP181" s="42" t="s">
        <v>34</v>
      </c>
      <c r="AQ181" s="42" t="s">
        <v>35</v>
      </c>
      <c r="AR181" s="42" t="s">
        <v>36</v>
      </c>
      <c r="AS181" s="100" t="s">
        <v>37</v>
      </c>
      <c r="AT181" s="41" t="s">
        <v>38</v>
      </c>
      <c r="AU181" s="23" t="s">
        <v>39</v>
      </c>
      <c r="AV181" s="51" t="s">
        <v>40</v>
      </c>
      <c r="AW181" s="51" t="s">
        <v>41</v>
      </c>
      <c r="AX181" s="51" t="s">
        <v>42</v>
      </c>
      <c r="AY181" s="66" t="s">
        <v>43</v>
      </c>
      <c r="AZ181" s="58" t="s">
        <v>44</v>
      </c>
      <c r="BA181" s="58" t="s">
        <v>45</v>
      </c>
      <c r="BB181" s="75" t="s">
        <v>46</v>
      </c>
      <c r="BC181" s="83" t="s">
        <v>47</v>
      </c>
      <c r="BD181" s="92" t="s">
        <v>48</v>
      </c>
      <c r="BE181" s="92" t="s">
        <v>49</v>
      </c>
      <c r="BF181" s="92" t="s">
        <v>50</v>
      </c>
      <c r="BG181" s="92" t="s">
        <v>51</v>
      </c>
      <c r="BH181" s="92" t="s">
        <v>52</v>
      </c>
      <c r="BI181" s="92" t="s">
        <v>53</v>
      </c>
      <c r="BJ181" s="86" t="s">
        <v>54</v>
      </c>
      <c r="BK181" s="123" t="s">
        <v>55</v>
      </c>
      <c r="BL181" s="123" t="s">
        <v>56</v>
      </c>
      <c r="BM181" s="123" t="s">
        <v>57</v>
      </c>
      <c r="BN181" s="123" t="s">
        <v>58</v>
      </c>
      <c r="BO181" s="131" t="s">
        <v>59</v>
      </c>
      <c r="BP181" s="131" t="s">
        <v>60</v>
      </c>
      <c r="BQ181" s="131" t="s">
        <v>61</v>
      </c>
      <c r="BR181" s="131" t="s">
        <v>62</v>
      </c>
      <c r="BS181" s="131" t="s">
        <v>63</v>
      </c>
      <c r="BT181" s="131" t="s">
        <v>64</v>
      </c>
      <c r="BU181" s="131" t="s">
        <v>65</v>
      </c>
      <c r="BV181" s="132" t="s">
        <v>66</v>
      </c>
      <c r="BW181" s="132" t="s">
        <v>67</v>
      </c>
      <c r="BX181" s="132" t="s">
        <v>68</v>
      </c>
      <c r="BY181" s="132" t="s">
        <v>69</v>
      </c>
      <c r="BZ181" s="132" t="s">
        <v>70</v>
      </c>
      <c r="CA181" s="132" t="s">
        <v>71</v>
      </c>
      <c r="CB181" s="132" t="s">
        <v>72</v>
      </c>
      <c r="CC181" s="123" t="s">
        <v>73</v>
      </c>
      <c r="CD181" s="123" t="s">
        <v>74</v>
      </c>
      <c r="CE181" s="123" t="s">
        <v>75</v>
      </c>
      <c r="CF181" s="123" t="s">
        <v>76</v>
      </c>
      <c r="CG181" s="123" t="s">
        <v>77</v>
      </c>
      <c r="CH181" s="123" t="s">
        <v>78</v>
      </c>
      <c r="CI181" s="22" t="s">
        <v>2</v>
      </c>
      <c r="CJ181" s="21" t="s">
        <v>0</v>
      </c>
      <c r="CK181" s="24" t="s">
        <v>79</v>
      </c>
      <c r="CL181"/>
      <c r="CM181"/>
      <c r="CN181"/>
      <c r="CO181"/>
      <c r="CP181"/>
      <c r="CQ181"/>
      <c r="CR181"/>
      <c r="CS181"/>
      <c r="CT181"/>
      <c r="CU181"/>
    </row>
    <row r="182" spans="1:99" x14ac:dyDescent="0.25">
      <c r="A182" s="18" t="s">
        <v>80</v>
      </c>
      <c r="B182" s="19" t="s">
        <v>296</v>
      </c>
      <c r="C182" s="39" t="s">
        <v>297</v>
      </c>
      <c r="D182" s="40">
        <v>43</v>
      </c>
      <c r="E182" s="40">
        <v>5</v>
      </c>
      <c r="F182" s="40">
        <v>38</v>
      </c>
      <c r="G182" s="166">
        <v>3</v>
      </c>
      <c r="H182" s="166">
        <v>2</v>
      </c>
      <c r="I182" s="166">
        <v>2</v>
      </c>
      <c r="J182" s="166">
        <v>14</v>
      </c>
      <c r="K182" s="166">
        <v>10</v>
      </c>
      <c r="L182" s="166">
        <v>9</v>
      </c>
      <c r="M182" s="166">
        <v>3</v>
      </c>
      <c r="N182" s="119">
        <v>3.9777983348751197E-2</v>
      </c>
      <c r="O182" s="119">
        <v>4.6228710462287097E-2</v>
      </c>
      <c r="P182" s="119">
        <v>2.4E-2</v>
      </c>
      <c r="Q182" s="119">
        <v>1.49253731343284E-2</v>
      </c>
      <c r="R182" s="119">
        <v>9.0909090909090898E-2</v>
      </c>
      <c r="S182" s="119">
        <v>5.3030303030302997E-2</v>
      </c>
      <c r="T182" s="119">
        <v>4.4843049327354299E-2</v>
      </c>
      <c r="U182" s="119">
        <v>5.7324840764331197E-2</v>
      </c>
      <c r="V182" s="119">
        <v>1.9230769230769201E-2</v>
      </c>
      <c r="W182" s="40">
        <v>996</v>
      </c>
      <c r="X182" s="40">
        <f t="shared" ref="X182:X228" si="14">SUM(AN182:AR182)</f>
        <v>759</v>
      </c>
      <c r="Y182" s="40">
        <f t="shared" ref="Y182:Y228" si="15">SUM(AL182:AR182)</f>
        <v>996</v>
      </c>
      <c r="Z182" s="105">
        <v>0.47699999999999998</v>
      </c>
      <c r="AA182" s="105">
        <v>0.52300000000000002</v>
      </c>
      <c r="AB182" s="106">
        <v>0</v>
      </c>
      <c r="AC182" s="106">
        <f>1/996</f>
        <v>1.004016064257028E-3</v>
      </c>
      <c r="AD182" s="106">
        <f>626/996</f>
        <v>0.62851405622489964</v>
      </c>
      <c r="AE182" s="106">
        <f>17/996</f>
        <v>1.7068273092369479E-2</v>
      </c>
      <c r="AF182" s="106">
        <v>0</v>
      </c>
      <c r="AG182" s="106">
        <f>343/996</f>
        <v>0.34437751004016065</v>
      </c>
      <c r="AH182" s="106">
        <f>9/996</f>
        <v>9.0361445783132526E-3</v>
      </c>
      <c r="AI182" s="106">
        <f>653/996</f>
        <v>0.65562248995983941</v>
      </c>
      <c r="AJ182" s="105">
        <v>0.75803212851405621</v>
      </c>
      <c r="AK182" s="105">
        <v>3.0000000000000001E-3</v>
      </c>
      <c r="AL182" s="12">
        <v>110</v>
      </c>
      <c r="AM182" s="12">
        <v>127</v>
      </c>
      <c r="AN182" s="12">
        <v>24</v>
      </c>
      <c r="AO182" s="12">
        <v>234</v>
      </c>
      <c r="AP182" s="12">
        <v>202</v>
      </c>
      <c r="AQ182" s="12">
        <v>149</v>
      </c>
      <c r="AR182" s="12">
        <v>150</v>
      </c>
      <c r="AS182" s="59">
        <v>9.3023255813953487E-2</v>
      </c>
      <c r="AT182" s="3">
        <v>7</v>
      </c>
      <c r="AU182" s="3">
        <v>6</v>
      </c>
      <c r="AV182" s="54">
        <v>58.486707566462172</v>
      </c>
      <c r="AW182" s="54">
        <v>35.787321063394685</v>
      </c>
      <c r="AX182" s="54">
        <v>5.3169734151329244</v>
      </c>
      <c r="AY182" s="68">
        <v>0.40899795501022501</v>
      </c>
      <c r="AZ182" s="59">
        <v>0.14967259120673526</v>
      </c>
      <c r="BA182" s="59">
        <v>0.20018709073900842</v>
      </c>
      <c r="BB182" s="76">
        <v>90.461013945492894</v>
      </c>
      <c r="BC182" s="49">
        <v>45.369504209541603</v>
      </c>
      <c r="BD182" s="49">
        <v>6.7</v>
      </c>
      <c r="BE182" s="49">
        <v>1</v>
      </c>
      <c r="BF182" s="49">
        <v>19.100000000000001</v>
      </c>
      <c r="BG182" s="49">
        <v>12.4</v>
      </c>
      <c r="BH182" s="49">
        <v>5.2</v>
      </c>
      <c r="BI182" s="49">
        <v>2</v>
      </c>
      <c r="BJ182" s="85">
        <v>18</v>
      </c>
      <c r="BK182" s="129">
        <v>11579</v>
      </c>
      <c r="BL182" s="129">
        <v>42838</v>
      </c>
      <c r="BM182" s="129">
        <v>47638</v>
      </c>
      <c r="BN182" s="129">
        <v>39170</v>
      </c>
      <c r="BO182" s="59">
        <v>1.01E-2</v>
      </c>
      <c r="BP182" s="59">
        <v>0.54959999999999998</v>
      </c>
      <c r="BQ182" s="59">
        <v>0.1237</v>
      </c>
      <c r="BR182" s="59">
        <v>1.01E-2</v>
      </c>
      <c r="BS182" s="59">
        <v>0</v>
      </c>
      <c r="BT182" s="49">
        <v>10.5</v>
      </c>
      <c r="BU182" s="59">
        <f t="shared" si="12"/>
        <v>0.69350000000000001</v>
      </c>
      <c r="BV182" s="59">
        <v>3.04E-2</v>
      </c>
      <c r="BW182" s="59">
        <v>0</v>
      </c>
      <c r="BX182" s="59">
        <v>4.0599999999999997E-2</v>
      </c>
      <c r="BY182" s="59">
        <v>0</v>
      </c>
      <c r="BZ182" s="59">
        <v>0</v>
      </c>
      <c r="CA182" s="49">
        <v>18.399999999999999</v>
      </c>
      <c r="CB182" s="59">
        <f t="shared" si="13"/>
        <v>7.0999999999999994E-2</v>
      </c>
      <c r="CC182" s="59">
        <v>0.20979999999999999</v>
      </c>
      <c r="CD182" s="125">
        <v>0.57999999999999996</v>
      </c>
      <c r="CE182" s="125">
        <v>0.2</v>
      </c>
      <c r="CF182" s="125">
        <v>1.01E-2</v>
      </c>
      <c r="CG182" s="125">
        <v>0</v>
      </c>
      <c r="CH182" s="85">
        <v>11.3</v>
      </c>
      <c r="CI182" s="39" t="s">
        <v>297</v>
      </c>
      <c r="CJ182" s="18" t="s">
        <v>80</v>
      </c>
      <c r="CK182" s="20"/>
    </row>
    <row r="183" spans="1:99" x14ac:dyDescent="0.25">
      <c r="A183" s="18" t="s">
        <v>80</v>
      </c>
      <c r="B183" s="19" t="s">
        <v>298</v>
      </c>
      <c r="C183" s="39" t="s">
        <v>299</v>
      </c>
      <c r="D183" s="40">
        <v>56</v>
      </c>
      <c r="E183" s="40" t="s">
        <v>83</v>
      </c>
      <c r="F183" s="40">
        <v>56</v>
      </c>
      <c r="G183" s="162" t="s">
        <v>83</v>
      </c>
      <c r="H183" s="162" t="s">
        <v>83</v>
      </c>
      <c r="I183" s="166">
        <v>0</v>
      </c>
      <c r="J183" s="166">
        <v>7</v>
      </c>
      <c r="K183" s="166">
        <v>18</v>
      </c>
      <c r="L183" s="166">
        <v>11</v>
      </c>
      <c r="M183" s="166">
        <v>20</v>
      </c>
      <c r="N183" s="119">
        <v>3.9325842696629199E-2</v>
      </c>
      <c r="O183" s="119">
        <v>3.9325842696629199E-2</v>
      </c>
      <c r="P183" s="116" t="s">
        <v>83</v>
      </c>
      <c r="Q183" s="116" t="s">
        <v>83</v>
      </c>
      <c r="R183" s="119">
        <v>0</v>
      </c>
      <c r="S183" s="119">
        <v>1.7902813299232701E-2</v>
      </c>
      <c r="T183" s="119">
        <v>4.6035805626598501E-2</v>
      </c>
      <c r="U183" s="119">
        <v>3.4055727554179599E-2</v>
      </c>
      <c r="V183" s="119">
        <v>7.4906367041198504E-2</v>
      </c>
      <c r="W183" s="40">
        <v>1311</v>
      </c>
      <c r="X183" s="40">
        <f t="shared" si="14"/>
        <v>1311</v>
      </c>
      <c r="Y183" s="40">
        <f t="shared" si="15"/>
        <v>1311</v>
      </c>
      <c r="Z183" s="105">
        <v>0.54200000000000004</v>
      </c>
      <c r="AA183" s="105">
        <v>0.45800000000000002</v>
      </c>
      <c r="AB183" s="106">
        <f>8/1311</f>
        <v>6.1022120518688027E-3</v>
      </c>
      <c r="AC183" s="106">
        <f>19/1311</f>
        <v>1.4492753623188406E-2</v>
      </c>
      <c r="AD183" s="106">
        <f>587/1311</f>
        <v>0.44774980930587338</v>
      </c>
      <c r="AE183" s="106">
        <f>26/1311</f>
        <v>1.9832189168573607E-2</v>
      </c>
      <c r="AF183" s="106">
        <v>0</v>
      </c>
      <c r="AG183" s="106">
        <f>669/1311</f>
        <v>0.51029748283752863</v>
      </c>
      <c r="AH183" s="106">
        <f>2/1311</f>
        <v>1.5255530129672007E-3</v>
      </c>
      <c r="AI183" s="106">
        <f>642/1311</f>
        <v>0.48970251716247137</v>
      </c>
      <c r="AJ183" s="105">
        <v>0.49427917620137302</v>
      </c>
      <c r="AK183" s="105">
        <v>7.0000000000000001E-3</v>
      </c>
      <c r="AL183" s="12">
        <v>0</v>
      </c>
      <c r="AM183" s="12">
        <v>0</v>
      </c>
      <c r="AN183" s="12">
        <v>30</v>
      </c>
      <c r="AO183" s="12">
        <v>378</v>
      </c>
      <c r="AP183" s="12">
        <v>359</v>
      </c>
      <c r="AQ183" s="12">
        <v>298</v>
      </c>
      <c r="AR183" s="12">
        <v>246</v>
      </c>
      <c r="AS183" s="59">
        <v>7.3529411764705885E-2</v>
      </c>
      <c r="AT183" s="3">
        <v>9</v>
      </c>
      <c r="AU183" s="3">
        <v>6</v>
      </c>
      <c r="AV183" s="54">
        <v>54.307692307692314</v>
      </c>
      <c r="AW183" s="54">
        <v>28.000000000000004</v>
      </c>
      <c r="AX183" s="54">
        <v>17.076923076923077</v>
      </c>
      <c r="AY183" s="68">
        <v>0.61538461538461542</v>
      </c>
      <c r="AZ183" s="59">
        <v>0.11407942238267148</v>
      </c>
      <c r="BA183" s="59">
        <v>0.11624548736462094</v>
      </c>
      <c r="BB183" s="77">
        <v>94.800273682365798</v>
      </c>
      <c r="BC183" s="49">
        <v>7.2150072150072103E-2</v>
      </c>
      <c r="BD183" s="90" t="s">
        <v>83</v>
      </c>
      <c r="BE183" s="90" t="s">
        <v>83</v>
      </c>
      <c r="BF183" s="49">
        <v>8.1999999999999993</v>
      </c>
      <c r="BG183" s="49">
        <v>4.3</v>
      </c>
      <c r="BH183" s="49">
        <v>3.6</v>
      </c>
      <c r="BI183" s="49">
        <v>3.5</v>
      </c>
      <c r="BJ183" s="85">
        <v>19.600000000000001</v>
      </c>
      <c r="BK183" s="129">
        <v>8995</v>
      </c>
      <c r="BL183" s="129">
        <v>48228</v>
      </c>
      <c r="BM183" s="129">
        <v>41973</v>
      </c>
      <c r="BN183" s="129">
        <v>38496</v>
      </c>
      <c r="BO183" s="59">
        <v>0</v>
      </c>
      <c r="BP183" s="59">
        <v>0.37959999999999999</v>
      </c>
      <c r="BQ183" s="59">
        <v>0.20669999999999999</v>
      </c>
      <c r="BR183" s="59">
        <v>0</v>
      </c>
      <c r="BS183" s="59">
        <v>8.0000000000000002E-3</v>
      </c>
      <c r="BT183" s="49">
        <v>13.4</v>
      </c>
      <c r="BU183" s="59">
        <f t="shared" si="12"/>
        <v>0.59430000000000005</v>
      </c>
      <c r="BV183" s="59">
        <v>3.15E-2</v>
      </c>
      <c r="BW183" s="59">
        <v>0</v>
      </c>
      <c r="BX183" s="59">
        <v>2.3900000000000001E-2</v>
      </c>
      <c r="BY183" s="59">
        <v>0</v>
      </c>
      <c r="BZ183" s="59">
        <v>0</v>
      </c>
      <c r="CA183" s="49">
        <v>16.2</v>
      </c>
      <c r="CB183" s="59">
        <f t="shared" si="13"/>
        <v>5.5400000000000005E-2</v>
      </c>
      <c r="CC183" s="59">
        <v>0.35799999999999998</v>
      </c>
      <c r="CD183" s="125">
        <v>0.38750000000000001</v>
      </c>
      <c r="CE183" s="125">
        <v>0.2465</v>
      </c>
      <c r="CF183" s="125">
        <v>0</v>
      </c>
      <c r="CG183" s="125">
        <v>8.0000000000000002E-3</v>
      </c>
      <c r="CH183" s="85">
        <v>13.1</v>
      </c>
      <c r="CI183" s="39" t="s">
        <v>299</v>
      </c>
      <c r="CJ183" s="18" t="s">
        <v>80</v>
      </c>
      <c r="CK183" s="20"/>
    </row>
    <row r="184" spans="1:99" x14ac:dyDescent="0.25">
      <c r="A184" s="18" t="s">
        <v>80</v>
      </c>
      <c r="B184" s="19" t="s">
        <v>298</v>
      </c>
      <c r="C184" s="39" t="s">
        <v>300</v>
      </c>
      <c r="D184" s="40">
        <v>66</v>
      </c>
      <c r="E184" s="40" t="s">
        <v>83</v>
      </c>
      <c r="F184" s="40">
        <v>66</v>
      </c>
      <c r="G184" s="162" t="s">
        <v>83</v>
      </c>
      <c r="H184" s="162" t="s">
        <v>83</v>
      </c>
      <c r="I184" s="166">
        <v>1</v>
      </c>
      <c r="J184" s="166">
        <v>22</v>
      </c>
      <c r="K184" s="166">
        <v>22</v>
      </c>
      <c r="L184" s="166">
        <v>5</v>
      </c>
      <c r="M184" s="166">
        <v>16</v>
      </c>
      <c r="N184" s="119">
        <v>9.6916299559471397E-2</v>
      </c>
      <c r="O184" s="119">
        <v>9.6916299559471397E-2</v>
      </c>
      <c r="P184" s="116" t="s">
        <v>83</v>
      </c>
      <c r="Q184" s="116" t="s">
        <v>83</v>
      </c>
      <c r="R184" s="119">
        <v>1.4084507042253501E-2</v>
      </c>
      <c r="S184" s="119">
        <v>0.113989637305699</v>
      </c>
      <c r="T184" s="119">
        <v>0.138364779874214</v>
      </c>
      <c r="U184" s="119">
        <v>4.71698113207547E-2</v>
      </c>
      <c r="V184" s="119">
        <v>0.105263157894737</v>
      </c>
      <c r="W184" s="40">
        <v>556</v>
      </c>
      <c r="X184" s="40">
        <f t="shared" si="14"/>
        <v>556</v>
      </c>
      <c r="Y184" s="40">
        <f t="shared" si="15"/>
        <v>556</v>
      </c>
      <c r="Z184" s="105">
        <v>0.50700000000000001</v>
      </c>
      <c r="AA184" s="105">
        <v>0.49299999999999999</v>
      </c>
      <c r="AB184" s="106">
        <f>4/556</f>
        <v>7.1942446043165471E-3</v>
      </c>
      <c r="AC184" s="106">
        <f>19/556</f>
        <v>3.41726618705036E-2</v>
      </c>
      <c r="AD184" s="106">
        <f>358/556</f>
        <v>0.64388489208633093</v>
      </c>
      <c r="AE184" s="106">
        <f>16/556</f>
        <v>2.8776978417266189E-2</v>
      </c>
      <c r="AF184" s="106">
        <v>0</v>
      </c>
      <c r="AG184" s="106">
        <f>158/556</f>
        <v>0.28417266187050361</v>
      </c>
      <c r="AH184" s="106">
        <f>1/556</f>
        <v>1.7985611510791368E-3</v>
      </c>
      <c r="AI184" s="106">
        <f>398/556</f>
        <v>0.71582733812949639</v>
      </c>
      <c r="AJ184" s="105">
        <v>0.65287769784172667</v>
      </c>
      <c r="AK184" s="105">
        <v>3.4000000000000002E-2</v>
      </c>
      <c r="AL184" s="12">
        <v>0</v>
      </c>
      <c r="AM184" s="12">
        <v>0</v>
      </c>
      <c r="AN184" s="12">
        <v>83</v>
      </c>
      <c r="AO184" s="12">
        <v>116</v>
      </c>
      <c r="AP184" s="12">
        <v>135</v>
      </c>
      <c r="AQ184" s="12">
        <v>91</v>
      </c>
      <c r="AR184" s="12">
        <v>131</v>
      </c>
      <c r="AS184" s="59">
        <v>0.41708542713567837</v>
      </c>
      <c r="AT184" s="3">
        <v>9</v>
      </c>
      <c r="AU184" s="3">
        <v>6</v>
      </c>
      <c r="AV184" s="54">
        <v>76.582278481012651</v>
      </c>
      <c r="AW184" s="54">
        <v>14.556962025316455</v>
      </c>
      <c r="AX184" s="54">
        <v>8.2278481012658222</v>
      </c>
      <c r="AY184" s="68">
        <v>0.63291139240506333</v>
      </c>
      <c r="AZ184" s="59">
        <v>0.23851885576227494</v>
      </c>
      <c r="BA184" s="59">
        <v>5.7401812688821753E-2</v>
      </c>
      <c r="BB184" s="76">
        <v>93.103859995029296</v>
      </c>
      <c r="BC184" s="84"/>
      <c r="BD184" s="90" t="s">
        <v>83</v>
      </c>
      <c r="BE184" s="90" t="s">
        <v>83</v>
      </c>
      <c r="BF184" s="49">
        <v>29.4</v>
      </c>
      <c r="BG184" s="49">
        <v>13.2</v>
      </c>
      <c r="BH184" s="49">
        <v>3.5</v>
      </c>
      <c r="BI184" s="49">
        <v>16.399999999999999</v>
      </c>
      <c r="BJ184" s="85">
        <v>21.6</v>
      </c>
      <c r="BK184" s="129">
        <v>14169</v>
      </c>
      <c r="BL184" s="129">
        <v>49067</v>
      </c>
      <c r="BM184" s="129">
        <v>42044</v>
      </c>
      <c r="BN184" s="129">
        <v>34951</v>
      </c>
      <c r="BO184" s="59">
        <v>0</v>
      </c>
      <c r="BP184" s="59">
        <v>0.27100000000000002</v>
      </c>
      <c r="BQ184" s="59">
        <v>0.17249999999999999</v>
      </c>
      <c r="BR184" s="59">
        <v>0</v>
      </c>
      <c r="BS184" s="59">
        <v>0</v>
      </c>
      <c r="BT184" s="49">
        <v>13.4</v>
      </c>
      <c r="BU184" s="59">
        <f t="shared" si="12"/>
        <v>0.44350000000000001</v>
      </c>
      <c r="BV184" s="59">
        <v>4.5600000000000002E-2</v>
      </c>
      <c r="BW184" s="59">
        <v>0</v>
      </c>
      <c r="BX184" s="59">
        <v>3.1199999999999999E-2</v>
      </c>
      <c r="BY184" s="59">
        <v>0</v>
      </c>
      <c r="BZ184" s="59">
        <v>0</v>
      </c>
      <c r="CA184" s="49">
        <v>15.6</v>
      </c>
      <c r="CB184" s="59">
        <f t="shared" si="13"/>
        <v>7.6800000000000007E-2</v>
      </c>
      <c r="CC184" s="59">
        <v>0.49399999999999999</v>
      </c>
      <c r="CD184" s="125">
        <v>0.27100000000000002</v>
      </c>
      <c r="CE184" s="125">
        <v>0.23499999999999999</v>
      </c>
      <c r="CF184" s="125">
        <v>0</v>
      </c>
      <c r="CG184" s="125">
        <v>0</v>
      </c>
      <c r="CH184" s="85">
        <v>13</v>
      </c>
      <c r="CI184" s="39" t="s">
        <v>300</v>
      </c>
      <c r="CJ184" s="18" t="s">
        <v>80</v>
      </c>
      <c r="CK184" s="20"/>
    </row>
    <row r="185" spans="1:99" x14ac:dyDescent="0.25">
      <c r="A185" s="18" t="s">
        <v>80</v>
      </c>
      <c r="B185" s="19" t="s">
        <v>298</v>
      </c>
      <c r="C185" s="39" t="s">
        <v>301</v>
      </c>
      <c r="D185" s="40">
        <v>35</v>
      </c>
      <c r="E185" s="40">
        <v>8</v>
      </c>
      <c r="F185" s="40">
        <v>27</v>
      </c>
      <c r="G185" s="166">
        <v>3</v>
      </c>
      <c r="H185" s="166">
        <v>5</v>
      </c>
      <c r="I185" s="166">
        <v>0</v>
      </c>
      <c r="J185" s="166">
        <v>9</v>
      </c>
      <c r="K185" s="166">
        <v>5</v>
      </c>
      <c r="L185" s="166">
        <v>8</v>
      </c>
      <c r="M185" s="166">
        <v>5</v>
      </c>
      <c r="N185" s="119">
        <v>3.42130987292278E-2</v>
      </c>
      <c r="O185" s="119">
        <v>4.2253521126760597E-2</v>
      </c>
      <c r="P185" s="119">
        <v>1.62162162162162E-2</v>
      </c>
      <c r="Q185" s="119">
        <v>2.5125628140703501E-2</v>
      </c>
      <c r="R185" s="119">
        <v>0</v>
      </c>
      <c r="S185" s="119">
        <v>4.3269230769230803E-2</v>
      </c>
      <c r="T185" s="119">
        <v>2.9940119760479E-2</v>
      </c>
      <c r="U185" s="119">
        <v>6.8376068376068397E-2</v>
      </c>
      <c r="V185" s="119">
        <v>3.6764705882352901E-2</v>
      </c>
      <c r="W185" s="40">
        <v>1110</v>
      </c>
      <c r="X185" s="40">
        <f t="shared" si="14"/>
        <v>597</v>
      </c>
      <c r="Y185" s="40">
        <f t="shared" si="15"/>
        <v>957</v>
      </c>
      <c r="Z185" s="105">
        <v>0.501</v>
      </c>
      <c r="AA185" s="105">
        <v>0.499</v>
      </c>
      <c r="AB185" s="106">
        <f>5/1110</f>
        <v>4.5045045045045045E-3</v>
      </c>
      <c r="AC185" s="106">
        <f>4/1110</f>
        <v>3.6036036036036037E-3</v>
      </c>
      <c r="AD185" s="106">
        <f>5/1110</f>
        <v>4.5045045045045045E-3</v>
      </c>
      <c r="AE185" s="106">
        <f>10/1110</f>
        <v>9.0090090090090089E-3</v>
      </c>
      <c r="AF185" s="106">
        <v>0</v>
      </c>
      <c r="AG185" s="106">
        <f>1086/1110</f>
        <v>0.97837837837837838</v>
      </c>
      <c r="AH185" s="106">
        <v>0</v>
      </c>
      <c r="AI185" s="106">
        <f>24/1110</f>
        <v>2.1621621621621623E-2</v>
      </c>
      <c r="AJ185" s="105">
        <v>0.44594594594594594</v>
      </c>
      <c r="AK185" s="105">
        <v>0</v>
      </c>
      <c r="AL185" s="12">
        <v>173</v>
      </c>
      <c r="AM185" s="12">
        <v>187</v>
      </c>
      <c r="AN185" s="12">
        <v>8</v>
      </c>
      <c r="AO185" s="12">
        <v>192</v>
      </c>
      <c r="AP185" s="12">
        <v>157</v>
      </c>
      <c r="AQ185" s="12">
        <v>114</v>
      </c>
      <c r="AR185" s="12">
        <v>126</v>
      </c>
      <c r="AS185" s="59">
        <v>0.04</v>
      </c>
      <c r="AT185" s="3">
        <v>6</v>
      </c>
      <c r="AU185" s="3">
        <v>6</v>
      </c>
      <c r="AV185" s="54">
        <v>55.835240274599542</v>
      </c>
      <c r="AW185" s="54">
        <v>23.112128146453088</v>
      </c>
      <c r="AX185" s="54">
        <v>20.137299771167047</v>
      </c>
      <c r="AY185" s="68">
        <v>0.91533180778032042</v>
      </c>
      <c r="AZ185" s="59">
        <v>0.14358538657604078</v>
      </c>
      <c r="BA185" s="59">
        <v>7.3067119796091762E-2</v>
      </c>
      <c r="BB185" s="77">
        <v>94.958452092515998</v>
      </c>
      <c r="BC185" s="84"/>
      <c r="BD185" s="49">
        <v>1.2</v>
      </c>
      <c r="BE185" s="49">
        <v>0</v>
      </c>
      <c r="BF185" s="49">
        <v>8.9</v>
      </c>
      <c r="BG185" s="49">
        <v>3.3</v>
      </c>
      <c r="BH185" s="49">
        <v>4.8</v>
      </c>
      <c r="BI185" s="49">
        <v>3.1</v>
      </c>
      <c r="BJ185" s="85">
        <v>19.899999999999999</v>
      </c>
      <c r="BK185" s="129">
        <v>9266</v>
      </c>
      <c r="BL185" s="129">
        <v>49349</v>
      </c>
      <c r="BM185" s="129">
        <v>45422</v>
      </c>
      <c r="BN185" s="129">
        <v>39114</v>
      </c>
      <c r="BO185" s="59">
        <v>0</v>
      </c>
      <c r="BP185" s="59">
        <v>0.44529999999999997</v>
      </c>
      <c r="BQ185" s="59">
        <v>0.13150000000000001</v>
      </c>
      <c r="BR185" s="59">
        <v>0</v>
      </c>
      <c r="BS185" s="59">
        <v>0</v>
      </c>
      <c r="BT185" s="49">
        <v>14.8</v>
      </c>
      <c r="BU185" s="59">
        <f t="shared" si="12"/>
        <v>0.57679999999999998</v>
      </c>
      <c r="BV185" s="59">
        <v>3.5299999999999998E-2</v>
      </c>
      <c r="BW185" s="59">
        <v>0</v>
      </c>
      <c r="BX185" s="59">
        <v>2.29E-2</v>
      </c>
      <c r="BY185" s="59">
        <v>0</v>
      </c>
      <c r="BZ185" s="59">
        <v>0</v>
      </c>
      <c r="CA185" s="49">
        <v>17.7</v>
      </c>
      <c r="CB185" s="59">
        <f t="shared" si="13"/>
        <v>5.8200000000000002E-2</v>
      </c>
      <c r="CC185" s="59">
        <v>0.37390000000000001</v>
      </c>
      <c r="CD185" s="125">
        <v>0.4541</v>
      </c>
      <c r="CE185" s="125">
        <v>0.1721</v>
      </c>
      <c r="CF185" s="125">
        <v>0</v>
      </c>
      <c r="CG185" s="125">
        <v>0</v>
      </c>
      <c r="CH185" s="85">
        <v>13.5</v>
      </c>
      <c r="CI185" s="39" t="s">
        <v>301</v>
      </c>
      <c r="CJ185" s="18" t="s">
        <v>80</v>
      </c>
      <c r="CK185" s="20"/>
    </row>
    <row r="186" spans="1:99" x14ac:dyDescent="0.25">
      <c r="A186" s="18" t="s">
        <v>80</v>
      </c>
      <c r="B186" s="19" t="s">
        <v>298</v>
      </c>
      <c r="C186" s="39" t="s">
        <v>302</v>
      </c>
      <c r="D186" s="40">
        <v>14</v>
      </c>
      <c r="E186" s="40">
        <v>2</v>
      </c>
      <c r="F186" s="40">
        <v>12</v>
      </c>
      <c r="G186" s="166">
        <v>1</v>
      </c>
      <c r="H186" s="166">
        <v>1</v>
      </c>
      <c r="I186" s="166">
        <v>1</v>
      </c>
      <c r="J186" s="166">
        <v>1</v>
      </c>
      <c r="K186" s="166">
        <v>4</v>
      </c>
      <c r="L186" s="166">
        <v>3</v>
      </c>
      <c r="M186" s="166">
        <v>3</v>
      </c>
      <c r="N186" s="119">
        <v>4.5751633986928102E-2</v>
      </c>
      <c r="O186" s="119">
        <v>6.4171122994652399E-2</v>
      </c>
      <c r="P186" s="119">
        <v>1.58730158730159E-2</v>
      </c>
      <c r="Q186" s="119">
        <v>1.7857142857142901E-2</v>
      </c>
      <c r="R186" s="119">
        <v>0.25</v>
      </c>
      <c r="S186" s="119">
        <v>1.6129032258064498E-2</v>
      </c>
      <c r="T186" s="119">
        <v>8.6956521739130405E-2</v>
      </c>
      <c r="U186" s="119">
        <v>8.1081081081081099E-2</v>
      </c>
      <c r="V186" s="119">
        <v>7.8947368421052599E-2</v>
      </c>
      <c r="W186" s="40">
        <v>681</v>
      </c>
      <c r="X186" s="40">
        <f t="shared" si="14"/>
        <v>165</v>
      </c>
      <c r="Y186" s="40">
        <f t="shared" si="15"/>
        <v>272</v>
      </c>
      <c r="Z186" s="105">
        <v>0.47599999999999998</v>
      </c>
      <c r="AA186" s="105">
        <v>0.52400000000000002</v>
      </c>
      <c r="AB186" s="106">
        <f>9/681</f>
        <v>1.3215859030837005E-2</v>
      </c>
      <c r="AC186" s="106">
        <f>15/681</f>
        <v>2.2026431718061675E-2</v>
      </c>
      <c r="AD186" s="106">
        <f>141/681</f>
        <v>0.20704845814977973</v>
      </c>
      <c r="AE186" s="106">
        <f>101/681</f>
        <v>0.14831130690161526</v>
      </c>
      <c r="AF186" s="106">
        <v>0</v>
      </c>
      <c r="AG186" s="106">
        <f>410/681</f>
        <v>0.60205580029368577</v>
      </c>
      <c r="AH186" s="106">
        <f>5/681</f>
        <v>7.3421439060205578E-3</v>
      </c>
      <c r="AI186" s="106">
        <f>271/681</f>
        <v>0.39794419970631423</v>
      </c>
      <c r="AJ186" s="105">
        <v>0.75330396475770922</v>
      </c>
      <c r="AK186" s="105">
        <v>6.9000000000000006E-2</v>
      </c>
      <c r="AL186" s="12">
        <v>56</v>
      </c>
      <c r="AM186" s="12">
        <v>51</v>
      </c>
      <c r="AN186" s="12">
        <v>4</v>
      </c>
      <c r="AO186" s="12">
        <v>51</v>
      </c>
      <c r="AP186" s="12">
        <v>40</v>
      </c>
      <c r="AQ186" s="12">
        <v>32</v>
      </c>
      <c r="AR186" s="12">
        <v>38</v>
      </c>
      <c r="AS186" s="59">
        <v>7.2727272727272724E-2</v>
      </c>
      <c r="AT186" s="3">
        <v>1</v>
      </c>
      <c r="AU186" s="3">
        <v>6</v>
      </c>
      <c r="AV186" s="54">
        <v>66.066066066066071</v>
      </c>
      <c r="AW186" s="54">
        <v>26.726726726726728</v>
      </c>
      <c r="AX186" s="54">
        <v>6.9069069069069062</v>
      </c>
      <c r="AY186" s="68">
        <v>0.3003003003003003</v>
      </c>
      <c r="AZ186" s="59">
        <v>0.14130434782608695</v>
      </c>
      <c r="BA186" s="59">
        <v>0.05</v>
      </c>
      <c r="BB186" s="81">
        <v>96</v>
      </c>
      <c r="BC186" s="84"/>
      <c r="BD186" s="49">
        <v>0</v>
      </c>
      <c r="BE186" s="49">
        <v>0</v>
      </c>
      <c r="BF186" s="49">
        <v>10.199999999999999</v>
      </c>
      <c r="BG186" s="49">
        <v>0</v>
      </c>
      <c r="BH186" s="49">
        <v>3.1</v>
      </c>
      <c r="BI186" s="49">
        <v>0</v>
      </c>
      <c r="BJ186" s="85">
        <v>20.2</v>
      </c>
      <c r="BK186" s="129">
        <v>10462</v>
      </c>
      <c r="BL186" s="129">
        <v>48676</v>
      </c>
      <c r="BM186" s="129">
        <v>47460</v>
      </c>
      <c r="BN186" s="129">
        <v>37944</v>
      </c>
      <c r="BO186" s="59">
        <v>0</v>
      </c>
      <c r="BP186" s="59">
        <v>0.3911</v>
      </c>
      <c r="BQ186" s="59">
        <v>0.14050000000000001</v>
      </c>
      <c r="BR186" s="59">
        <v>0</v>
      </c>
      <c r="BS186" s="59">
        <v>0</v>
      </c>
      <c r="BT186" s="49">
        <v>16.7</v>
      </c>
      <c r="BU186" s="59">
        <f t="shared" si="12"/>
        <v>0.53160000000000007</v>
      </c>
      <c r="BV186" s="59">
        <v>3.5900000000000001E-2</v>
      </c>
      <c r="BW186" s="59">
        <v>0</v>
      </c>
      <c r="BX186" s="59">
        <v>3.2800000000000003E-2</v>
      </c>
      <c r="BY186" s="59">
        <v>0</v>
      </c>
      <c r="BZ186" s="59">
        <v>0</v>
      </c>
      <c r="CA186" s="49">
        <v>15.6</v>
      </c>
      <c r="CB186" s="59">
        <f t="shared" si="13"/>
        <v>6.8700000000000011E-2</v>
      </c>
      <c r="CC186" s="59">
        <v>0.3997</v>
      </c>
      <c r="CD186" s="125">
        <v>0.41499999999999998</v>
      </c>
      <c r="CE186" s="125">
        <v>0.18529999999999999</v>
      </c>
      <c r="CF186" s="125">
        <v>0</v>
      </c>
      <c r="CG186" s="125">
        <v>0</v>
      </c>
      <c r="CH186" s="85">
        <v>14.2</v>
      </c>
      <c r="CI186" s="39" t="s">
        <v>302</v>
      </c>
      <c r="CJ186" s="18" t="s">
        <v>80</v>
      </c>
      <c r="CK186" s="20"/>
    </row>
    <row r="187" spans="1:99" x14ac:dyDescent="0.25">
      <c r="A187" s="18" t="s">
        <v>80</v>
      </c>
      <c r="B187" s="19" t="s">
        <v>298</v>
      </c>
      <c r="C187" s="39" t="s">
        <v>303</v>
      </c>
      <c r="D187" s="40">
        <v>10</v>
      </c>
      <c r="E187" s="40">
        <v>1</v>
      </c>
      <c r="F187" s="40">
        <v>9</v>
      </c>
      <c r="G187" s="166">
        <v>1</v>
      </c>
      <c r="H187" s="166">
        <v>0</v>
      </c>
      <c r="I187" s="166">
        <v>1</v>
      </c>
      <c r="J187" s="166">
        <v>3</v>
      </c>
      <c r="K187" s="166">
        <v>2</v>
      </c>
      <c r="L187" s="166">
        <v>2</v>
      </c>
      <c r="M187" s="166">
        <v>1</v>
      </c>
      <c r="N187" s="119">
        <v>2.54452926208651E-2</v>
      </c>
      <c r="O187" s="119">
        <v>3.71900826446281E-2</v>
      </c>
      <c r="P187" s="119">
        <v>1.38888888888889E-2</v>
      </c>
      <c r="Q187" s="119">
        <v>0</v>
      </c>
      <c r="R187" s="119">
        <v>0.16666666666666699</v>
      </c>
      <c r="S187" s="119">
        <v>5.3571428571428603E-2</v>
      </c>
      <c r="T187" s="119">
        <v>3.4482758620689703E-2</v>
      </c>
      <c r="U187" s="119">
        <v>3.2258064516128997E-2</v>
      </c>
      <c r="V187" s="119">
        <v>1.6666666666666701E-2</v>
      </c>
      <c r="W187" s="40">
        <v>811</v>
      </c>
      <c r="X187" s="40">
        <f t="shared" si="14"/>
        <v>218</v>
      </c>
      <c r="Y187" s="40">
        <f t="shared" si="15"/>
        <v>354</v>
      </c>
      <c r="Z187" s="105">
        <v>0.47399999999999998</v>
      </c>
      <c r="AA187" s="105">
        <v>0.52700000000000002</v>
      </c>
      <c r="AB187" s="106">
        <f>15/811</f>
        <v>1.8495684340320593E-2</v>
      </c>
      <c r="AC187" s="106">
        <f>5/811</f>
        <v>6.1652281134401974E-3</v>
      </c>
      <c r="AD187" s="106">
        <f>8/811</f>
        <v>9.8643649815043158E-3</v>
      </c>
      <c r="AE187" s="106">
        <f>11/811</f>
        <v>1.3563501849568433E-2</v>
      </c>
      <c r="AF187" s="106">
        <v>0</v>
      </c>
      <c r="AG187" s="106">
        <f>772/811</f>
        <v>0.95191122071516643</v>
      </c>
      <c r="AH187" s="106">
        <v>0</v>
      </c>
      <c r="AI187" s="106">
        <f>39/811</f>
        <v>4.8088779284833537E-2</v>
      </c>
      <c r="AJ187" s="105">
        <v>0.5709001233045623</v>
      </c>
      <c r="AK187" s="105">
        <v>3.0000000000000001E-3</v>
      </c>
      <c r="AL187" s="12">
        <v>65</v>
      </c>
      <c r="AM187" s="12">
        <v>71</v>
      </c>
      <c r="AN187" s="12">
        <v>5</v>
      </c>
      <c r="AO187" s="12">
        <v>48</v>
      </c>
      <c r="AP187" s="12">
        <v>51</v>
      </c>
      <c r="AQ187" s="12">
        <v>59</v>
      </c>
      <c r="AR187" s="12">
        <v>55</v>
      </c>
      <c r="AS187" s="59">
        <v>9.4339622641509441E-2</v>
      </c>
      <c r="AT187" s="3">
        <v>1</v>
      </c>
      <c r="AU187" s="3">
        <v>6</v>
      </c>
      <c r="AV187" s="54">
        <v>66.037735849056602</v>
      </c>
      <c r="AW187" s="54">
        <v>27.594339622641513</v>
      </c>
      <c r="AX187" s="54">
        <v>5.1886792452830193</v>
      </c>
      <c r="AY187" s="68">
        <v>1.179245283018868</v>
      </c>
      <c r="AZ187" s="59">
        <v>8.1574048082179593E-2</v>
      </c>
      <c r="BA187" s="59">
        <v>0.05</v>
      </c>
      <c r="BB187" s="77">
        <v>93.5332067360915</v>
      </c>
      <c r="BC187" s="84"/>
      <c r="BD187" s="93">
        <v>0</v>
      </c>
      <c r="BE187" s="91">
        <v>0</v>
      </c>
      <c r="BF187" s="49">
        <v>0</v>
      </c>
      <c r="BG187" s="49">
        <v>0</v>
      </c>
      <c r="BH187" s="49">
        <v>0</v>
      </c>
      <c r="BI187" s="49">
        <v>0</v>
      </c>
      <c r="BJ187" s="85">
        <v>19.8</v>
      </c>
      <c r="BK187" s="129">
        <v>10450</v>
      </c>
      <c r="BL187" s="129">
        <v>47886</v>
      </c>
      <c r="BM187" s="129">
        <v>45347</v>
      </c>
      <c r="BN187" s="129">
        <v>36778</v>
      </c>
      <c r="BO187" s="59">
        <v>0</v>
      </c>
      <c r="BP187" s="59">
        <v>0.4022</v>
      </c>
      <c r="BQ187" s="59">
        <v>0.1216</v>
      </c>
      <c r="BR187" s="59">
        <v>0</v>
      </c>
      <c r="BS187" s="59">
        <v>0</v>
      </c>
      <c r="BT187" s="49">
        <v>14.2</v>
      </c>
      <c r="BU187" s="59">
        <f t="shared" si="12"/>
        <v>0.52380000000000004</v>
      </c>
      <c r="BV187" s="59">
        <v>2.81E-2</v>
      </c>
      <c r="BW187" s="59">
        <v>0</v>
      </c>
      <c r="BX187" s="59">
        <v>2.81E-2</v>
      </c>
      <c r="BY187" s="59">
        <v>0</v>
      </c>
      <c r="BZ187" s="59">
        <v>0</v>
      </c>
      <c r="CA187" s="49">
        <v>21</v>
      </c>
      <c r="CB187" s="59">
        <f t="shared" si="13"/>
        <v>5.62E-2</v>
      </c>
      <c r="CC187" s="59">
        <v>0.4294</v>
      </c>
      <c r="CD187" s="125">
        <v>0.41160000000000002</v>
      </c>
      <c r="CE187" s="125">
        <v>0.159</v>
      </c>
      <c r="CF187" s="125">
        <v>0</v>
      </c>
      <c r="CG187" s="125">
        <v>0</v>
      </c>
      <c r="CH187" s="85">
        <v>13.8</v>
      </c>
      <c r="CI187" s="39" t="s">
        <v>303</v>
      </c>
      <c r="CJ187" s="18" t="s">
        <v>80</v>
      </c>
      <c r="CK187" s="20"/>
    </row>
    <row r="188" spans="1:99" x14ac:dyDescent="0.25">
      <c r="A188" s="18" t="s">
        <v>80</v>
      </c>
      <c r="B188" s="19" t="s">
        <v>298</v>
      </c>
      <c r="C188" s="39" t="s">
        <v>304</v>
      </c>
      <c r="D188" s="40">
        <v>61</v>
      </c>
      <c r="E188" s="40" t="s">
        <v>83</v>
      </c>
      <c r="F188" s="40">
        <v>61</v>
      </c>
      <c r="G188" s="162" t="s">
        <v>83</v>
      </c>
      <c r="H188" s="162" t="s">
        <v>83</v>
      </c>
      <c r="I188" s="166">
        <v>5</v>
      </c>
      <c r="J188" s="166">
        <v>17</v>
      </c>
      <c r="K188" s="166">
        <v>22</v>
      </c>
      <c r="L188" s="166">
        <v>6</v>
      </c>
      <c r="M188" s="166">
        <v>11</v>
      </c>
      <c r="N188" s="119">
        <v>9.0504451038575698E-2</v>
      </c>
      <c r="O188" s="119">
        <v>9.0504451038575698E-2</v>
      </c>
      <c r="P188" s="116" t="s">
        <v>83</v>
      </c>
      <c r="Q188" s="116" t="s">
        <v>83</v>
      </c>
      <c r="R188" s="119">
        <v>6.25E-2</v>
      </c>
      <c r="S188" s="119">
        <v>0.104938271604938</v>
      </c>
      <c r="T188" s="119">
        <v>0.124293785310734</v>
      </c>
      <c r="U188" s="119">
        <v>5.0420168067226899E-2</v>
      </c>
      <c r="V188" s="119">
        <v>8.0882352941176502E-2</v>
      </c>
      <c r="W188" s="40">
        <v>572</v>
      </c>
      <c r="X188" s="40">
        <f t="shared" si="14"/>
        <v>572</v>
      </c>
      <c r="Y188" s="40">
        <f t="shared" si="15"/>
        <v>572</v>
      </c>
      <c r="Z188" s="105">
        <v>0.53700000000000003</v>
      </c>
      <c r="AA188" s="105">
        <v>0.46300000000000002</v>
      </c>
      <c r="AB188" s="106">
        <f>4/572</f>
        <v>6.993006993006993E-3</v>
      </c>
      <c r="AC188" s="106">
        <v>0</v>
      </c>
      <c r="AD188" s="106">
        <f>563/572</f>
        <v>0.98426573426573427</v>
      </c>
      <c r="AE188" s="106">
        <f>2/572</f>
        <v>3.4965034965034965E-3</v>
      </c>
      <c r="AF188" s="106">
        <v>0</v>
      </c>
      <c r="AG188" s="106">
        <f>3/572</f>
        <v>5.244755244755245E-3</v>
      </c>
      <c r="AH188" s="106">
        <v>0</v>
      </c>
      <c r="AI188" s="106">
        <f>569/572</f>
        <v>0.99475524475524479</v>
      </c>
      <c r="AJ188" s="105">
        <v>0.85314685314685312</v>
      </c>
      <c r="AK188" s="105">
        <v>0</v>
      </c>
      <c r="AL188" s="12">
        <v>0</v>
      </c>
      <c r="AM188" s="12">
        <v>0</v>
      </c>
      <c r="AN188" s="12">
        <v>79</v>
      </c>
      <c r="AO188" s="12">
        <v>116</v>
      </c>
      <c r="AP188" s="12">
        <v>147</v>
      </c>
      <c r="AQ188" s="12">
        <v>106</v>
      </c>
      <c r="AR188" s="12">
        <v>124</v>
      </c>
      <c r="AS188" s="59">
        <v>0.40512820512820513</v>
      </c>
      <c r="AT188" s="3">
        <v>9</v>
      </c>
      <c r="AU188" s="3">
        <v>6</v>
      </c>
      <c r="AV188" s="54">
        <v>63.533834586466163</v>
      </c>
      <c r="AW188" s="54">
        <v>24.060150375939848</v>
      </c>
      <c r="AX188" s="54">
        <v>12.030075187969924</v>
      </c>
      <c r="AY188" s="68">
        <v>0.37593984962406013</v>
      </c>
      <c r="AZ188" s="59">
        <v>0.15269729502043378</v>
      </c>
      <c r="BA188" s="59">
        <v>0.16946564885496182</v>
      </c>
      <c r="BB188" s="81">
        <v>96</v>
      </c>
      <c r="BC188" s="84"/>
      <c r="BD188" s="90" t="s">
        <v>83</v>
      </c>
      <c r="BE188" s="90" t="s">
        <v>83</v>
      </c>
      <c r="BF188" s="49">
        <v>19.8</v>
      </c>
      <c r="BG188" s="49">
        <v>9.1999999999999993</v>
      </c>
      <c r="BH188" s="49">
        <v>1</v>
      </c>
      <c r="BI188" s="49">
        <v>11.2</v>
      </c>
      <c r="BJ188" s="85">
        <v>16.899999999999999</v>
      </c>
      <c r="BK188" s="129">
        <v>12462</v>
      </c>
      <c r="BL188" s="129">
        <v>49040</v>
      </c>
      <c r="BM188" s="129">
        <v>43596</v>
      </c>
      <c r="BN188" s="129">
        <v>35400</v>
      </c>
      <c r="BO188" s="59">
        <v>0</v>
      </c>
      <c r="BP188" s="59">
        <v>0.23769999999999999</v>
      </c>
      <c r="BQ188" s="59">
        <v>0.21129999999999999</v>
      </c>
      <c r="BR188" s="59">
        <v>1.26E-2</v>
      </c>
      <c r="BS188" s="59">
        <v>0</v>
      </c>
      <c r="BT188" s="49">
        <v>17.100000000000001</v>
      </c>
      <c r="BU188" s="59">
        <f t="shared" si="12"/>
        <v>0.46159999999999995</v>
      </c>
      <c r="BV188" s="59">
        <v>3.7900000000000003E-2</v>
      </c>
      <c r="BW188" s="59">
        <v>0</v>
      </c>
      <c r="BX188" s="59">
        <v>3.7900000000000003E-2</v>
      </c>
      <c r="BY188" s="59">
        <v>0</v>
      </c>
      <c r="BZ188" s="59">
        <v>0</v>
      </c>
      <c r="CA188" s="49">
        <v>34.299999999999997</v>
      </c>
      <c r="CB188" s="59">
        <f t="shared" si="13"/>
        <v>7.5800000000000006E-2</v>
      </c>
      <c r="CC188" s="59">
        <v>0.46879999999999999</v>
      </c>
      <c r="CD188" s="125">
        <v>0.24410000000000001</v>
      </c>
      <c r="CE188" s="125">
        <v>0.27439999999999998</v>
      </c>
      <c r="CF188" s="125">
        <v>1.26E-2</v>
      </c>
      <c r="CG188" s="125">
        <v>0</v>
      </c>
      <c r="CH188" s="85">
        <v>16.3</v>
      </c>
      <c r="CI188" s="39" t="s">
        <v>304</v>
      </c>
      <c r="CJ188" s="18" t="s">
        <v>80</v>
      </c>
      <c r="CK188" s="20"/>
    </row>
    <row r="189" spans="1:99" x14ac:dyDescent="0.25">
      <c r="A189" s="18" t="s">
        <v>80</v>
      </c>
      <c r="B189" s="19" t="s">
        <v>298</v>
      </c>
      <c r="C189" s="39" t="s">
        <v>305</v>
      </c>
      <c r="D189" s="40">
        <v>41</v>
      </c>
      <c r="E189" s="40" t="s">
        <v>83</v>
      </c>
      <c r="F189" s="40">
        <v>41</v>
      </c>
      <c r="G189" s="162" t="s">
        <v>83</v>
      </c>
      <c r="H189" s="162" t="s">
        <v>83</v>
      </c>
      <c r="I189" s="166">
        <v>0</v>
      </c>
      <c r="J189" s="166">
        <v>16</v>
      </c>
      <c r="K189" s="166">
        <v>12</v>
      </c>
      <c r="L189" s="166">
        <v>8</v>
      </c>
      <c r="M189" s="166">
        <v>5</v>
      </c>
      <c r="N189" s="119">
        <v>2.6762402088772799E-2</v>
      </c>
      <c r="O189" s="119">
        <v>2.6762402088772799E-2</v>
      </c>
      <c r="P189" s="116" t="s">
        <v>83</v>
      </c>
      <c r="Q189" s="116" t="s">
        <v>83</v>
      </c>
      <c r="R189" s="119">
        <v>0</v>
      </c>
      <c r="S189" s="119">
        <v>3.8095238095238099E-2</v>
      </c>
      <c r="T189" s="119">
        <v>3.1496062992125998E-2</v>
      </c>
      <c r="U189" s="119">
        <v>2.3598820058997098E-2</v>
      </c>
      <c r="V189" s="119">
        <v>1.6025641025641E-2</v>
      </c>
      <c r="W189" s="40">
        <v>1429</v>
      </c>
      <c r="X189" s="40">
        <f t="shared" si="14"/>
        <v>1429</v>
      </c>
      <c r="Y189" s="40">
        <f t="shared" si="15"/>
        <v>1429</v>
      </c>
      <c r="Z189" s="105">
        <v>0.52500000000000002</v>
      </c>
      <c r="AA189" s="105">
        <v>0.47499999999999998</v>
      </c>
      <c r="AB189" s="106">
        <f>4/1429</f>
        <v>2.7991602519244225E-3</v>
      </c>
      <c r="AC189" s="106">
        <f>23/1429</f>
        <v>1.609517144856543E-2</v>
      </c>
      <c r="AD189" s="106">
        <f>492/1429</f>
        <v>0.344296710986704</v>
      </c>
      <c r="AE189" s="106">
        <f>13/1429</f>
        <v>9.0972708187543744E-3</v>
      </c>
      <c r="AF189" s="106">
        <f>2/1429</f>
        <v>1.3995801259622112E-3</v>
      </c>
      <c r="AG189" s="106">
        <f>894/1429</f>
        <v>0.6256123163051085</v>
      </c>
      <c r="AH189" s="106">
        <f>1/1429</f>
        <v>6.9979006298110562E-4</v>
      </c>
      <c r="AI189" s="106">
        <f>535/1429</f>
        <v>0.37438768369489156</v>
      </c>
      <c r="AJ189" s="105">
        <v>0.45976207137858643</v>
      </c>
      <c r="AK189" s="105">
        <v>2E-3</v>
      </c>
      <c r="AL189" s="12">
        <v>0</v>
      </c>
      <c r="AM189" s="12">
        <v>0</v>
      </c>
      <c r="AN189" s="12">
        <v>72</v>
      </c>
      <c r="AO189" s="12">
        <v>376</v>
      </c>
      <c r="AP189" s="12">
        <v>358</v>
      </c>
      <c r="AQ189" s="12">
        <v>335</v>
      </c>
      <c r="AR189" s="12">
        <v>288</v>
      </c>
      <c r="AS189" s="59">
        <v>0.16071428571428573</v>
      </c>
      <c r="AT189" s="3">
        <v>9</v>
      </c>
      <c r="AU189" s="3">
        <v>6</v>
      </c>
      <c r="AV189" s="54">
        <v>51.282051282051277</v>
      </c>
      <c r="AW189" s="54">
        <v>25.320512820512818</v>
      </c>
      <c r="AX189" s="54">
        <v>20.833333333333336</v>
      </c>
      <c r="AY189" s="68">
        <v>2.5641025641025639</v>
      </c>
      <c r="AZ189" s="59">
        <v>0.12450851900393185</v>
      </c>
      <c r="BA189" s="59">
        <v>7.3394495412844041E-2</v>
      </c>
      <c r="BB189" s="81">
        <v>96</v>
      </c>
      <c r="BC189" s="49">
        <v>6.5487884741322902E-2</v>
      </c>
      <c r="BD189" s="90" t="s">
        <v>83</v>
      </c>
      <c r="BE189" s="90" t="s">
        <v>83</v>
      </c>
      <c r="BF189" s="49">
        <v>10</v>
      </c>
      <c r="BG189" s="49">
        <v>4.7</v>
      </c>
      <c r="BH189" s="49">
        <v>3.7</v>
      </c>
      <c r="BI189" s="49">
        <v>3.1</v>
      </c>
      <c r="BJ189" s="85">
        <v>21.3</v>
      </c>
      <c r="BK189" s="129">
        <v>9168</v>
      </c>
      <c r="BL189" s="129">
        <v>47727</v>
      </c>
      <c r="BM189" s="129">
        <v>40974</v>
      </c>
      <c r="BN189" s="129">
        <v>37569</v>
      </c>
      <c r="BO189" s="59">
        <v>0</v>
      </c>
      <c r="BP189" s="59">
        <v>0.38790000000000002</v>
      </c>
      <c r="BQ189" s="59">
        <v>0.17810000000000001</v>
      </c>
      <c r="BR189" s="59">
        <v>0</v>
      </c>
      <c r="BS189" s="59">
        <v>0</v>
      </c>
      <c r="BT189" s="49">
        <v>11.8</v>
      </c>
      <c r="BU189" s="59">
        <f t="shared" si="12"/>
        <v>0.56600000000000006</v>
      </c>
      <c r="BV189" s="59">
        <v>2.9700000000000001E-2</v>
      </c>
      <c r="BW189" s="59">
        <v>0</v>
      </c>
      <c r="BX189" s="59">
        <v>2.1399999999999999E-2</v>
      </c>
      <c r="BY189" s="59">
        <v>0</v>
      </c>
      <c r="BZ189" s="59">
        <v>7.1000000000000004E-3</v>
      </c>
      <c r="CA189" s="49">
        <v>20.3</v>
      </c>
      <c r="CB189" s="59">
        <f t="shared" si="13"/>
        <v>5.8200000000000002E-2</v>
      </c>
      <c r="CC189" s="59">
        <v>0.36990000000000001</v>
      </c>
      <c r="CD189" s="125">
        <v>0.40210000000000001</v>
      </c>
      <c r="CE189" s="125">
        <v>0.22090000000000001</v>
      </c>
      <c r="CF189" s="125">
        <v>0</v>
      </c>
      <c r="CG189" s="125">
        <v>7.1000000000000004E-3</v>
      </c>
      <c r="CH189" s="85">
        <v>12.1</v>
      </c>
      <c r="CI189" s="39" t="s">
        <v>305</v>
      </c>
      <c r="CJ189" s="18" t="s">
        <v>80</v>
      </c>
      <c r="CK189" s="20"/>
    </row>
    <row r="190" spans="1:99" x14ac:dyDescent="0.25">
      <c r="A190" s="18" t="s">
        <v>80</v>
      </c>
      <c r="B190" s="19" t="s">
        <v>298</v>
      </c>
      <c r="C190" s="39" t="s">
        <v>306</v>
      </c>
      <c r="D190" s="40">
        <v>8</v>
      </c>
      <c r="E190" s="40">
        <v>1</v>
      </c>
      <c r="F190" s="40">
        <v>7</v>
      </c>
      <c r="G190" s="166">
        <v>0</v>
      </c>
      <c r="H190" s="166">
        <v>1</v>
      </c>
      <c r="I190" s="166">
        <v>0</v>
      </c>
      <c r="J190" s="166">
        <v>2</v>
      </c>
      <c r="K190" s="166">
        <v>0</v>
      </c>
      <c r="L190" s="166">
        <v>1</v>
      </c>
      <c r="M190" s="166">
        <v>4</v>
      </c>
      <c r="N190" s="119">
        <v>6.5573770491803296E-2</v>
      </c>
      <c r="O190" s="119">
        <v>0.10606060606060599</v>
      </c>
      <c r="P190" s="119">
        <v>0</v>
      </c>
      <c r="Q190" s="119">
        <v>3.8461538461538498E-2</v>
      </c>
      <c r="R190" s="119">
        <v>0</v>
      </c>
      <c r="S190" s="119">
        <v>0.11764705882352899</v>
      </c>
      <c r="T190" s="119">
        <v>0</v>
      </c>
      <c r="U190" s="119">
        <v>5.8823529411764698E-2</v>
      </c>
      <c r="V190" s="119">
        <v>0.266666666666667</v>
      </c>
      <c r="W190" s="40">
        <v>281</v>
      </c>
      <c r="X190" s="40">
        <f t="shared" si="14"/>
        <v>58</v>
      </c>
      <c r="Y190" s="40">
        <f t="shared" si="15"/>
        <v>107</v>
      </c>
      <c r="Z190" s="105">
        <v>0.55500000000000005</v>
      </c>
      <c r="AA190" s="105">
        <v>0.44500000000000001</v>
      </c>
      <c r="AB190" s="106">
        <f>25/281</f>
        <v>8.8967971530249115E-2</v>
      </c>
      <c r="AC190" s="106">
        <v>0</v>
      </c>
      <c r="AD190" s="106">
        <f>2/281</f>
        <v>7.1174377224199285E-3</v>
      </c>
      <c r="AE190" s="106">
        <f>7/281</f>
        <v>2.491103202846975E-2</v>
      </c>
      <c r="AF190" s="106">
        <f>1/281</f>
        <v>3.5587188612099642E-3</v>
      </c>
      <c r="AG190" s="106">
        <f>246/281</f>
        <v>0.8754448398576512</v>
      </c>
      <c r="AH190" s="106">
        <v>0</v>
      </c>
      <c r="AI190" s="106">
        <f>35/281</f>
        <v>0.12455516014234876</v>
      </c>
      <c r="AJ190" s="105">
        <v>0.73665480427046259</v>
      </c>
      <c r="AK190" s="105">
        <v>1.4E-2</v>
      </c>
      <c r="AL190" s="12">
        <v>26</v>
      </c>
      <c r="AM190" s="12">
        <v>23</v>
      </c>
      <c r="AN190" s="12">
        <v>2</v>
      </c>
      <c r="AO190" s="12">
        <v>14</v>
      </c>
      <c r="AP190" s="12">
        <v>14</v>
      </c>
      <c r="AQ190" s="12">
        <v>16</v>
      </c>
      <c r="AR190" s="12">
        <v>12</v>
      </c>
      <c r="AS190" s="59">
        <v>0.125</v>
      </c>
      <c r="AT190" s="3">
        <v>1</v>
      </c>
      <c r="AU190" s="3">
        <v>6</v>
      </c>
      <c r="AV190" s="54">
        <v>83.439490445859875</v>
      </c>
      <c r="AW190" s="54">
        <v>15.923566878980891</v>
      </c>
      <c r="AX190" s="54">
        <v>0.63694267515923575</v>
      </c>
      <c r="AY190" s="68">
        <v>0</v>
      </c>
      <c r="AZ190" s="59">
        <v>2.2180029350940052E-2</v>
      </c>
      <c r="BA190" s="59">
        <v>4.024889487815585E-3</v>
      </c>
      <c r="BB190" s="76">
        <v>92.083215452452905</v>
      </c>
      <c r="BC190" s="84"/>
      <c r="BD190" s="49">
        <v>4.3</v>
      </c>
      <c r="BE190" s="93">
        <v>0</v>
      </c>
      <c r="BF190" s="49">
        <v>0</v>
      </c>
      <c r="BG190" s="49">
        <v>0</v>
      </c>
      <c r="BH190" s="49">
        <v>0</v>
      </c>
      <c r="BI190" s="49">
        <v>0</v>
      </c>
      <c r="BJ190" s="85">
        <v>19.2</v>
      </c>
      <c r="BK190" s="129">
        <v>12404</v>
      </c>
      <c r="BL190" s="129">
        <v>47340</v>
      </c>
      <c r="BM190" s="129">
        <v>46454</v>
      </c>
      <c r="BN190" s="129">
        <v>37895</v>
      </c>
      <c r="BO190" s="59">
        <v>0</v>
      </c>
      <c r="BP190" s="59">
        <v>0.36770000000000003</v>
      </c>
      <c r="BQ190" s="59">
        <v>0.13300000000000001</v>
      </c>
      <c r="BR190" s="59">
        <v>0</v>
      </c>
      <c r="BS190" s="59">
        <v>0</v>
      </c>
      <c r="BT190" s="49">
        <v>9.4</v>
      </c>
      <c r="BU190" s="59">
        <f t="shared" si="12"/>
        <v>0.50070000000000003</v>
      </c>
      <c r="BV190" s="59">
        <v>4.4299999999999999E-2</v>
      </c>
      <c r="BW190" s="59">
        <v>0</v>
      </c>
      <c r="BX190" s="59">
        <v>2.2200000000000001E-2</v>
      </c>
      <c r="BY190" s="59">
        <v>2.2200000000000001E-2</v>
      </c>
      <c r="BZ190" s="59">
        <v>0</v>
      </c>
      <c r="CA190" s="49">
        <v>13.5</v>
      </c>
      <c r="CB190" s="59">
        <f t="shared" si="13"/>
        <v>8.8700000000000001E-2</v>
      </c>
      <c r="CC190" s="59">
        <v>0.41070000000000001</v>
      </c>
      <c r="CD190" s="125">
        <v>0.38990000000000002</v>
      </c>
      <c r="CE190" s="125">
        <v>0.17730000000000001</v>
      </c>
      <c r="CF190" s="125">
        <v>2.2200000000000001E-2</v>
      </c>
      <c r="CG190" s="125">
        <v>0</v>
      </c>
      <c r="CH190" s="85">
        <v>12.9</v>
      </c>
      <c r="CI190" s="39" t="s">
        <v>306</v>
      </c>
      <c r="CJ190" s="18" t="s">
        <v>80</v>
      </c>
      <c r="CK190" s="20"/>
    </row>
    <row r="191" spans="1:99" x14ac:dyDescent="0.25">
      <c r="A191" s="18" t="s">
        <v>80</v>
      </c>
      <c r="B191" s="19" t="s">
        <v>298</v>
      </c>
      <c r="C191" s="39" t="s">
        <v>307</v>
      </c>
      <c r="D191" s="40">
        <v>25</v>
      </c>
      <c r="E191" s="40">
        <v>0</v>
      </c>
      <c r="F191" s="40">
        <v>25</v>
      </c>
      <c r="G191" s="166">
        <v>0</v>
      </c>
      <c r="H191" s="166">
        <v>0</v>
      </c>
      <c r="I191" s="166">
        <v>1</v>
      </c>
      <c r="J191" s="166">
        <v>6</v>
      </c>
      <c r="K191" s="166">
        <v>7</v>
      </c>
      <c r="L191" s="166">
        <v>4</v>
      </c>
      <c r="M191" s="166">
        <v>7</v>
      </c>
      <c r="N191" s="119">
        <v>5.6179775280898903E-2</v>
      </c>
      <c r="O191" s="119">
        <v>8.1967213114754106E-2</v>
      </c>
      <c r="P191" s="119">
        <v>0</v>
      </c>
      <c r="Q191" s="119">
        <v>0</v>
      </c>
      <c r="R191" s="119">
        <v>3.4482758620689703E-2</v>
      </c>
      <c r="S191" s="119">
        <v>8.3333333333333301E-2</v>
      </c>
      <c r="T191" s="119">
        <v>8.2352941176470601E-2</v>
      </c>
      <c r="U191" s="119">
        <v>5.8823529411764698E-2</v>
      </c>
      <c r="V191" s="119">
        <v>0.13725490196078399</v>
      </c>
      <c r="W191" s="40">
        <v>400</v>
      </c>
      <c r="X191" s="40">
        <f t="shared" si="14"/>
        <v>266</v>
      </c>
      <c r="Y191" s="40">
        <f t="shared" si="15"/>
        <v>400</v>
      </c>
      <c r="Z191" s="105">
        <v>0.495</v>
      </c>
      <c r="AA191" s="105">
        <v>0.505</v>
      </c>
      <c r="AB191" s="106">
        <v>0</v>
      </c>
      <c r="AC191" s="106">
        <f>2/400</f>
        <v>5.0000000000000001E-3</v>
      </c>
      <c r="AD191" s="106">
        <f>133/400</f>
        <v>0.33250000000000002</v>
      </c>
      <c r="AE191" s="106">
        <f>87/400</f>
        <v>0.2175</v>
      </c>
      <c r="AF191" s="106">
        <v>0</v>
      </c>
      <c r="AG191" s="106">
        <f>177/400</f>
        <v>0.4425</v>
      </c>
      <c r="AH191" s="106">
        <f>1/400</f>
        <v>2.5000000000000001E-3</v>
      </c>
      <c r="AI191" s="106">
        <f>223/400</f>
        <v>0.5575</v>
      </c>
      <c r="AJ191" s="105">
        <v>0.69</v>
      </c>
      <c r="AK191" s="105">
        <v>5.5E-2</v>
      </c>
      <c r="AL191" s="12">
        <v>66</v>
      </c>
      <c r="AM191" s="12">
        <v>68</v>
      </c>
      <c r="AN191" s="12">
        <v>27</v>
      </c>
      <c r="AO191" s="12">
        <v>59</v>
      </c>
      <c r="AP191" s="12">
        <v>69</v>
      </c>
      <c r="AQ191" s="12">
        <v>67</v>
      </c>
      <c r="AR191" s="12">
        <v>44</v>
      </c>
      <c r="AS191" s="59">
        <v>0.31395348837209303</v>
      </c>
      <c r="AT191" s="3">
        <v>7</v>
      </c>
      <c r="AU191" s="3">
        <v>6</v>
      </c>
      <c r="AV191" s="54">
        <v>76.328502415458928</v>
      </c>
      <c r="AW191" s="54">
        <v>18.357487922705314</v>
      </c>
      <c r="AX191" s="54">
        <v>4.3478260869565215</v>
      </c>
      <c r="AY191" s="68">
        <v>0.96618357487922701</v>
      </c>
      <c r="AZ191" s="59">
        <v>0.16861826697892271</v>
      </c>
      <c r="BA191" s="59">
        <v>0.10304449648711944</v>
      </c>
      <c r="BB191" s="77">
        <v>94.578212116010803</v>
      </c>
      <c r="BC191" s="84"/>
      <c r="BD191" s="49">
        <v>3.2</v>
      </c>
      <c r="BE191" s="49">
        <v>0</v>
      </c>
      <c r="BF191" s="49">
        <v>6.6</v>
      </c>
      <c r="BG191" s="49">
        <v>10.8</v>
      </c>
      <c r="BH191" s="49">
        <v>1.7</v>
      </c>
      <c r="BI191" s="49">
        <v>4.9000000000000004</v>
      </c>
      <c r="BJ191" s="85">
        <v>19.100000000000001</v>
      </c>
      <c r="BK191" s="129">
        <v>11442</v>
      </c>
      <c r="BL191" s="129">
        <v>47845</v>
      </c>
      <c r="BM191" s="129">
        <v>46892</v>
      </c>
      <c r="BN191" s="129">
        <v>39748</v>
      </c>
      <c r="BO191" s="59">
        <v>0</v>
      </c>
      <c r="BP191" s="59">
        <v>0.43130000000000002</v>
      </c>
      <c r="BQ191" s="59">
        <v>0.14949999999999999</v>
      </c>
      <c r="BR191" s="59">
        <v>0</v>
      </c>
      <c r="BS191" s="59">
        <v>0</v>
      </c>
      <c r="BT191" s="49">
        <v>11.7</v>
      </c>
      <c r="BU191" s="59">
        <f t="shared" si="12"/>
        <v>0.58079999999999998</v>
      </c>
      <c r="BV191" s="59">
        <v>3.9600000000000003E-2</v>
      </c>
      <c r="BW191" s="59">
        <v>0</v>
      </c>
      <c r="BX191" s="59">
        <v>0.04</v>
      </c>
      <c r="BY191" s="59">
        <v>0</v>
      </c>
      <c r="BZ191" s="59">
        <v>0</v>
      </c>
      <c r="CA191" s="49">
        <v>18</v>
      </c>
      <c r="CB191" s="59">
        <f t="shared" si="13"/>
        <v>7.9600000000000004E-2</v>
      </c>
      <c r="CC191" s="59">
        <v>0.3392</v>
      </c>
      <c r="CD191" s="125">
        <v>0.43130000000000002</v>
      </c>
      <c r="CE191" s="125">
        <v>0.22939999999999999</v>
      </c>
      <c r="CF191" s="125">
        <v>0</v>
      </c>
      <c r="CG191" s="125">
        <v>0</v>
      </c>
      <c r="CH191" s="85">
        <v>11.2</v>
      </c>
      <c r="CI191" s="39" t="s">
        <v>307</v>
      </c>
      <c r="CJ191" s="18" t="s">
        <v>80</v>
      </c>
      <c r="CK191" s="20"/>
    </row>
    <row r="192" spans="1:99" x14ac:dyDescent="0.25">
      <c r="A192" s="18" t="s">
        <v>80</v>
      </c>
      <c r="B192" s="19" t="s">
        <v>298</v>
      </c>
      <c r="C192" s="39" t="s">
        <v>308</v>
      </c>
      <c r="D192" s="40">
        <v>40</v>
      </c>
      <c r="E192" s="40" t="s">
        <v>83</v>
      </c>
      <c r="F192" s="40">
        <v>40</v>
      </c>
      <c r="G192" s="162" t="s">
        <v>83</v>
      </c>
      <c r="H192" s="162" t="s">
        <v>83</v>
      </c>
      <c r="I192" s="166">
        <v>0</v>
      </c>
      <c r="J192" s="166">
        <v>16</v>
      </c>
      <c r="K192" s="166">
        <v>8</v>
      </c>
      <c r="L192" s="166">
        <v>8</v>
      </c>
      <c r="M192" s="166">
        <v>8</v>
      </c>
      <c r="N192" s="119">
        <v>3.5149384885764502E-2</v>
      </c>
      <c r="O192" s="119">
        <v>3.5149384885764502E-2</v>
      </c>
      <c r="P192" s="116" t="s">
        <v>83</v>
      </c>
      <c r="Q192" s="116" t="s">
        <v>83</v>
      </c>
      <c r="R192" s="119">
        <v>0</v>
      </c>
      <c r="S192" s="119">
        <v>4.1131105398457601E-2</v>
      </c>
      <c r="T192" s="119">
        <v>2.9197080291970798E-2</v>
      </c>
      <c r="U192" s="119">
        <v>3.2653061224489799E-2</v>
      </c>
      <c r="V192" s="119">
        <v>4.3956043956044001E-2</v>
      </c>
      <c r="W192" s="40">
        <v>967</v>
      </c>
      <c r="X192" s="40">
        <f t="shared" si="14"/>
        <v>967</v>
      </c>
      <c r="Y192" s="40">
        <f t="shared" si="15"/>
        <v>967</v>
      </c>
      <c r="Z192" s="105">
        <v>0.498</v>
      </c>
      <c r="AA192" s="105">
        <v>0.502</v>
      </c>
      <c r="AB192" s="106">
        <f>5/967</f>
        <v>5.170630816959669E-3</v>
      </c>
      <c r="AC192" s="106">
        <f>8/967</f>
        <v>8.2730093071354711E-3</v>
      </c>
      <c r="AD192" s="106">
        <f>351/967</f>
        <v>0.36297828335056875</v>
      </c>
      <c r="AE192" s="106">
        <f>17/967</f>
        <v>1.7580144777662874E-2</v>
      </c>
      <c r="AF192" s="106">
        <v>0</v>
      </c>
      <c r="AG192" s="106">
        <f>586/967</f>
        <v>0.60599793174767325</v>
      </c>
      <c r="AH192" s="106">
        <v>0</v>
      </c>
      <c r="AI192" s="106">
        <f>381/967</f>
        <v>0.39400206825232681</v>
      </c>
      <c r="AJ192" s="105">
        <v>0.67942088934850053</v>
      </c>
      <c r="AK192" s="105">
        <v>8.9999999999999993E-3</v>
      </c>
      <c r="AL192" s="12">
        <v>0</v>
      </c>
      <c r="AM192" s="12">
        <v>0</v>
      </c>
      <c r="AN192" s="12">
        <v>38</v>
      </c>
      <c r="AO192" s="12">
        <v>312</v>
      </c>
      <c r="AP192" s="12">
        <v>235</v>
      </c>
      <c r="AQ192" s="12">
        <v>216</v>
      </c>
      <c r="AR192" s="12">
        <v>166</v>
      </c>
      <c r="AS192" s="59">
        <v>0.10857142857142857</v>
      </c>
      <c r="AT192" s="3">
        <v>9</v>
      </c>
      <c r="AU192" s="3">
        <v>6</v>
      </c>
      <c r="AV192" s="54">
        <v>59.816513761467895</v>
      </c>
      <c r="AW192" s="54">
        <v>27.706422018348626</v>
      </c>
      <c r="AX192" s="54">
        <v>11.009174311926607</v>
      </c>
      <c r="AY192" s="68">
        <v>1.4678899082568808</v>
      </c>
      <c r="AZ192" s="59">
        <v>0.2413793103448276</v>
      </c>
      <c r="BA192" s="59">
        <v>0.11494252873563218</v>
      </c>
      <c r="BB192" s="76">
        <v>93.647670699598194</v>
      </c>
      <c r="BC192" s="84"/>
      <c r="BD192" s="90" t="s">
        <v>83</v>
      </c>
      <c r="BE192" s="90" t="s">
        <v>83</v>
      </c>
      <c r="BF192" s="49">
        <v>12.4</v>
      </c>
      <c r="BG192" s="49">
        <v>8.8000000000000007</v>
      </c>
      <c r="BH192" s="49">
        <v>2.9</v>
      </c>
      <c r="BI192" s="49">
        <v>6.1</v>
      </c>
      <c r="BJ192" s="85">
        <v>19.100000000000001</v>
      </c>
      <c r="BK192" s="129">
        <v>9826</v>
      </c>
      <c r="BL192" s="129">
        <v>47754</v>
      </c>
      <c r="BM192" s="129">
        <v>46958</v>
      </c>
      <c r="BN192" s="129">
        <v>37517</v>
      </c>
      <c r="BO192" s="59">
        <v>0</v>
      </c>
      <c r="BP192" s="59">
        <v>0.39610000000000001</v>
      </c>
      <c r="BQ192" s="59">
        <v>0.1578</v>
      </c>
      <c r="BR192" s="59">
        <v>9.7000000000000003E-3</v>
      </c>
      <c r="BS192" s="59">
        <v>0</v>
      </c>
      <c r="BT192" s="49">
        <v>12.5</v>
      </c>
      <c r="BU192" s="59">
        <f t="shared" si="12"/>
        <v>0.5636000000000001</v>
      </c>
      <c r="BV192" s="59">
        <v>2.81E-2</v>
      </c>
      <c r="BW192" s="59">
        <v>0</v>
      </c>
      <c r="BX192" s="59">
        <v>2.9100000000000001E-2</v>
      </c>
      <c r="BY192" s="59">
        <v>0</v>
      </c>
      <c r="BZ192" s="59">
        <v>0</v>
      </c>
      <c r="CA192" s="49">
        <v>15.6</v>
      </c>
      <c r="CB192" s="59">
        <f t="shared" si="13"/>
        <v>5.7200000000000001E-2</v>
      </c>
      <c r="CC192" s="59">
        <v>0.37809999999999999</v>
      </c>
      <c r="CD192" s="125">
        <v>0.40579999999999999</v>
      </c>
      <c r="CE192" s="125">
        <v>0.20630000000000001</v>
      </c>
      <c r="CF192" s="125">
        <v>9.7000000000000003E-3</v>
      </c>
      <c r="CG192" s="125">
        <v>0</v>
      </c>
      <c r="CH192" s="85">
        <v>12.5</v>
      </c>
      <c r="CI192" s="39" t="s">
        <v>308</v>
      </c>
      <c r="CJ192" s="18" t="s">
        <v>80</v>
      </c>
      <c r="CK192" s="20"/>
    </row>
    <row r="193" spans="1:89" x14ac:dyDescent="0.25">
      <c r="A193" s="18" t="s">
        <v>80</v>
      </c>
      <c r="B193" s="19" t="s">
        <v>298</v>
      </c>
      <c r="C193" s="39" t="s">
        <v>135</v>
      </c>
      <c r="D193" s="40">
        <v>11</v>
      </c>
      <c r="E193" s="40">
        <v>2</v>
      </c>
      <c r="F193" s="40">
        <v>9</v>
      </c>
      <c r="G193" s="166">
        <v>0</v>
      </c>
      <c r="H193" s="166">
        <v>2</v>
      </c>
      <c r="I193" s="166">
        <v>0</v>
      </c>
      <c r="J193" s="166">
        <v>0</v>
      </c>
      <c r="K193" s="166">
        <v>4</v>
      </c>
      <c r="L193" s="166">
        <v>4</v>
      </c>
      <c r="M193" s="166">
        <v>1</v>
      </c>
      <c r="N193" s="119">
        <v>3.2640949554896097E-2</v>
      </c>
      <c r="O193" s="119">
        <v>4.39024390243902E-2</v>
      </c>
      <c r="P193" s="119">
        <v>0</v>
      </c>
      <c r="Q193" s="119">
        <v>3.03030303030303E-2</v>
      </c>
      <c r="R193" s="119">
        <v>0</v>
      </c>
      <c r="S193" s="119">
        <v>0</v>
      </c>
      <c r="T193" s="119">
        <v>7.1428571428571397E-2</v>
      </c>
      <c r="U193" s="119">
        <v>7.2727272727272696E-2</v>
      </c>
      <c r="V193" s="119">
        <v>3.4482758620689703E-2</v>
      </c>
      <c r="W193" s="40">
        <v>746</v>
      </c>
      <c r="X193" s="40">
        <f t="shared" si="14"/>
        <v>180</v>
      </c>
      <c r="Y193" s="40">
        <f t="shared" si="15"/>
        <v>292</v>
      </c>
      <c r="Z193" s="105">
        <v>0.46100000000000002</v>
      </c>
      <c r="AA193" s="105">
        <v>0.53900000000000003</v>
      </c>
      <c r="AB193" s="106">
        <f>11/746</f>
        <v>1.4745308310991957E-2</v>
      </c>
      <c r="AC193" s="106">
        <f>2/746</f>
        <v>2.6809651474530832E-3</v>
      </c>
      <c r="AD193" s="106">
        <f>295/746</f>
        <v>0.39544235924932974</v>
      </c>
      <c r="AE193" s="106">
        <f>10/746</f>
        <v>1.3404825737265416E-2</v>
      </c>
      <c r="AF193" s="106">
        <v>0</v>
      </c>
      <c r="AG193" s="106">
        <f>424/746</f>
        <v>0.56836461126005366</v>
      </c>
      <c r="AH193" s="106">
        <f>4/746</f>
        <v>5.3619302949061663E-3</v>
      </c>
      <c r="AI193" s="106">
        <f>322/746</f>
        <v>0.43163538873994639</v>
      </c>
      <c r="AJ193" s="105">
        <v>0.81367292225201071</v>
      </c>
      <c r="AK193" s="105">
        <v>0</v>
      </c>
      <c r="AL193" s="12">
        <v>59</v>
      </c>
      <c r="AM193" s="12">
        <v>53</v>
      </c>
      <c r="AN193" s="12">
        <v>17</v>
      </c>
      <c r="AO193" s="12">
        <v>38</v>
      </c>
      <c r="AP193" s="12">
        <v>51</v>
      </c>
      <c r="AQ193" s="12">
        <v>48</v>
      </c>
      <c r="AR193" s="12">
        <v>26</v>
      </c>
      <c r="AS193" s="59">
        <v>0.30909090909090908</v>
      </c>
      <c r="AT193" s="3">
        <v>1</v>
      </c>
      <c r="AU193" s="3">
        <v>6</v>
      </c>
      <c r="AV193" s="54">
        <v>70.206489675516224</v>
      </c>
      <c r="AW193" s="54">
        <v>24.188790560471976</v>
      </c>
      <c r="AX193" s="54">
        <v>4.1297935103244834</v>
      </c>
      <c r="AY193" s="68">
        <v>1.4749262536873156</v>
      </c>
      <c r="AZ193" s="59">
        <v>0.14733178654292342</v>
      </c>
      <c r="BA193" s="59">
        <v>0.12877030162412992</v>
      </c>
      <c r="BB193" s="76">
        <v>93.620925402465303</v>
      </c>
      <c r="BC193" s="84"/>
      <c r="BD193" s="93">
        <v>0</v>
      </c>
      <c r="BE193" s="91">
        <v>0</v>
      </c>
      <c r="BF193" s="49">
        <v>5.6</v>
      </c>
      <c r="BG193" s="49">
        <v>2.2000000000000002</v>
      </c>
      <c r="BH193" s="49">
        <v>2.1</v>
      </c>
      <c r="BI193" s="49">
        <v>0</v>
      </c>
      <c r="BJ193" s="85">
        <v>18</v>
      </c>
      <c r="BK193" s="129">
        <v>10139</v>
      </c>
      <c r="BL193" s="129">
        <v>48015</v>
      </c>
      <c r="BM193" s="129">
        <v>50086</v>
      </c>
      <c r="BN193" s="129">
        <v>37834</v>
      </c>
      <c r="BO193" s="59">
        <v>0</v>
      </c>
      <c r="BP193" s="59">
        <v>0.38219999999999998</v>
      </c>
      <c r="BQ193" s="59">
        <v>0.16819999999999999</v>
      </c>
      <c r="BR193" s="59">
        <v>0</v>
      </c>
      <c r="BS193" s="59">
        <v>0</v>
      </c>
      <c r="BT193" s="49">
        <v>11.8</v>
      </c>
      <c r="BU193" s="59">
        <f t="shared" si="12"/>
        <v>0.5504</v>
      </c>
      <c r="BV193" s="59">
        <v>2.18E-2</v>
      </c>
      <c r="BW193" s="59">
        <v>0</v>
      </c>
      <c r="BX193" s="59">
        <v>2.0500000000000001E-2</v>
      </c>
      <c r="BY193" s="59">
        <v>0</v>
      </c>
      <c r="BZ193" s="59">
        <v>4.7000000000000002E-3</v>
      </c>
      <c r="CA193" s="49">
        <v>22.6</v>
      </c>
      <c r="CB193" s="59">
        <f t="shared" si="13"/>
        <v>4.7000000000000007E-2</v>
      </c>
      <c r="CC193" s="59">
        <v>0.38829999999999998</v>
      </c>
      <c r="CD193" s="125">
        <v>0.39829999999999999</v>
      </c>
      <c r="CE193" s="125">
        <v>0.2087</v>
      </c>
      <c r="CF193" s="125">
        <v>0</v>
      </c>
      <c r="CG193" s="125">
        <v>4.7000000000000002E-3</v>
      </c>
      <c r="CH193" s="85">
        <v>11.6</v>
      </c>
      <c r="CI193" s="39" t="s">
        <v>135</v>
      </c>
      <c r="CJ193" s="18" t="s">
        <v>80</v>
      </c>
      <c r="CK193" s="20"/>
    </row>
    <row r="194" spans="1:89" x14ac:dyDescent="0.25">
      <c r="A194" s="18" t="s">
        <v>80</v>
      </c>
      <c r="B194" s="19" t="s">
        <v>309</v>
      </c>
      <c r="C194" s="39" t="s">
        <v>310</v>
      </c>
      <c r="D194" s="40">
        <v>13</v>
      </c>
      <c r="E194" s="40" t="s">
        <v>83</v>
      </c>
      <c r="F194" s="40">
        <v>13</v>
      </c>
      <c r="G194" s="162" t="s">
        <v>83</v>
      </c>
      <c r="H194" s="162" t="s">
        <v>83</v>
      </c>
      <c r="I194" s="166">
        <v>0</v>
      </c>
      <c r="J194" s="166">
        <v>4</v>
      </c>
      <c r="K194" s="166">
        <v>4</v>
      </c>
      <c r="L194" s="166">
        <v>3</v>
      </c>
      <c r="M194" s="166">
        <v>2</v>
      </c>
      <c r="N194" s="119">
        <v>3.4482758620689703E-2</v>
      </c>
      <c r="O194" s="119">
        <v>3.4482758620689703E-2</v>
      </c>
      <c r="P194" s="116" t="s">
        <v>83</v>
      </c>
      <c r="Q194" s="116" t="s">
        <v>83</v>
      </c>
      <c r="R194" s="119">
        <v>0</v>
      </c>
      <c r="S194" s="119">
        <v>3.77358490566038E-2</v>
      </c>
      <c r="T194" s="119">
        <v>4.8780487804878099E-2</v>
      </c>
      <c r="U194" s="119">
        <v>3.8461538461538498E-2</v>
      </c>
      <c r="V194" s="119">
        <v>2.27272727272727E-2</v>
      </c>
      <c r="W194" s="40">
        <v>336</v>
      </c>
      <c r="X194" s="40">
        <f t="shared" si="14"/>
        <v>336</v>
      </c>
      <c r="Y194" s="40">
        <f t="shared" si="15"/>
        <v>336</v>
      </c>
      <c r="Z194" s="105">
        <v>0.51500000000000001</v>
      </c>
      <c r="AA194" s="105">
        <v>0.48499999999999999</v>
      </c>
      <c r="AB194" s="106">
        <f>2/336</f>
        <v>5.9523809523809521E-3</v>
      </c>
      <c r="AC194" s="106">
        <f>4/336</f>
        <v>1.1904761904761904E-2</v>
      </c>
      <c r="AD194" s="106">
        <f>220/336</f>
        <v>0.65476190476190477</v>
      </c>
      <c r="AE194" s="106">
        <f>4/336</f>
        <v>1.1904761904761904E-2</v>
      </c>
      <c r="AF194" s="106">
        <v>0</v>
      </c>
      <c r="AG194" s="106">
        <f>105/336</f>
        <v>0.3125</v>
      </c>
      <c r="AH194" s="106">
        <f>1/336</f>
        <v>2.976190476190476E-3</v>
      </c>
      <c r="AI194" s="106">
        <f>231/336</f>
        <v>0.6875</v>
      </c>
      <c r="AJ194" s="105">
        <v>0.77083333333333337</v>
      </c>
      <c r="AK194" s="105">
        <v>0</v>
      </c>
      <c r="AL194" s="12">
        <v>0</v>
      </c>
      <c r="AM194" s="12">
        <v>0</v>
      </c>
      <c r="AN194" s="12">
        <v>24</v>
      </c>
      <c r="AO194" s="12">
        <v>90</v>
      </c>
      <c r="AP194" s="12">
        <v>71</v>
      </c>
      <c r="AQ194" s="12">
        <v>69</v>
      </c>
      <c r="AR194" s="12">
        <v>82</v>
      </c>
      <c r="AS194" s="59">
        <v>0.21052631578947367</v>
      </c>
      <c r="AT194" s="3">
        <v>9</v>
      </c>
      <c r="AU194" s="3">
        <v>6</v>
      </c>
      <c r="AV194" s="54">
        <v>84.079601990049753</v>
      </c>
      <c r="AW194" s="54">
        <v>15.920398009950249</v>
      </c>
      <c r="AX194" s="54">
        <v>0</v>
      </c>
      <c r="AY194" s="68">
        <v>0</v>
      </c>
      <c r="AZ194" s="59">
        <v>0.25543478260869568</v>
      </c>
      <c r="BA194" s="59">
        <v>1.4428737780601407E-2</v>
      </c>
      <c r="BB194" s="77">
        <v>92.657679727947396</v>
      </c>
      <c r="BC194" s="49">
        <v>18.133333333333301</v>
      </c>
      <c r="BD194" s="90" t="s">
        <v>83</v>
      </c>
      <c r="BE194" s="90" t="s">
        <v>83</v>
      </c>
      <c r="BF194" s="49">
        <v>9.8000000000000007</v>
      </c>
      <c r="BG194" s="49">
        <v>3.1</v>
      </c>
      <c r="BH194" s="49">
        <v>0</v>
      </c>
      <c r="BI194" s="49">
        <v>2.4</v>
      </c>
      <c r="BJ194" s="85">
        <v>17.600000000000001</v>
      </c>
      <c r="BK194" s="129">
        <v>16720</v>
      </c>
      <c r="BL194" s="129">
        <v>62619</v>
      </c>
      <c r="BM194" s="129">
        <v>52821</v>
      </c>
      <c r="BN194" s="129">
        <v>52076</v>
      </c>
      <c r="BO194" s="59">
        <v>3.2599999999999997E-2</v>
      </c>
      <c r="BP194" s="59">
        <v>0.28960000000000002</v>
      </c>
      <c r="BQ194" s="59">
        <v>0.27050000000000002</v>
      </c>
      <c r="BR194" s="59">
        <v>0</v>
      </c>
      <c r="BS194" s="59">
        <v>2.6100000000000002E-2</v>
      </c>
      <c r="BT194" s="49">
        <v>18.399999999999999</v>
      </c>
      <c r="BU194" s="59">
        <f t="shared" si="12"/>
        <v>0.61880000000000002</v>
      </c>
      <c r="BV194" s="59">
        <v>4.1700000000000001E-2</v>
      </c>
      <c r="BW194" s="59">
        <v>3.9399999999999998E-2</v>
      </c>
      <c r="BX194" s="59">
        <v>2.0799999999999999E-2</v>
      </c>
      <c r="BY194" s="59">
        <v>0</v>
      </c>
      <c r="BZ194" s="59">
        <v>0</v>
      </c>
      <c r="CA194" s="49">
        <v>21.6</v>
      </c>
      <c r="CB194" s="59">
        <f t="shared" si="13"/>
        <v>0.1019</v>
      </c>
      <c r="CC194" s="59">
        <v>0.30320000000000003</v>
      </c>
      <c r="CD194" s="125">
        <v>0.35849999999999999</v>
      </c>
      <c r="CE194" s="125">
        <v>0.31219999999999998</v>
      </c>
      <c r="CF194" s="125">
        <v>0</v>
      </c>
      <c r="CG194" s="125">
        <v>2.6100000000000002E-2</v>
      </c>
      <c r="CH194" s="85">
        <v>17.5</v>
      </c>
      <c r="CI194" s="39" t="s">
        <v>310</v>
      </c>
      <c r="CJ194" s="18" t="s">
        <v>80</v>
      </c>
      <c r="CK194" s="20"/>
    </row>
    <row r="195" spans="1:89" x14ac:dyDescent="0.25">
      <c r="A195" s="18" t="s">
        <v>80</v>
      </c>
      <c r="B195" s="19" t="s">
        <v>311</v>
      </c>
      <c r="C195" s="39" t="s">
        <v>312</v>
      </c>
      <c r="D195" s="40">
        <v>17</v>
      </c>
      <c r="E195" s="40" t="s">
        <v>83</v>
      </c>
      <c r="F195" s="40">
        <v>17</v>
      </c>
      <c r="G195" s="162" t="s">
        <v>83</v>
      </c>
      <c r="H195" s="162" t="s">
        <v>83</v>
      </c>
      <c r="I195" s="166">
        <v>0</v>
      </c>
      <c r="J195" s="166">
        <v>3</v>
      </c>
      <c r="K195" s="166">
        <v>7</v>
      </c>
      <c r="L195" s="166">
        <v>5</v>
      </c>
      <c r="M195" s="166">
        <v>2</v>
      </c>
      <c r="N195" s="119">
        <v>8.2524271844660199E-2</v>
      </c>
      <c r="O195" s="119">
        <v>8.2524271844660199E-2</v>
      </c>
      <c r="P195" s="116" t="s">
        <v>83</v>
      </c>
      <c r="Q195" s="116" t="s">
        <v>83</v>
      </c>
      <c r="R195" s="119">
        <v>0</v>
      </c>
      <c r="S195" s="119">
        <v>5.7692307692307702E-2</v>
      </c>
      <c r="T195" s="119">
        <v>0.114754098360656</v>
      </c>
      <c r="U195" s="119">
        <v>9.2592592592592601E-2</v>
      </c>
      <c r="V195" s="119">
        <v>6.4516129032258104E-2</v>
      </c>
      <c r="W195" s="40">
        <v>181</v>
      </c>
      <c r="X195" s="40">
        <f t="shared" si="14"/>
        <v>181</v>
      </c>
      <c r="Y195" s="40">
        <f t="shared" si="15"/>
        <v>181</v>
      </c>
      <c r="Z195" s="105">
        <v>0.56899999999999995</v>
      </c>
      <c r="AA195" s="105">
        <v>0.43099999999999999</v>
      </c>
      <c r="AB195" s="106">
        <v>0</v>
      </c>
      <c r="AC195" s="106">
        <v>0</v>
      </c>
      <c r="AD195" s="106">
        <f>174/181</f>
        <v>0.96132596685082872</v>
      </c>
      <c r="AE195" s="106">
        <f>1/181</f>
        <v>5.5248618784530384E-3</v>
      </c>
      <c r="AF195" s="106">
        <v>0</v>
      </c>
      <c r="AG195" s="106">
        <f>6/181</f>
        <v>3.3149171270718231E-2</v>
      </c>
      <c r="AH195" s="106">
        <v>0</v>
      </c>
      <c r="AI195" s="106">
        <f>175/181</f>
        <v>0.96685082872928174</v>
      </c>
      <c r="AJ195" s="105">
        <v>0.89502762430939231</v>
      </c>
      <c r="AK195" s="105">
        <v>0</v>
      </c>
      <c r="AL195" s="12">
        <v>0</v>
      </c>
      <c r="AM195" s="12">
        <v>0</v>
      </c>
      <c r="AN195" s="12">
        <v>7</v>
      </c>
      <c r="AO195" s="12">
        <v>47</v>
      </c>
      <c r="AP195" s="12">
        <v>50</v>
      </c>
      <c r="AQ195" s="12">
        <v>48</v>
      </c>
      <c r="AR195" s="12">
        <v>29</v>
      </c>
      <c r="AS195" s="59">
        <v>0.12962962962962962</v>
      </c>
      <c r="AT195" s="3">
        <v>9</v>
      </c>
      <c r="AU195" s="3">
        <v>6</v>
      </c>
      <c r="AV195" s="54">
        <v>77.064220183486242</v>
      </c>
      <c r="AW195" s="54">
        <v>12.844036697247708</v>
      </c>
      <c r="AX195" s="54">
        <v>10.091743119266056</v>
      </c>
      <c r="AY195" s="68">
        <v>0</v>
      </c>
      <c r="AZ195" s="59">
        <v>6.4356435643564358E-2</v>
      </c>
      <c r="BA195" s="59">
        <v>0.21287128712871287</v>
      </c>
      <c r="BB195" s="77">
        <v>92.585396255240695</v>
      </c>
      <c r="BC195" s="49">
        <v>43.069306930693102</v>
      </c>
      <c r="BD195" s="90" t="s">
        <v>83</v>
      </c>
      <c r="BE195" s="90" t="s">
        <v>83</v>
      </c>
      <c r="BF195" s="49">
        <v>7.3</v>
      </c>
      <c r="BG195" s="49">
        <v>2.1</v>
      </c>
      <c r="BH195" s="49">
        <v>0</v>
      </c>
      <c r="BI195" s="49">
        <v>0</v>
      </c>
      <c r="BJ195" s="85">
        <v>16</v>
      </c>
      <c r="BK195" s="129">
        <v>14964</v>
      </c>
      <c r="BL195" s="129">
        <v>49064</v>
      </c>
      <c r="BM195" s="129">
        <v>56971</v>
      </c>
      <c r="BN195" s="129">
        <v>34597</v>
      </c>
      <c r="BO195" s="59">
        <v>0</v>
      </c>
      <c r="BP195" s="59">
        <v>0.18959999999999999</v>
      </c>
      <c r="BQ195" s="59">
        <v>0.20219999999999999</v>
      </c>
      <c r="BR195" s="59">
        <v>0</v>
      </c>
      <c r="BS195" s="59">
        <v>0</v>
      </c>
      <c r="BT195" s="49">
        <v>11.8</v>
      </c>
      <c r="BU195" s="59">
        <f t="shared" ref="BU195:BU258" si="16">SUM(BO195:BS195)</f>
        <v>0.39179999999999998</v>
      </c>
      <c r="BV195" s="59">
        <v>2.6499999999999999E-2</v>
      </c>
      <c r="BW195" s="59">
        <v>0</v>
      </c>
      <c r="BX195" s="59">
        <v>5.2499999999999998E-2</v>
      </c>
      <c r="BY195" s="59">
        <v>0</v>
      </c>
      <c r="BZ195" s="59">
        <v>0</v>
      </c>
      <c r="CA195" s="49">
        <v>21.3</v>
      </c>
      <c r="CB195" s="59">
        <f t="shared" ref="CB195:CB258" si="17">SUM(BV195:BZ195)</f>
        <v>7.9000000000000001E-2</v>
      </c>
      <c r="CC195" s="59">
        <v>0.51459999999999995</v>
      </c>
      <c r="CD195" s="125">
        <v>0.18959999999999999</v>
      </c>
      <c r="CE195" s="125">
        <v>0.29580000000000001</v>
      </c>
      <c r="CF195" s="125">
        <v>0</v>
      </c>
      <c r="CG195" s="125">
        <v>0</v>
      </c>
      <c r="CH195" s="85">
        <v>14.7</v>
      </c>
      <c r="CI195" s="39" t="s">
        <v>312</v>
      </c>
      <c r="CJ195" s="18" t="s">
        <v>80</v>
      </c>
      <c r="CK195" s="20"/>
    </row>
    <row r="196" spans="1:89" x14ac:dyDescent="0.25">
      <c r="A196" s="18" t="s">
        <v>80</v>
      </c>
      <c r="B196" s="19" t="s">
        <v>311</v>
      </c>
      <c r="C196" s="39" t="s">
        <v>313</v>
      </c>
      <c r="D196" s="40">
        <v>6</v>
      </c>
      <c r="E196" s="40" t="s">
        <v>83</v>
      </c>
      <c r="F196" s="40">
        <v>6</v>
      </c>
      <c r="G196" s="162" t="s">
        <v>83</v>
      </c>
      <c r="H196" s="162" t="s">
        <v>83</v>
      </c>
      <c r="I196" s="166">
        <v>0</v>
      </c>
      <c r="J196" s="166">
        <v>1</v>
      </c>
      <c r="K196" s="166">
        <v>4</v>
      </c>
      <c r="L196" s="166">
        <v>0</v>
      </c>
      <c r="M196" s="166">
        <v>1</v>
      </c>
      <c r="N196" s="119">
        <v>1.9736842105263198E-2</v>
      </c>
      <c r="O196" s="119">
        <v>1.9736842105263198E-2</v>
      </c>
      <c r="P196" s="116" t="s">
        <v>83</v>
      </c>
      <c r="Q196" s="116" t="s">
        <v>83</v>
      </c>
      <c r="R196" s="119">
        <v>0</v>
      </c>
      <c r="S196" s="119">
        <v>1.1111111111111099E-2</v>
      </c>
      <c r="T196" s="119">
        <v>4.5454545454545497E-2</v>
      </c>
      <c r="U196" s="119">
        <v>0</v>
      </c>
      <c r="V196" s="119">
        <v>1.58730158730159E-2</v>
      </c>
      <c r="W196" s="40">
        <v>285</v>
      </c>
      <c r="X196" s="40">
        <f t="shared" si="14"/>
        <v>285</v>
      </c>
      <c r="Y196" s="40">
        <f t="shared" si="15"/>
        <v>285</v>
      </c>
      <c r="Z196" s="105">
        <v>0.47</v>
      </c>
      <c r="AA196" s="105">
        <v>0.53</v>
      </c>
      <c r="AB196" s="106">
        <v>0</v>
      </c>
      <c r="AC196" s="106">
        <f>1/285</f>
        <v>3.5087719298245615E-3</v>
      </c>
      <c r="AD196" s="106">
        <f>75/285</f>
        <v>0.26315789473684209</v>
      </c>
      <c r="AE196" s="106">
        <f>2/285</f>
        <v>7.0175438596491229E-3</v>
      </c>
      <c r="AF196" s="106">
        <v>0</v>
      </c>
      <c r="AG196" s="106">
        <f>205/285</f>
        <v>0.7192982456140351</v>
      </c>
      <c r="AH196" s="106">
        <f>2/285</f>
        <v>7.0175438596491229E-3</v>
      </c>
      <c r="AI196" s="106">
        <f>80/285</f>
        <v>0.2807017543859649</v>
      </c>
      <c r="AJ196" s="105">
        <v>0.70175438596491224</v>
      </c>
      <c r="AK196" s="105">
        <v>0</v>
      </c>
      <c r="AL196" s="12">
        <v>0</v>
      </c>
      <c r="AM196" s="12">
        <v>0</v>
      </c>
      <c r="AN196" s="12">
        <v>11</v>
      </c>
      <c r="AO196" s="12">
        <v>84</v>
      </c>
      <c r="AP196" s="12">
        <v>80</v>
      </c>
      <c r="AQ196" s="12">
        <v>52</v>
      </c>
      <c r="AR196" s="12">
        <v>58</v>
      </c>
      <c r="AS196" s="59">
        <v>0.11578947368421053</v>
      </c>
      <c r="AT196" s="3">
        <v>9</v>
      </c>
      <c r="AU196" s="3">
        <v>6</v>
      </c>
      <c r="AV196" s="54">
        <v>70.779220779220779</v>
      </c>
      <c r="AW196" s="54">
        <v>24.675324675324674</v>
      </c>
      <c r="AX196" s="54">
        <v>4.5454545454545459</v>
      </c>
      <c r="AY196" s="68">
        <v>0</v>
      </c>
      <c r="AZ196" s="59">
        <v>2.4507106503307213E-2</v>
      </c>
      <c r="BA196" s="59">
        <v>0.1617161716171617</v>
      </c>
      <c r="BB196" s="76">
        <v>92.896188142402394</v>
      </c>
      <c r="BC196" s="49">
        <v>38.613861386138602</v>
      </c>
      <c r="BD196" s="90" t="s">
        <v>83</v>
      </c>
      <c r="BE196" s="90" t="s">
        <v>83</v>
      </c>
      <c r="BF196" s="49">
        <v>3.5</v>
      </c>
      <c r="BG196" s="49">
        <v>0</v>
      </c>
      <c r="BH196" s="49">
        <v>2</v>
      </c>
      <c r="BI196" s="49">
        <v>0</v>
      </c>
      <c r="BJ196" s="85">
        <v>18.100000000000001</v>
      </c>
      <c r="BK196" s="129">
        <v>10166</v>
      </c>
      <c r="BL196" s="129">
        <v>48750</v>
      </c>
      <c r="BM196" s="129">
        <v>19401</v>
      </c>
      <c r="BN196" s="129">
        <v>32391</v>
      </c>
      <c r="BO196" s="59">
        <v>0</v>
      </c>
      <c r="BP196" s="59">
        <v>0.189</v>
      </c>
      <c r="BQ196" s="59">
        <v>0.26269999999999999</v>
      </c>
      <c r="BR196" s="59">
        <v>0</v>
      </c>
      <c r="BS196" s="59">
        <v>0</v>
      </c>
      <c r="BT196" s="49">
        <v>12</v>
      </c>
      <c r="BU196" s="59">
        <f t="shared" si="16"/>
        <v>0.45169999999999999</v>
      </c>
      <c r="BV196" s="59">
        <v>2.6700000000000002E-2</v>
      </c>
      <c r="BW196" s="59">
        <v>0</v>
      </c>
      <c r="BX196" s="59">
        <v>0</v>
      </c>
      <c r="BY196" s="59">
        <v>0</v>
      </c>
      <c r="BZ196" s="59">
        <v>0</v>
      </c>
      <c r="CA196" s="49">
        <v>4</v>
      </c>
      <c r="CB196" s="59">
        <f t="shared" si="17"/>
        <v>2.6700000000000002E-2</v>
      </c>
      <c r="CC196" s="59">
        <v>0.52159999999999995</v>
      </c>
      <c r="CD196" s="125">
        <v>0.189</v>
      </c>
      <c r="CE196" s="125">
        <v>0.28939999999999999</v>
      </c>
      <c r="CF196" s="125">
        <v>0</v>
      </c>
      <c r="CG196" s="125">
        <v>0</v>
      </c>
      <c r="CH196" s="85">
        <v>9.6999999999999993</v>
      </c>
      <c r="CI196" s="39" t="s">
        <v>313</v>
      </c>
      <c r="CJ196" s="18" t="s">
        <v>80</v>
      </c>
      <c r="CK196" s="20"/>
    </row>
    <row r="197" spans="1:89" x14ac:dyDescent="0.25">
      <c r="A197" s="18" t="s">
        <v>80</v>
      </c>
      <c r="B197" s="19" t="s">
        <v>311</v>
      </c>
      <c r="C197" s="39" t="s">
        <v>314</v>
      </c>
      <c r="D197" s="40">
        <v>26</v>
      </c>
      <c r="E197" s="40" t="s">
        <v>83</v>
      </c>
      <c r="F197" s="40">
        <v>26</v>
      </c>
      <c r="G197" s="162" t="s">
        <v>83</v>
      </c>
      <c r="H197" s="162" t="s">
        <v>83</v>
      </c>
      <c r="I197" s="166">
        <v>0</v>
      </c>
      <c r="J197" s="166">
        <v>10</v>
      </c>
      <c r="K197" s="166">
        <v>4</v>
      </c>
      <c r="L197" s="166">
        <v>7</v>
      </c>
      <c r="M197" s="166">
        <v>5</v>
      </c>
      <c r="N197" s="119">
        <v>5.1383399209486202E-2</v>
      </c>
      <c r="O197" s="119">
        <v>5.1383399209486202E-2</v>
      </c>
      <c r="P197" s="116" t="s">
        <v>83</v>
      </c>
      <c r="Q197" s="116" t="s">
        <v>83</v>
      </c>
      <c r="R197" s="119">
        <v>0</v>
      </c>
      <c r="S197" s="119">
        <v>6.3291139240506306E-2</v>
      </c>
      <c r="T197" s="119">
        <v>3.5398230088495602E-2</v>
      </c>
      <c r="U197" s="119">
        <v>6.14035087719298E-2</v>
      </c>
      <c r="V197" s="119">
        <v>4.3478260869565202E-2</v>
      </c>
      <c r="W197" s="40">
        <v>427</v>
      </c>
      <c r="X197" s="40">
        <f t="shared" si="14"/>
        <v>427</v>
      </c>
      <c r="Y197" s="40">
        <f t="shared" si="15"/>
        <v>427</v>
      </c>
      <c r="Z197" s="105">
        <v>0.52</v>
      </c>
      <c r="AA197" s="105">
        <v>0.48</v>
      </c>
      <c r="AB197" s="106">
        <v>0</v>
      </c>
      <c r="AC197" s="106">
        <f>2/427</f>
        <v>4.6838407494145199E-3</v>
      </c>
      <c r="AD197" s="106">
        <f>225/427</f>
        <v>0.52693208430913352</v>
      </c>
      <c r="AE197" s="106">
        <f>9/427</f>
        <v>2.1077283372365339E-2</v>
      </c>
      <c r="AF197" s="106">
        <v>0</v>
      </c>
      <c r="AG197" s="106">
        <f>190/427</f>
        <v>0.44496487119437939</v>
      </c>
      <c r="AH197" s="106">
        <f>1/427</f>
        <v>2.34192037470726E-3</v>
      </c>
      <c r="AI197" s="106">
        <f>237/427</f>
        <v>0.55503512880562056</v>
      </c>
      <c r="AJ197" s="105">
        <v>0.81498829039812648</v>
      </c>
      <c r="AK197" s="105">
        <v>7.0000000000000001E-3</v>
      </c>
      <c r="AL197" s="12">
        <v>0</v>
      </c>
      <c r="AM197" s="12">
        <v>0</v>
      </c>
      <c r="AN197" s="12">
        <v>5</v>
      </c>
      <c r="AO197" s="12">
        <v>118</v>
      </c>
      <c r="AP197" s="12">
        <v>100</v>
      </c>
      <c r="AQ197" s="12">
        <v>98</v>
      </c>
      <c r="AR197" s="12">
        <v>106</v>
      </c>
      <c r="AS197" s="59">
        <v>4.065040650406504E-2</v>
      </c>
      <c r="AT197" s="3">
        <v>9</v>
      </c>
      <c r="AU197" s="3">
        <v>6</v>
      </c>
      <c r="AV197" s="54">
        <v>76.587301587301596</v>
      </c>
      <c r="AW197" s="54">
        <v>13.095238095238097</v>
      </c>
      <c r="AX197" s="54">
        <v>10.317460317460316</v>
      </c>
      <c r="AY197" s="68">
        <v>0</v>
      </c>
      <c r="AZ197" s="59">
        <v>7.2463768115942004E-3</v>
      </c>
      <c r="BA197" s="59">
        <v>0.16096579476861167</v>
      </c>
      <c r="BB197" s="77">
        <v>92.241279374828693</v>
      </c>
      <c r="BC197" s="49">
        <v>32.997987927565397</v>
      </c>
      <c r="BD197" s="90" t="s">
        <v>83</v>
      </c>
      <c r="BE197" s="90" t="s">
        <v>83</v>
      </c>
      <c r="BF197" s="49">
        <v>15.3</v>
      </c>
      <c r="BG197" s="49">
        <v>2.2000000000000002</v>
      </c>
      <c r="BH197" s="49">
        <v>2</v>
      </c>
      <c r="BI197" s="49">
        <v>1</v>
      </c>
      <c r="BJ197" s="85">
        <v>18.100000000000001</v>
      </c>
      <c r="BK197" s="129">
        <v>10805</v>
      </c>
      <c r="BL197" s="129">
        <v>50253</v>
      </c>
      <c r="BM197" s="129">
        <v>55074</v>
      </c>
      <c r="BN197" s="129">
        <v>41779</v>
      </c>
      <c r="BO197" s="59">
        <v>2.1000000000000001E-2</v>
      </c>
      <c r="BP197" s="59">
        <v>0.25319999999999998</v>
      </c>
      <c r="BQ197" s="59">
        <v>0.35189999999999999</v>
      </c>
      <c r="BR197" s="59">
        <v>0</v>
      </c>
      <c r="BS197" s="59">
        <v>0</v>
      </c>
      <c r="BT197" s="49">
        <v>13.5</v>
      </c>
      <c r="BU197" s="59">
        <f t="shared" si="16"/>
        <v>0.62609999999999999</v>
      </c>
      <c r="BV197" s="59">
        <v>2.0799999999999999E-2</v>
      </c>
      <c r="BW197" s="59">
        <v>0</v>
      </c>
      <c r="BX197" s="59">
        <v>4.2000000000000003E-2</v>
      </c>
      <c r="BY197" s="59">
        <v>0</v>
      </c>
      <c r="BZ197" s="59">
        <v>0</v>
      </c>
      <c r="CA197" s="49">
        <v>20.399999999999999</v>
      </c>
      <c r="CB197" s="59">
        <f t="shared" si="17"/>
        <v>6.2799999999999995E-2</v>
      </c>
      <c r="CC197" s="59">
        <v>0.32690000000000002</v>
      </c>
      <c r="CD197" s="125">
        <v>0.25319999999999998</v>
      </c>
      <c r="CE197" s="125">
        <v>0.42</v>
      </c>
      <c r="CF197" s="125">
        <v>0</v>
      </c>
      <c r="CG197" s="125">
        <v>0</v>
      </c>
      <c r="CH197" s="85">
        <v>12.5</v>
      </c>
      <c r="CI197" s="39" t="s">
        <v>314</v>
      </c>
      <c r="CJ197" s="18" t="s">
        <v>80</v>
      </c>
      <c r="CK197" s="20"/>
    </row>
    <row r="198" spans="1:89" x14ac:dyDescent="0.25">
      <c r="A198" s="18" t="s">
        <v>80</v>
      </c>
      <c r="B198" s="19" t="s">
        <v>315</v>
      </c>
      <c r="C198" s="39" t="s">
        <v>316</v>
      </c>
      <c r="D198" s="40">
        <v>0</v>
      </c>
      <c r="E198" s="40">
        <v>0</v>
      </c>
      <c r="F198" s="40">
        <v>0</v>
      </c>
      <c r="G198" s="166">
        <v>0</v>
      </c>
      <c r="H198" s="166">
        <v>0</v>
      </c>
      <c r="I198" s="162" t="s">
        <v>83</v>
      </c>
      <c r="J198" s="166">
        <v>0</v>
      </c>
      <c r="K198" s="166">
        <v>0</v>
      </c>
      <c r="L198" s="166">
        <v>0</v>
      </c>
      <c r="M198" s="166">
        <v>0</v>
      </c>
      <c r="N198" s="119">
        <v>0</v>
      </c>
      <c r="O198" s="119">
        <v>0</v>
      </c>
      <c r="P198" s="119">
        <v>0</v>
      </c>
      <c r="Q198" s="119">
        <v>0</v>
      </c>
      <c r="R198" s="116" t="s">
        <v>83</v>
      </c>
      <c r="S198" s="119">
        <v>0</v>
      </c>
      <c r="T198" s="119">
        <v>0</v>
      </c>
      <c r="U198" s="119">
        <v>0</v>
      </c>
      <c r="V198" s="119">
        <v>0</v>
      </c>
      <c r="W198" s="40">
        <v>579</v>
      </c>
      <c r="X198" s="40">
        <f t="shared" si="14"/>
        <v>145</v>
      </c>
      <c r="Y198" s="40">
        <f t="shared" si="15"/>
        <v>219</v>
      </c>
      <c r="Z198" s="105">
        <v>0.49199999999999999</v>
      </c>
      <c r="AA198" s="105">
        <v>0.50800000000000001</v>
      </c>
      <c r="AB198" s="106">
        <f>162/579</f>
        <v>0.27979274611398963</v>
      </c>
      <c r="AC198" s="106">
        <v>0</v>
      </c>
      <c r="AD198" s="106">
        <f>9/579</f>
        <v>1.5544041450777202E-2</v>
      </c>
      <c r="AE198" s="106">
        <f>1/579</f>
        <v>1.7271157167530224E-3</v>
      </c>
      <c r="AF198" s="106">
        <v>0</v>
      </c>
      <c r="AG198" s="106">
        <f>396/579</f>
        <v>0.68393782383419688</v>
      </c>
      <c r="AH198" s="106">
        <f>11/579</f>
        <v>1.8998272884283247E-2</v>
      </c>
      <c r="AI198" s="106">
        <f>183/579</f>
        <v>0.31606217616580312</v>
      </c>
      <c r="AJ198" s="105">
        <v>0.53540587219343694</v>
      </c>
      <c r="AK198" s="105">
        <v>0</v>
      </c>
      <c r="AL198" s="12">
        <v>36</v>
      </c>
      <c r="AM198" s="12">
        <v>38</v>
      </c>
      <c r="AN198" s="12">
        <v>0</v>
      </c>
      <c r="AO198" s="12">
        <v>44</v>
      </c>
      <c r="AP198" s="12">
        <v>38</v>
      </c>
      <c r="AQ198" s="12">
        <v>37</v>
      </c>
      <c r="AR198" s="12">
        <v>26</v>
      </c>
      <c r="AS198" s="59">
        <v>0</v>
      </c>
      <c r="AT198" s="3">
        <v>1</v>
      </c>
      <c r="AU198" s="3">
        <v>6</v>
      </c>
      <c r="AV198" s="54">
        <v>75.903614457831324</v>
      </c>
      <c r="AW198" s="54">
        <v>22.891566265060241</v>
      </c>
      <c r="AX198" s="54">
        <v>1.2048192771084338</v>
      </c>
      <c r="AY198" s="68">
        <v>0</v>
      </c>
      <c r="AZ198" s="59">
        <v>3.0539479159126956E-2</v>
      </c>
      <c r="BA198" s="59">
        <v>6.7545304777594725E-2</v>
      </c>
      <c r="BB198" s="76">
        <v>93.177370418276993</v>
      </c>
      <c r="BC198" s="49">
        <v>24.2214532871972</v>
      </c>
      <c r="BD198" s="93">
        <v>0</v>
      </c>
      <c r="BE198" s="93">
        <v>0</v>
      </c>
      <c r="BF198" s="49">
        <v>0</v>
      </c>
      <c r="BG198" s="49">
        <v>2.6</v>
      </c>
      <c r="BH198" s="49">
        <v>0</v>
      </c>
      <c r="BI198" s="49">
        <v>0</v>
      </c>
      <c r="BJ198" s="85">
        <v>17.899999999999999</v>
      </c>
      <c r="BK198" s="129">
        <v>10053</v>
      </c>
      <c r="BL198" s="129">
        <v>46510</v>
      </c>
      <c r="BM198" s="129">
        <v>37413</v>
      </c>
      <c r="BN198" s="129">
        <v>34512</v>
      </c>
      <c r="BO198" s="59">
        <v>0</v>
      </c>
      <c r="BP198" s="59">
        <v>0.37009999999999998</v>
      </c>
      <c r="BQ198" s="59">
        <v>0.17849999999999999</v>
      </c>
      <c r="BR198" s="59">
        <v>0</v>
      </c>
      <c r="BS198" s="59">
        <v>0</v>
      </c>
      <c r="BT198" s="49">
        <v>14.6</v>
      </c>
      <c r="BU198" s="59">
        <f t="shared" si="16"/>
        <v>0.54859999999999998</v>
      </c>
      <c r="BV198" s="59">
        <v>2.75E-2</v>
      </c>
      <c r="BW198" s="59">
        <v>0</v>
      </c>
      <c r="BX198" s="59">
        <v>1.38E-2</v>
      </c>
      <c r="BY198" s="59">
        <v>0</v>
      </c>
      <c r="BZ198" s="59">
        <v>0</v>
      </c>
      <c r="CA198" s="49">
        <v>13.3</v>
      </c>
      <c r="CB198" s="59">
        <f t="shared" si="17"/>
        <v>4.1300000000000003E-2</v>
      </c>
      <c r="CC198" s="59">
        <v>0.40339999999999998</v>
      </c>
      <c r="CD198" s="125">
        <v>0.3906</v>
      </c>
      <c r="CE198" s="125">
        <v>0.20599999999999999</v>
      </c>
      <c r="CF198" s="125">
        <v>0</v>
      </c>
      <c r="CG198" s="125">
        <v>0</v>
      </c>
      <c r="CH198" s="85">
        <v>13.2</v>
      </c>
      <c r="CI198" s="39" t="s">
        <v>316</v>
      </c>
      <c r="CJ198" s="18" t="s">
        <v>80</v>
      </c>
      <c r="CK198" s="20"/>
    </row>
    <row r="199" spans="1:89" x14ac:dyDescent="0.25">
      <c r="A199" s="18" t="s">
        <v>80</v>
      </c>
      <c r="B199" s="19" t="s">
        <v>315</v>
      </c>
      <c r="C199" s="39" t="s">
        <v>317</v>
      </c>
      <c r="D199" s="40">
        <v>6</v>
      </c>
      <c r="E199" s="40">
        <v>1</v>
      </c>
      <c r="F199" s="40">
        <v>5</v>
      </c>
      <c r="G199" s="166">
        <v>0</v>
      </c>
      <c r="H199" s="166">
        <v>1</v>
      </c>
      <c r="I199" s="162" t="s">
        <v>83</v>
      </c>
      <c r="J199" s="166">
        <v>2</v>
      </c>
      <c r="K199" s="166">
        <v>2</v>
      </c>
      <c r="L199" s="166">
        <v>0</v>
      </c>
      <c r="M199" s="166">
        <v>1</v>
      </c>
      <c r="N199" s="119">
        <v>4.1666666666666699E-2</v>
      </c>
      <c r="O199" s="119">
        <v>5.5555555555555601E-2</v>
      </c>
      <c r="P199" s="119">
        <v>0</v>
      </c>
      <c r="Q199" s="119">
        <v>3.5714285714285698E-2</v>
      </c>
      <c r="R199" s="116" t="s">
        <v>83</v>
      </c>
      <c r="S199" s="119">
        <v>7.4074074074074098E-2</v>
      </c>
      <c r="T199" s="119">
        <v>8.3333333333333301E-2</v>
      </c>
      <c r="U199" s="119">
        <v>0</v>
      </c>
      <c r="V199" s="119">
        <v>5.2631578947368397E-2</v>
      </c>
      <c r="W199" s="40">
        <v>303</v>
      </c>
      <c r="X199" s="40">
        <f t="shared" si="14"/>
        <v>87</v>
      </c>
      <c r="Y199" s="40">
        <f t="shared" si="15"/>
        <v>135</v>
      </c>
      <c r="Z199" s="105">
        <v>0.44600000000000001</v>
      </c>
      <c r="AA199" s="105">
        <v>0.55500000000000005</v>
      </c>
      <c r="AB199" s="106">
        <f>200/303</f>
        <v>0.66006600660066006</v>
      </c>
      <c r="AC199" s="106">
        <v>0</v>
      </c>
      <c r="AD199" s="106">
        <f>4/303</f>
        <v>1.3201320132013201E-2</v>
      </c>
      <c r="AE199" s="106">
        <f>4/303</f>
        <v>1.3201320132013201E-2</v>
      </c>
      <c r="AF199" s="106">
        <f>1/303</f>
        <v>3.3003300330033004E-3</v>
      </c>
      <c r="AG199" s="106">
        <f>51/303</f>
        <v>0.16831683168316833</v>
      </c>
      <c r="AH199" s="106">
        <f>43/303</f>
        <v>0.14191419141914191</v>
      </c>
      <c r="AI199" s="106">
        <f>252/303</f>
        <v>0.83168316831683164</v>
      </c>
      <c r="AJ199" s="105">
        <v>0.6270627062706271</v>
      </c>
      <c r="AK199" s="105">
        <v>0</v>
      </c>
      <c r="AL199" s="12">
        <v>23</v>
      </c>
      <c r="AM199" s="12">
        <v>25</v>
      </c>
      <c r="AN199" s="12">
        <v>0</v>
      </c>
      <c r="AO199" s="12">
        <v>27</v>
      </c>
      <c r="AP199" s="12">
        <v>23</v>
      </c>
      <c r="AQ199" s="12">
        <v>19</v>
      </c>
      <c r="AR199" s="12">
        <v>18</v>
      </c>
      <c r="AS199" s="59">
        <v>0</v>
      </c>
      <c r="AT199" s="3">
        <v>1</v>
      </c>
      <c r="AU199" s="3">
        <v>6</v>
      </c>
      <c r="AV199" s="54">
        <v>67.692307692307693</v>
      </c>
      <c r="AW199" s="54">
        <v>21.53846153846154</v>
      </c>
      <c r="AX199" s="54">
        <v>10</v>
      </c>
      <c r="AY199" s="68">
        <v>0.76923076923076927</v>
      </c>
      <c r="AZ199" s="59">
        <v>1.4272790741123136E-2</v>
      </c>
      <c r="BA199" s="59">
        <v>7.0336391437308868E-2</v>
      </c>
      <c r="BB199" s="77">
        <v>92.919865823385905</v>
      </c>
      <c r="BC199" s="49">
        <v>21.904761904761902</v>
      </c>
      <c r="BD199" s="93">
        <v>0</v>
      </c>
      <c r="BE199" s="49">
        <v>4.3</v>
      </c>
      <c r="BF199" s="49">
        <v>0</v>
      </c>
      <c r="BG199" s="49">
        <v>10</v>
      </c>
      <c r="BH199" s="49">
        <v>0</v>
      </c>
      <c r="BI199" s="49">
        <v>0</v>
      </c>
      <c r="BJ199" s="85">
        <v>17.100000000000001</v>
      </c>
      <c r="BK199" s="129">
        <v>10482</v>
      </c>
      <c r="BL199" s="129">
        <v>45871</v>
      </c>
      <c r="BM199" s="129">
        <v>53173</v>
      </c>
      <c r="BN199" s="129">
        <v>33239</v>
      </c>
      <c r="BO199" s="59">
        <v>0</v>
      </c>
      <c r="BP199" s="59">
        <v>0.29260000000000003</v>
      </c>
      <c r="BQ199" s="59">
        <v>0.12239999999999999</v>
      </c>
      <c r="BR199" s="59">
        <v>0</v>
      </c>
      <c r="BS199" s="59">
        <v>0</v>
      </c>
      <c r="BT199" s="49">
        <v>15</v>
      </c>
      <c r="BU199" s="59">
        <f t="shared" si="16"/>
        <v>0.41500000000000004</v>
      </c>
      <c r="BV199" s="59">
        <v>2.3900000000000001E-2</v>
      </c>
      <c r="BW199" s="59">
        <v>0</v>
      </c>
      <c r="BX199" s="59">
        <v>4.7800000000000002E-2</v>
      </c>
      <c r="BY199" s="59">
        <v>0</v>
      </c>
      <c r="BZ199" s="59">
        <v>0</v>
      </c>
      <c r="CA199" s="49">
        <v>22</v>
      </c>
      <c r="CB199" s="59">
        <f t="shared" si="17"/>
        <v>7.17E-2</v>
      </c>
      <c r="CC199" s="59">
        <v>0.4657</v>
      </c>
      <c r="CD199" s="125">
        <v>0.34029999999999999</v>
      </c>
      <c r="CE199" s="125">
        <v>0.19400000000000001</v>
      </c>
      <c r="CF199" s="125">
        <v>0</v>
      </c>
      <c r="CG199" s="125">
        <v>0</v>
      </c>
      <c r="CH199" s="85">
        <v>13</v>
      </c>
      <c r="CI199" s="39" t="s">
        <v>317</v>
      </c>
      <c r="CJ199" s="18" t="s">
        <v>80</v>
      </c>
      <c r="CK199" s="20"/>
    </row>
    <row r="200" spans="1:89" x14ac:dyDescent="0.25">
      <c r="A200" s="18" t="s">
        <v>80</v>
      </c>
      <c r="B200" s="19" t="s">
        <v>315</v>
      </c>
      <c r="C200" s="39" t="s">
        <v>318</v>
      </c>
      <c r="D200" s="40">
        <v>1</v>
      </c>
      <c r="E200" s="40">
        <v>0</v>
      </c>
      <c r="F200" s="40">
        <v>1</v>
      </c>
      <c r="G200" s="166">
        <v>0</v>
      </c>
      <c r="H200" s="166">
        <v>0</v>
      </c>
      <c r="I200" s="166">
        <v>0</v>
      </c>
      <c r="J200" s="166">
        <v>0</v>
      </c>
      <c r="K200" s="166">
        <v>0</v>
      </c>
      <c r="L200" s="166">
        <v>0</v>
      </c>
      <c r="M200" s="166">
        <v>1</v>
      </c>
      <c r="N200" s="119">
        <v>3.9370078740157497E-3</v>
      </c>
      <c r="O200" s="119">
        <v>6.13496932515337E-3</v>
      </c>
      <c r="P200" s="119">
        <v>0</v>
      </c>
      <c r="Q200" s="119">
        <v>0</v>
      </c>
      <c r="R200" s="119">
        <v>0</v>
      </c>
      <c r="S200" s="119">
        <v>0</v>
      </c>
      <c r="T200" s="119">
        <v>0</v>
      </c>
      <c r="U200" s="119">
        <v>0</v>
      </c>
      <c r="V200" s="119">
        <v>2.7027027027027001E-2</v>
      </c>
      <c r="W200" s="40">
        <v>571</v>
      </c>
      <c r="X200" s="40">
        <f t="shared" si="14"/>
        <v>154</v>
      </c>
      <c r="Y200" s="40">
        <f t="shared" si="15"/>
        <v>234</v>
      </c>
      <c r="Z200" s="105">
        <v>0.52</v>
      </c>
      <c r="AA200" s="105">
        <v>0.48</v>
      </c>
      <c r="AB200" s="106">
        <f>42/571</f>
        <v>7.3555166374781086E-2</v>
      </c>
      <c r="AC200" s="106">
        <v>0</v>
      </c>
      <c r="AD200" s="106">
        <f>93/571</f>
        <v>0.1628721541155867</v>
      </c>
      <c r="AE200" s="106">
        <f>6/571</f>
        <v>1.0507880910683012E-2</v>
      </c>
      <c r="AF200" s="106">
        <v>0</v>
      </c>
      <c r="AG200" s="106">
        <f>421/571</f>
        <v>0.73730297723292471</v>
      </c>
      <c r="AH200" s="106">
        <f>9/571</f>
        <v>1.5761821366024518E-2</v>
      </c>
      <c r="AI200" s="106">
        <f>150/571</f>
        <v>0.26269702276707529</v>
      </c>
      <c r="AJ200" s="105">
        <v>0.53064798598949214</v>
      </c>
      <c r="AK200" s="105">
        <v>2E-3</v>
      </c>
      <c r="AL200" s="12">
        <v>38</v>
      </c>
      <c r="AM200" s="12">
        <v>42</v>
      </c>
      <c r="AN200" s="12">
        <v>1</v>
      </c>
      <c r="AO200" s="12">
        <v>42</v>
      </c>
      <c r="AP200" s="12">
        <v>40</v>
      </c>
      <c r="AQ200" s="12">
        <v>34</v>
      </c>
      <c r="AR200" s="12">
        <v>37</v>
      </c>
      <c r="AS200" s="59">
        <v>2.3255813953488372E-2</v>
      </c>
      <c r="AT200" s="3">
        <v>1</v>
      </c>
      <c r="AU200" s="3">
        <v>6</v>
      </c>
      <c r="AV200" s="54">
        <v>80.751173708920192</v>
      </c>
      <c r="AW200" s="54">
        <v>14.084507042253522</v>
      </c>
      <c r="AX200" s="54">
        <v>0.46948356807511737</v>
      </c>
      <c r="AY200" s="68">
        <v>4.6948356807511731</v>
      </c>
      <c r="AZ200" s="59">
        <v>2.8428157038835521E-2</v>
      </c>
      <c r="BA200" s="59">
        <v>4.0399431634561292E-2</v>
      </c>
      <c r="BB200" s="76">
        <v>94.469947754412203</v>
      </c>
      <c r="BC200" s="49">
        <v>36.956521739130402</v>
      </c>
      <c r="BD200" s="93">
        <v>0</v>
      </c>
      <c r="BE200" s="49">
        <v>2.2999999999999998</v>
      </c>
      <c r="BF200" s="49">
        <v>2.4</v>
      </c>
      <c r="BG200" s="49">
        <v>2.7</v>
      </c>
      <c r="BH200" s="49">
        <v>3.2</v>
      </c>
      <c r="BI200" s="49">
        <v>4.8</v>
      </c>
      <c r="BJ200" s="85">
        <v>18.2</v>
      </c>
      <c r="BK200" s="129">
        <v>11023</v>
      </c>
      <c r="BL200" s="129">
        <v>48948</v>
      </c>
      <c r="BM200" s="129">
        <v>37243</v>
      </c>
      <c r="BN200" s="129">
        <v>36794</v>
      </c>
      <c r="BO200" s="59">
        <v>0</v>
      </c>
      <c r="BP200" s="59">
        <v>0.4037</v>
      </c>
      <c r="BQ200" s="59">
        <v>0.1018</v>
      </c>
      <c r="BR200" s="59">
        <v>1.2699999999999999E-2</v>
      </c>
      <c r="BS200" s="59">
        <v>0</v>
      </c>
      <c r="BT200" s="49">
        <v>17</v>
      </c>
      <c r="BU200" s="59">
        <f t="shared" si="16"/>
        <v>0.5182000000000001</v>
      </c>
      <c r="BV200" s="59">
        <v>2.5499999999999998E-2</v>
      </c>
      <c r="BW200" s="59">
        <v>0</v>
      </c>
      <c r="BX200" s="59">
        <v>3.8199999999999998E-2</v>
      </c>
      <c r="BY200" s="59">
        <v>0</v>
      </c>
      <c r="BZ200" s="59">
        <v>0</v>
      </c>
      <c r="CA200" s="49">
        <v>20.6</v>
      </c>
      <c r="CB200" s="59">
        <f t="shared" si="17"/>
        <v>6.3699999999999993E-2</v>
      </c>
      <c r="CC200" s="59">
        <v>0.37990000000000002</v>
      </c>
      <c r="CD200" s="125">
        <v>0.42920000000000003</v>
      </c>
      <c r="CE200" s="125">
        <v>0.1782</v>
      </c>
      <c r="CF200" s="125">
        <v>1.2699999999999999E-2</v>
      </c>
      <c r="CG200" s="125">
        <v>0</v>
      </c>
      <c r="CH200" s="85">
        <v>15.2</v>
      </c>
      <c r="CI200" s="39" t="s">
        <v>318</v>
      </c>
      <c r="CJ200" s="18" t="s">
        <v>80</v>
      </c>
      <c r="CK200" s="20"/>
    </row>
    <row r="201" spans="1:89" x14ac:dyDescent="0.25">
      <c r="A201" s="18" t="s">
        <v>80</v>
      </c>
      <c r="B201" s="19" t="s">
        <v>315</v>
      </c>
      <c r="C201" s="39" t="s">
        <v>319</v>
      </c>
      <c r="D201" s="40">
        <v>7</v>
      </c>
      <c r="E201" s="40" t="s">
        <v>83</v>
      </c>
      <c r="F201" s="40">
        <v>7</v>
      </c>
      <c r="G201" s="162" t="s">
        <v>83</v>
      </c>
      <c r="H201" s="162" t="s">
        <v>83</v>
      </c>
      <c r="I201" s="166">
        <v>1</v>
      </c>
      <c r="J201" s="166">
        <v>2</v>
      </c>
      <c r="K201" s="166">
        <v>1</v>
      </c>
      <c r="L201" s="166">
        <v>2</v>
      </c>
      <c r="M201" s="166">
        <v>1</v>
      </c>
      <c r="N201" s="119">
        <v>2.1406727828746201E-2</v>
      </c>
      <c r="O201" s="119">
        <v>2.1406727828746201E-2</v>
      </c>
      <c r="P201" s="116" t="s">
        <v>83</v>
      </c>
      <c r="Q201" s="116" t="s">
        <v>83</v>
      </c>
      <c r="R201" s="119">
        <v>0.5</v>
      </c>
      <c r="S201" s="119">
        <v>2.3809523809523801E-2</v>
      </c>
      <c r="T201" s="119">
        <v>1.03092783505155E-2</v>
      </c>
      <c r="U201" s="119">
        <v>2.9850746268656699E-2</v>
      </c>
      <c r="V201" s="119">
        <v>1.2987012987013E-2</v>
      </c>
      <c r="W201" s="40">
        <v>306</v>
      </c>
      <c r="X201" s="40">
        <f t="shared" si="14"/>
        <v>306</v>
      </c>
      <c r="Y201" s="40">
        <f t="shared" si="15"/>
        <v>306</v>
      </c>
      <c r="Z201" s="105">
        <v>0.51300000000000001</v>
      </c>
      <c r="AA201" s="105">
        <v>0.48699999999999999</v>
      </c>
      <c r="AB201" s="106">
        <f>25/306</f>
        <v>8.1699346405228759E-2</v>
      </c>
      <c r="AC201" s="106">
        <f>1/306</f>
        <v>3.2679738562091504E-3</v>
      </c>
      <c r="AD201" s="106">
        <f>118/306</f>
        <v>0.38562091503267976</v>
      </c>
      <c r="AE201" s="106">
        <f>13/306</f>
        <v>4.2483660130718956E-2</v>
      </c>
      <c r="AF201" s="106">
        <v>0</v>
      </c>
      <c r="AG201" s="106">
        <f>148/306</f>
        <v>0.48366013071895425</v>
      </c>
      <c r="AH201" s="106">
        <f>1/306</f>
        <v>3.2679738562091504E-3</v>
      </c>
      <c r="AI201" s="106">
        <f>158/306</f>
        <v>0.5163398692810458</v>
      </c>
      <c r="AJ201" s="105">
        <v>0.55555555555555558</v>
      </c>
      <c r="AK201" s="105">
        <v>0</v>
      </c>
      <c r="AL201" s="12">
        <v>0</v>
      </c>
      <c r="AM201" s="12">
        <v>0</v>
      </c>
      <c r="AN201" s="12">
        <v>2</v>
      </c>
      <c r="AO201" s="12">
        <v>77</v>
      </c>
      <c r="AP201" s="12">
        <v>89</v>
      </c>
      <c r="AQ201" s="12">
        <v>67</v>
      </c>
      <c r="AR201" s="12">
        <v>71</v>
      </c>
      <c r="AS201" s="59">
        <v>2.5316455696202531E-2</v>
      </c>
      <c r="AT201" s="3">
        <v>9</v>
      </c>
      <c r="AU201" s="3">
        <v>6</v>
      </c>
      <c r="AV201" s="54">
        <v>82.080924855491332</v>
      </c>
      <c r="AW201" s="54">
        <v>17.341040462427745</v>
      </c>
      <c r="AX201" s="54">
        <v>0.57803468208092479</v>
      </c>
      <c r="AY201" s="68">
        <v>0</v>
      </c>
      <c r="AZ201" s="59">
        <v>7.4850299401197609E-4</v>
      </c>
      <c r="BA201" s="59">
        <v>0.11349693251533742</v>
      </c>
      <c r="BB201" s="77">
        <v>94.491461741901801</v>
      </c>
      <c r="BC201" s="49">
        <v>7.0336391437308903</v>
      </c>
      <c r="BD201" s="90" t="s">
        <v>83</v>
      </c>
      <c r="BE201" s="90" t="s">
        <v>83</v>
      </c>
      <c r="BF201" s="49">
        <v>1.3</v>
      </c>
      <c r="BG201" s="49">
        <v>0</v>
      </c>
      <c r="BH201" s="49">
        <v>0</v>
      </c>
      <c r="BI201" s="49">
        <v>2.6</v>
      </c>
      <c r="BJ201" s="85">
        <v>18.100000000000001</v>
      </c>
      <c r="BK201" s="129">
        <v>12928</v>
      </c>
      <c r="BL201" s="129">
        <v>48453</v>
      </c>
      <c r="BM201" s="129">
        <v>49410</v>
      </c>
      <c r="BN201" s="129">
        <v>34595</v>
      </c>
      <c r="BO201" s="59">
        <v>0</v>
      </c>
      <c r="BP201" s="59">
        <v>0.24429999999999999</v>
      </c>
      <c r="BQ201" s="59">
        <v>0.18099999999999999</v>
      </c>
      <c r="BR201" s="59">
        <v>0</v>
      </c>
      <c r="BS201" s="59">
        <v>0</v>
      </c>
      <c r="BT201" s="49">
        <v>12.9</v>
      </c>
      <c r="BU201" s="59">
        <f t="shared" si="16"/>
        <v>0.42530000000000001</v>
      </c>
      <c r="BV201" s="59">
        <v>1.8800000000000001E-2</v>
      </c>
      <c r="BW201" s="59">
        <v>0</v>
      </c>
      <c r="BX201" s="59">
        <v>3.7600000000000001E-2</v>
      </c>
      <c r="BY201" s="59">
        <v>0</v>
      </c>
      <c r="BZ201" s="59">
        <v>0</v>
      </c>
      <c r="CA201" s="49">
        <v>12.7</v>
      </c>
      <c r="CB201" s="59">
        <f t="shared" si="17"/>
        <v>5.6400000000000006E-2</v>
      </c>
      <c r="CC201" s="59">
        <v>0.46200000000000002</v>
      </c>
      <c r="CD201" s="125">
        <v>0.28179999999999999</v>
      </c>
      <c r="CE201" s="125">
        <v>0.25609999999999999</v>
      </c>
      <c r="CF201" s="125">
        <v>0</v>
      </c>
      <c r="CG201" s="125">
        <v>0</v>
      </c>
      <c r="CH201" s="85">
        <v>10.6</v>
      </c>
      <c r="CI201" s="39" t="s">
        <v>319</v>
      </c>
      <c r="CJ201" s="18" t="s">
        <v>80</v>
      </c>
      <c r="CK201" s="20"/>
    </row>
    <row r="202" spans="1:89" x14ac:dyDescent="0.25">
      <c r="A202" s="18" t="s">
        <v>80</v>
      </c>
      <c r="B202" s="19" t="s">
        <v>315</v>
      </c>
      <c r="C202" s="39" t="s">
        <v>320</v>
      </c>
      <c r="D202" s="40">
        <v>2</v>
      </c>
      <c r="E202" s="40">
        <v>0</v>
      </c>
      <c r="F202" s="40">
        <v>2</v>
      </c>
      <c r="G202" s="166">
        <v>0</v>
      </c>
      <c r="H202" s="166">
        <v>0</v>
      </c>
      <c r="I202" s="162" t="s">
        <v>83</v>
      </c>
      <c r="J202" s="166">
        <v>1</v>
      </c>
      <c r="K202" s="166">
        <v>1</v>
      </c>
      <c r="L202" s="166">
        <v>0</v>
      </c>
      <c r="M202" s="166">
        <v>0</v>
      </c>
      <c r="N202" s="119">
        <v>8.1632653061224497E-3</v>
      </c>
      <c r="O202" s="119">
        <v>1.2820512820512799E-2</v>
      </c>
      <c r="P202" s="119">
        <v>0</v>
      </c>
      <c r="Q202" s="119">
        <v>0</v>
      </c>
      <c r="R202" s="116" t="s">
        <v>83</v>
      </c>
      <c r="S202" s="119">
        <v>2.4390243902439001E-2</v>
      </c>
      <c r="T202" s="119">
        <v>2.32558139534884E-2</v>
      </c>
      <c r="U202" s="119">
        <v>0</v>
      </c>
      <c r="V202" s="119">
        <v>0</v>
      </c>
      <c r="W202" s="40">
        <v>528</v>
      </c>
      <c r="X202" s="40">
        <f t="shared" si="14"/>
        <v>149</v>
      </c>
      <c r="Y202" s="40">
        <f t="shared" si="15"/>
        <v>230</v>
      </c>
      <c r="Z202" s="105">
        <v>0.443</v>
      </c>
      <c r="AA202" s="105">
        <v>0.55700000000000005</v>
      </c>
      <c r="AB202" s="106">
        <f>36/528</f>
        <v>6.8181818181818177E-2</v>
      </c>
      <c r="AC202" s="106">
        <f>2/528</f>
        <v>3.787878787878788E-3</v>
      </c>
      <c r="AD202" s="106">
        <f>48/528</f>
        <v>9.0909090909090912E-2</v>
      </c>
      <c r="AE202" s="106">
        <f>14/528</f>
        <v>2.6515151515151516E-2</v>
      </c>
      <c r="AF202" s="106">
        <f>1/528</f>
        <v>1.893939393939394E-3</v>
      </c>
      <c r="AG202" s="106">
        <f>407/528</f>
        <v>0.77083333333333337</v>
      </c>
      <c r="AH202" s="106">
        <f>20/528</f>
        <v>3.787878787878788E-2</v>
      </c>
      <c r="AI202" s="106">
        <f>121/528</f>
        <v>0.22916666666666666</v>
      </c>
      <c r="AJ202" s="105">
        <v>0.58901515151515149</v>
      </c>
      <c r="AK202" s="105">
        <v>2E-3</v>
      </c>
      <c r="AL202" s="12">
        <v>38</v>
      </c>
      <c r="AM202" s="12">
        <v>43</v>
      </c>
      <c r="AN202" s="12">
        <v>0</v>
      </c>
      <c r="AO202" s="12">
        <v>38</v>
      </c>
      <c r="AP202" s="12">
        <v>42</v>
      </c>
      <c r="AQ202" s="12">
        <v>45</v>
      </c>
      <c r="AR202" s="12">
        <v>24</v>
      </c>
      <c r="AS202" s="59">
        <v>0</v>
      </c>
      <c r="AT202" s="3">
        <v>1</v>
      </c>
      <c r="AU202" s="3">
        <v>6</v>
      </c>
      <c r="AV202" s="54">
        <v>76.806083650190118</v>
      </c>
      <c r="AW202" s="54">
        <v>20.912547528517113</v>
      </c>
      <c r="AX202" s="54">
        <v>1.1406844106463878</v>
      </c>
      <c r="AY202" s="68">
        <v>1.1406844106463878</v>
      </c>
      <c r="AZ202" s="59">
        <v>1.1714285892008992E-2</v>
      </c>
      <c r="BA202" s="59">
        <v>7.6655052264808357E-2</v>
      </c>
      <c r="BB202" s="76">
        <v>93.688277094083105</v>
      </c>
      <c r="BC202" s="49">
        <v>16.141001855287598</v>
      </c>
      <c r="BD202" s="49">
        <v>2.6</v>
      </c>
      <c r="BE202" s="49">
        <v>2.4</v>
      </c>
      <c r="BF202" s="49">
        <v>2.6</v>
      </c>
      <c r="BG202" s="49">
        <v>2.6</v>
      </c>
      <c r="BH202" s="49">
        <v>2.4</v>
      </c>
      <c r="BI202" s="49">
        <v>0</v>
      </c>
      <c r="BJ202" s="85">
        <v>19.7</v>
      </c>
      <c r="BK202" s="129">
        <v>10405</v>
      </c>
      <c r="BL202" s="129">
        <v>45638</v>
      </c>
      <c r="BM202" s="129">
        <v>41053</v>
      </c>
      <c r="BN202" s="129">
        <v>34940</v>
      </c>
      <c r="BO202" s="59">
        <v>0</v>
      </c>
      <c r="BP202" s="59">
        <v>0.41099999999999998</v>
      </c>
      <c r="BQ202" s="59">
        <v>0.1138</v>
      </c>
      <c r="BR202" s="59">
        <v>0</v>
      </c>
      <c r="BS202" s="59">
        <v>0</v>
      </c>
      <c r="BT202" s="49">
        <v>16.7</v>
      </c>
      <c r="BU202" s="59">
        <f t="shared" si="16"/>
        <v>0.52479999999999993</v>
      </c>
      <c r="BV202" s="59">
        <v>2.9600000000000001E-2</v>
      </c>
      <c r="BW202" s="59">
        <v>0</v>
      </c>
      <c r="BX202" s="59">
        <v>1.4800000000000001E-2</v>
      </c>
      <c r="BY202" s="59">
        <v>1.4800000000000001E-2</v>
      </c>
      <c r="BZ202" s="59">
        <v>0</v>
      </c>
      <c r="CA202" s="49">
        <v>15</v>
      </c>
      <c r="CB202" s="59">
        <f t="shared" si="17"/>
        <v>5.9200000000000003E-2</v>
      </c>
      <c r="CC202" s="59">
        <v>0.38650000000000001</v>
      </c>
      <c r="CD202" s="125">
        <v>0.44059999999999999</v>
      </c>
      <c r="CE202" s="125">
        <v>0.15820000000000001</v>
      </c>
      <c r="CF202" s="125">
        <v>1.4800000000000001E-2</v>
      </c>
      <c r="CG202" s="125">
        <v>0</v>
      </c>
      <c r="CH202" s="85">
        <v>13.6</v>
      </c>
      <c r="CI202" s="39" t="s">
        <v>320</v>
      </c>
      <c r="CJ202" s="18" t="s">
        <v>80</v>
      </c>
      <c r="CK202" s="20"/>
    </row>
    <row r="203" spans="1:89" x14ac:dyDescent="0.25">
      <c r="A203" s="18" t="s">
        <v>80</v>
      </c>
      <c r="B203" s="19" t="s">
        <v>315</v>
      </c>
      <c r="C203" s="39" t="s">
        <v>321</v>
      </c>
      <c r="D203" s="40">
        <v>1</v>
      </c>
      <c r="E203" s="40">
        <v>0</v>
      </c>
      <c r="F203" s="40">
        <v>1</v>
      </c>
      <c r="G203" s="166">
        <v>0</v>
      </c>
      <c r="H203" s="166">
        <v>0</v>
      </c>
      <c r="I203" s="162" t="s">
        <v>83</v>
      </c>
      <c r="J203" s="166">
        <v>1</v>
      </c>
      <c r="K203" s="166">
        <v>0</v>
      </c>
      <c r="L203" s="166">
        <v>0</v>
      </c>
      <c r="M203" s="166">
        <v>0</v>
      </c>
      <c r="N203" s="119">
        <v>7.8740157480314994E-3</v>
      </c>
      <c r="O203" s="119">
        <v>1.2345679012345699E-2</v>
      </c>
      <c r="P203" s="119">
        <v>0</v>
      </c>
      <c r="Q203" s="119">
        <v>0</v>
      </c>
      <c r="R203" s="116" t="s">
        <v>83</v>
      </c>
      <c r="S203" s="119">
        <v>3.8461538461538498E-2</v>
      </c>
      <c r="T203" s="119">
        <v>0</v>
      </c>
      <c r="U203" s="119">
        <v>0</v>
      </c>
      <c r="V203" s="119">
        <v>0</v>
      </c>
      <c r="W203" s="40">
        <v>288</v>
      </c>
      <c r="X203" s="40">
        <f t="shared" si="14"/>
        <v>72</v>
      </c>
      <c r="Y203" s="40">
        <f t="shared" si="15"/>
        <v>116</v>
      </c>
      <c r="Z203" s="105">
        <v>0.46899999999999997</v>
      </c>
      <c r="AA203" s="105">
        <v>0.53100000000000003</v>
      </c>
      <c r="AB203" s="106">
        <f>8/288</f>
        <v>2.7777777777777776E-2</v>
      </c>
      <c r="AC203" s="106">
        <v>0</v>
      </c>
      <c r="AD203" s="106">
        <f>96/288</f>
        <v>0.33333333333333331</v>
      </c>
      <c r="AE203" s="106">
        <f>8/288</f>
        <v>2.7777777777777776E-2</v>
      </c>
      <c r="AF203" s="106">
        <v>0</v>
      </c>
      <c r="AG203" s="106">
        <f>172/288</f>
        <v>0.59722222222222221</v>
      </c>
      <c r="AH203" s="106">
        <f>4/288</f>
        <v>1.3888888888888888E-2</v>
      </c>
      <c r="AI203" s="106">
        <f>116/288</f>
        <v>0.40277777777777779</v>
      </c>
      <c r="AJ203" s="105">
        <v>0.69791666666666663</v>
      </c>
      <c r="AK203" s="105">
        <v>0</v>
      </c>
      <c r="AL203" s="12">
        <v>29</v>
      </c>
      <c r="AM203" s="12">
        <v>15</v>
      </c>
      <c r="AN203" s="12">
        <v>0</v>
      </c>
      <c r="AO203" s="12">
        <v>22</v>
      </c>
      <c r="AP203" s="12">
        <v>14</v>
      </c>
      <c r="AQ203" s="12">
        <v>22</v>
      </c>
      <c r="AR203" s="12">
        <v>14</v>
      </c>
      <c r="AS203" s="59">
        <v>0</v>
      </c>
      <c r="AT203" s="3">
        <v>1</v>
      </c>
      <c r="AU203" s="3">
        <v>6</v>
      </c>
      <c r="AV203" s="54">
        <v>71.428571428571431</v>
      </c>
      <c r="AW203" s="54">
        <v>19.327731092436977</v>
      </c>
      <c r="AX203" s="54">
        <v>9.2436974789915975</v>
      </c>
      <c r="AY203" s="68">
        <v>0</v>
      </c>
      <c r="AZ203" s="59">
        <v>6.3492063492063489E-2</v>
      </c>
      <c r="BA203" s="59">
        <v>0.24126984126984127</v>
      </c>
      <c r="BB203" s="77">
        <v>94.5715714494889</v>
      </c>
      <c r="BC203" s="49">
        <v>37.3333333333333</v>
      </c>
      <c r="BD203" s="93">
        <v>0</v>
      </c>
      <c r="BE203" s="93">
        <v>0</v>
      </c>
      <c r="BF203" s="49">
        <v>4.8</v>
      </c>
      <c r="BG203" s="49">
        <v>7.1</v>
      </c>
      <c r="BH203" s="49">
        <v>5</v>
      </c>
      <c r="BI203" s="49">
        <v>0</v>
      </c>
      <c r="BJ203" s="85">
        <v>18</v>
      </c>
      <c r="BK203" s="129">
        <v>11203</v>
      </c>
      <c r="BL203" s="129">
        <v>44069</v>
      </c>
      <c r="BM203" s="129">
        <v>46292</v>
      </c>
      <c r="BN203" s="129">
        <v>32957</v>
      </c>
      <c r="BO203" s="59">
        <v>0</v>
      </c>
      <c r="BP203" s="59">
        <v>0.2994</v>
      </c>
      <c r="BQ203" s="59">
        <v>0.15989999999999999</v>
      </c>
      <c r="BR203" s="59">
        <v>2.29E-2</v>
      </c>
      <c r="BS203" s="59">
        <v>0</v>
      </c>
      <c r="BT203" s="49">
        <v>10.9</v>
      </c>
      <c r="BU203" s="59">
        <f t="shared" si="16"/>
        <v>0.48219999999999996</v>
      </c>
      <c r="BV203" s="59">
        <v>2.29E-2</v>
      </c>
      <c r="BW203" s="59">
        <v>0</v>
      </c>
      <c r="BX203" s="59">
        <v>4.5699999999999998E-2</v>
      </c>
      <c r="BY203" s="59">
        <v>0</v>
      </c>
      <c r="BZ203" s="59">
        <v>0</v>
      </c>
      <c r="CA203" s="49">
        <v>7.7</v>
      </c>
      <c r="CB203" s="59">
        <f t="shared" si="17"/>
        <v>6.8599999999999994E-2</v>
      </c>
      <c r="CC203" s="59">
        <v>0.40329999999999999</v>
      </c>
      <c r="CD203" s="125">
        <v>0.34520000000000001</v>
      </c>
      <c r="CE203" s="125">
        <v>0.2286</v>
      </c>
      <c r="CF203" s="125">
        <v>2.29E-2</v>
      </c>
      <c r="CG203" s="125">
        <v>0</v>
      </c>
      <c r="CH203" s="85">
        <v>10.5</v>
      </c>
      <c r="CI203" s="39" t="s">
        <v>321</v>
      </c>
      <c r="CJ203" s="18" t="s">
        <v>80</v>
      </c>
      <c r="CK203" s="20"/>
    </row>
    <row r="204" spans="1:89" x14ac:dyDescent="0.25">
      <c r="A204" s="18" t="s">
        <v>80</v>
      </c>
      <c r="B204" s="19" t="s">
        <v>315</v>
      </c>
      <c r="C204" s="39" t="s">
        <v>322</v>
      </c>
      <c r="D204" s="40">
        <v>1</v>
      </c>
      <c r="E204" s="40">
        <v>0</v>
      </c>
      <c r="F204" s="40">
        <v>1</v>
      </c>
      <c r="G204" s="166">
        <v>0</v>
      </c>
      <c r="H204" s="166">
        <v>0</v>
      </c>
      <c r="I204" s="162" t="s">
        <v>83</v>
      </c>
      <c r="J204" s="166">
        <v>1</v>
      </c>
      <c r="K204" s="166">
        <v>0</v>
      </c>
      <c r="L204" s="166">
        <v>0</v>
      </c>
      <c r="M204" s="166">
        <v>0</v>
      </c>
      <c r="N204" s="119">
        <v>2.8653295128939801E-3</v>
      </c>
      <c r="O204" s="119">
        <v>4.5454545454545496E-3</v>
      </c>
      <c r="P204" s="119">
        <v>0</v>
      </c>
      <c r="Q204" s="119">
        <v>0</v>
      </c>
      <c r="R204" s="116" t="s">
        <v>83</v>
      </c>
      <c r="S204" s="119">
        <v>1.4285714285714299E-2</v>
      </c>
      <c r="T204" s="119">
        <v>0</v>
      </c>
      <c r="U204" s="119">
        <v>0</v>
      </c>
      <c r="V204" s="119">
        <v>0</v>
      </c>
      <c r="W204" s="40">
        <v>318</v>
      </c>
      <c r="X204" s="40">
        <f t="shared" si="14"/>
        <v>201</v>
      </c>
      <c r="Y204" s="40">
        <f t="shared" si="15"/>
        <v>318</v>
      </c>
      <c r="Z204" s="105">
        <v>0.49099999999999999</v>
      </c>
      <c r="AA204" s="105">
        <v>0.50900000000000001</v>
      </c>
      <c r="AB204" s="106">
        <f>118/318</f>
        <v>0.37106918238993708</v>
      </c>
      <c r="AC204" s="106">
        <v>0</v>
      </c>
      <c r="AD204" s="106">
        <f>102/318</f>
        <v>0.32075471698113206</v>
      </c>
      <c r="AE204" s="106">
        <f>6/318</f>
        <v>1.8867924528301886E-2</v>
      </c>
      <c r="AF204" s="106">
        <v>0</v>
      </c>
      <c r="AG204" s="106">
        <f>50/318</f>
        <v>0.15723270440251572</v>
      </c>
      <c r="AH204" s="106">
        <f>42/318</f>
        <v>0.13207547169811321</v>
      </c>
      <c r="AI204" s="106">
        <f>268/318</f>
        <v>0.84276729559748431</v>
      </c>
      <c r="AJ204" s="105">
        <v>0.68553459119496851</v>
      </c>
      <c r="AK204" s="105">
        <v>0</v>
      </c>
      <c r="AL204" s="12">
        <v>63</v>
      </c>
      <c r="AM204" s="12">
        <v>54</v>
      </c>
      <c r="AN204" s="12">
        <v>0</v>
      </c>
      <c r="AO204" s="12">
        <v>65</v>
      </c>
      <c r="AP204" s="12">
        <v>51</v>
      </c>
      <c r="AQ204" s="12">
        <v>47</v>
      </c>
      <c r="AR204" s="12">
        <v>38</v>
      </c>
      <c r="AS204" s="59">
        <v>0</v>
      </c>
      <c r="AT204" s="3">
        <v>7</v>
      </c>
      <c r="AU204" s="3">
        <v>6</v>
      </c>
      <c r="AV204" s="54">
        <v>89.071038251366119</v>
      </c>
      <c r="AW204" s="54">
        <v>10.382513661202186</v>
      </c>
      <c r="AX204" s="54">
        <v>0.54644808743169404</v>
      </c>
      <c r="AY204" s="68">
        <v>0</v>
      </c>
      <c r="AZ204" s="59">
        <v>3.7070844461845054E-2</v>
      </c>
      <c r="BA204" s="59">
        <v>0.1174785100286533</v>
      </c>
      <c r="BB204" s="76">
        <v>94.411004803069702</v>
      </c>
      <c r="BC204" s="49">
        <v>19.484240687679101</v>
      </c>
      <c r="BD204" s="49">
        <v>1.7</v>
      </c>
      <c r="BE204" s="49">
        <v>3.6</v>
      </c>
      <c r="BF204" s="49">
        <v>1.7</v>
      </c>
      <c r="BG204" s="49">
        <v>0</v>
      </c>
      <c r="BH204" s="49">
        <v>0</v>
      </c>
      <c r="BI204" s="49">
        <v>0</v>
      </c>
      <c r="BJ204" s="85">
        <v>18.8</v>
      </c>
      <c r="BK204" s="129">
        <v>13065</v>
      </c>
      <c r="BL204" s="129">
        <v>44000</v>
      </c>
      <c r="BM204" s="129">
        <v>49113</v>
      </c>
      <c r="BN204" s="129">
        <v>32500</v>
      </c>
      <c r="BO204" s="59">
        <v>0</v>
      </c>
      <c r="BP204" s="59">
        <v>0.33</v>
      </c>
      <c r="BQ204" s="59">
        <v>0.10150000000000001</v>
      </c>
      <c r="BR204" s="59">
        <v>0</v>
      </c>
      <c r="BS204" s="59">
        <v>0</v>
      </c>
      <c r="BT204" s="49">
        <v>14.2</v>
      </c>
      <c r="BU204" s="59">
        <f t="shared" si="16"/>
        <v>0.43149999999999999</v>
      </c>
      <c r="BV204" s="59">
        <v>1.6899999999999998E-2</v>
      </c>
      <c r="BW204" s="59">
        <v>0</v>
      </c>
      <c r="BX204" s="59">
        <v>3.3799999999999997E-2</v>
      </c>
      <c r="BY204" s="59">
        <v>0</v>
      </c>
      <c r="BZ204" s="59">
        <v>0</v>
      </c>
      <c r="CA204" s="49">
        <v>14.7</v>
      </c>
      <c r="CB204" s="59">
        <f t="shared" si="17"/>
        <v>5.0699999999999995E-2</v>
      </c>
      <c r="CC204" s="59">
        <v>0.46700000000000003</v>
      </c>
      <c r="CD204" s="125">
        <v>0.3639</v>
      </c>
      <c r="CE204" s="125">
        <v>0.1522</v>
      </c>
      <c r="CF204" s="125">
        <v>1.6899999999999998E-2</v>
      </c>
      <c r="CG204" s="125">
        <v>0</v>
      </c>
      <c r="CH204" s="85">
        <v>14.1</v>
      </c>
      <c r="CI204" s="39" t="s">
        <v>322</v>
      </c>
      <c r="CJ204" s="18" t="s">
        <v>80</v>
      </c>
      <c r="CK204" s="20"/>
    </row>
    <row r="205" spans="1:89" x14ac:dyDescent="0.25">
      <c r="A205" s="18" t="s">
        <v>80</v>
      </c>
      <c r="B205" s="19" t="s">
        <v>323</v>
      </c>
      <c r="C205" s="39" t="s">
        <v>324</v>
      </c>
      <c r="D205" s="40">
        <v>28</v>
      </c>
      <c r="E205" s="40" t="s">
        <v>83</v>
      </c>
      <c r="F205" s="40">
        <v>28</v>
      </c>
      <c r="G205" s="162" t="s">
        <v>83</v>
      </c>
      <c r="H205" s="162" t="s">
        <v>83</v>
      </c>
      <c r="I205" s="166">
        <v>1</v>
      </c>
      <c r="J205" s="166">
        <v>5</v>
      </c>
      <c r="K205" s="166">
        <v>3</v>
      </c>
      <c r="L205" s="166">
        <v>10</v>
      </c>
      <c r="M205" s="166">
        <v>9</v>
      </c>
      <c r="N205" s="119">
        <v>1.5005359056806E-2</v>
      </c>
      <c r="O205" s="119">
        <v>1.5005359056806E-2</v>
      </c>
      <c r="P205" s="116" t="s">
        <v>83</v>
      </c>
      <c r="Q205" s="116" t="s">
        <v>83</v>
      </c>
      <c r="R205" s="119">
        <v>2.2222222222222199E-2</v>
      </c>
      <c r="S205" s="119">
        <v>9.9206349206349201E-3</v>
      </c>
      <c r="T205" s="119">
        <v>6.4516129032258099E-3</v>
      </c>
      <c r="U205" s="119">
        <v>2.23214285714286E-2</v>
      </c>
      <c r="V205" s="119">
        <v>2.22772277227723E-2</v>
      </c>
      <c r="W205" s="40">
        <v>1739</v>
      </c>
      <c r="X205" s="40">
        <f t="shared" si="14"/>
        <v>1739</v>
      </c>
      <c r="Y205" s="40">
        <f t="shared" si="15"/>
        <v>1739</v>
      </c>
      <c r="Z205" s="105">
        <v>0.51</v>
      </c>
      <c r="AA205" s="105">
        <v>0.49099999999999999</v>
      </c>
      <c r="AB205" s="106">
        <f>11/1739</f>
        <v>6.3254744105807935E-3</v>
      </c>
      <c r="AC205" s="106">
        <f>54/1739</f>
        <v>3.1052328924669349E-2</v>
      </c>
      <c r="AD205" s="106">
        <f>472/1739</f>
        <v>0.27142035652673951</v>
      </c>
      <c r="AE205" s="106">
        <f>178/1739</f>
        <v>0.10235767682576193</v>
      </c>
      <c r="AF205" s="106">
        <f>2/1739</f>
        <v>1.1500862564692352E-3</v>
      </c>
      <c r="AG205" s="106">
        <f>979/1739</f>
        <v>0.56296722254169063</v>
      </c>
      <c r="AH205" s="106">
        <f>43/1739</f>
        <v>2.4726854514088556E-2</v>
      </c>
      <c r="AI205" s="106">
        <f>760/1739</f>
        <v>0.43703277745830937</v>
      </c>
      <c r="AJ205" s="105">
        <v>0.69062679700977569</v>
      </c>
      <c r="AK205" s="105">
        <v>2.4E-2</v>
      </c>
      <c r="AL205" s="12">
        <v>0</v>
      </c>
      <c r="AM205" s="12">
        <v>0</v>
      </c>
      <c r="AN205" s="12">
        <v>38</v>
      </c>
      <c r="AO205" s="12">
        <v>464</v>
      </c>
      <c r="AP205" s="12">
        <v>438</v>
      </c>
      <c r="AQ205" s="12">
        <v>416</v>
      </c>
      <c r="AR205" s="12">
        <v>383</v>
      </c>
      <c r="AS205" s="59">
        <v>7.5697211155378488E-2</v>
      </c>
      <c r="AT205" s="3">
        <v>9</v>
      </c>
      <c r="AU205" s="3">
        <v>6</v>
      </c>
      <c r="AV205" s="54">
        <v>40.882352941176471</v>
      </c>
      <c r="AW205" s="54">
        <v>29.558823529411764</v>
      </c>
      <c r="AX205" s="54">
        <v>29.117647058823533</v>
      </c>
      <c r="AY205" s="68">
        <v>0.44117647058823528</v>
      </c>
      <c r="AZ205" s="59">
        <v>0.19415900486749593</v>
      </c>
      <c r="BA205" s="59">
        <v>0.14764737696051919</v>
      </c>
      <c r="BB205" s="77">
        <v>92.517166489101498</v>
      </c>
      <c r="BC205" s="49">
        <v>79.414893617021306</v>
      </c>
      <c r="BD205" s="90" t="s">
        <v>83</v>
      </c>
      <c r="BE205" s="90" t="s">
        <v>83</v>
      </c>
      <c r="BF205" s="49">
        <v>3.1</v>
      </c>
      <c r="BG205" s="49">
        <v>5.6</v>
      </c>
      <c r="BH205" s="49">
        <v>0.8</v>
      </c>
      <c r="BI205" s="49">
        <v>1</v>
      </c>
      <c r="BJ205" s="85">
        <v>19.399999999999999</v>
      </c>
      <c r="BK205" s="129">
        <v>11838</v>
      </c>
      <c r="BL205" s="129">
        <v>50532</v>
      </c>
      <c r="BM205" s="129">
        <v>62263</v>
      </c>
      <c r="BN205" s="129">
        <v>45653</v>
      </c>
      <c r="BO205" s="59">
        <v>0</v>
      </c>
      <c r="BP205" s="59">
        <v>0.40749999999999997</v>
      </c>
      <c r="BQ205" s="59">
        <v>0.25719999999999998</v>
      </c>
      <c r="BR205" s="59">
        <v>0</v>
      </c>
      <c r="BS205" s="59">
        <v>1.14E-2</v>
      </c>
      <c r="BT205" s="49">
        <v>12.8</v>
      </c>
      <c r="BU205" s="59">
        <f t="shared" si="16"/>
        <v>0.67609999999999992</v>
      </c>
      <c r="BV205" s="59">
        <v>1.7000000000000001E-2</v>
      </c>
      <c r="BW205" s="59">
        <v>0</v>
      </c>
      <c r="BX205" s="59">
        <v>3.4200000000000001E-2</v>
      </c>
      <c r="BY205" s="59">
        <v>0</v>
      </c>
      <c r="BZ205" s="59">
        <v>0</v>
      </c>
      <c r="CA205" s="49">
        <v>23.9</v>
      </c>
      <c r="CB205" s="59">
        <f t="shared" si="17"/>
        <v>5.1200000000000002E-2</v>
      </c>
      <c r="CC205" s="59">
        <v>0.23200000000000001</v>
      </c>
      <c r="CD205" s="125">
        <v>0.41320000000000001</v>
      </c>
      <c r="CE205" s="125">
        <v>0.34350000000000003</v>
      </c>
      <c r="CF205" s="125">
        <v>0</v>
      </c>
      <c r="CG205" s="125">
        <v>1.14E-2</v>
      </c>
      <c r="CH205" s="85">
        <v>13.3</v>
      </c>
      <c r="CI205" s="39" t="s">
        <v>324</v>
      </c>
      <c r="CJ205" s="18" t="s">
        <v>80</v>
      </c>
      <c r="CK205" s="20"/>
    </row>
    <row r="206" spans="1:89" x14ac:dyDescent="0.25">
      <c r="A206" s="18" t="s">
        <v>80</v>
      </c>
      <c r="B206" s="19" t="s">
        <v>325</v>
      </c>
      <c r="C206" s="39" t="s">
        <v>326</v>
      </c>
      <c r="D206" s="40">
        <v>27</v>
      </c>
      <c r="E206" s="40">
        <v>1</v>
      </c>
      <c r="F206" s="40">
        <v>26</v>
      </c>
      <c r="G206" s="162" t="s">
        <v>83</v>
      </c>
      <c r="H206" s="166">
        <v>1</v>
      </c>
      <c r="I206" s="166">
        <v>0</v>
      </c>
      <c r="J206" s="166">
        <v>8</v>
      </c>
      <c r="K206" s="166">
        <v>6</v>
      </c>
      <c r="L206" s="166">
        <v>5</v>
      </c>
      <c r="M206" s="166">
        <v>7</v>
      </c>
      <c r="N206" s="119">
        <v>1.78100263852243E-2</v>
      </c>
      <c r="O206" s="119">
        <v>1.72299536116634E-2</v>
      </c>
      <c r="P206" s="116" t="s">
        <v>83</v>
      </c>
      <c r="Q206" s="119">
        <v>0.14285714285714299</v>
      </c>
      <c r="R206" s="119">
        <v>0</v>
      </c>
      <c r="S206" s="119">
        <v>1.9464720194647199E-2</v>
      </c>
      <c r="T206" s="119">
        <v>1.63487738419619E-2</v>
      </c>
      <c r="U206" s="119">
        <v>1.3966480446927399E-2</v>
      </c>
      <c r="V206" s="119">
        <v>1.9178082191780799E-2</v>
      </c>
      <c r="W206" s="40">
        <v>1457</v>
      </c>
      <c r="X206" s="40">
        <f t="shared" si="14"/>
        <v>1451</v>
      </c>
      <c r="Y206" s="40">
        <f t="shared" si="15"/>
        <v>1457</v>
      </c>
      <c r="Z206" s="105">
        <v>0.47099999999999997</v>
      </c>
      <c r="AA206" s="105">
        <v>0.52900000000000003</v>
      </c>
      <c r="AB206" s="106">
        <f>4/1457</f>
        <v>2.7453671928620452E-3</v>
      </c>
      <c r="AC206" s="106">
        <f>20/1457</f>
        <v>1.3726835964310227E-2</v>
      </c>
      <c r="AD206" s="106">
        <f>491/1457</f>
        <v>0.33699382292381608</v>
      </c>
      <c r="AE206" s="106">
        <f>119/1457</f>
        <v>8.1674673987645843E-2</v>
      </c>
      <c r="AF206" s="106">
        <f>1/1457</f>
        <v>6.863417982155113E-4</v>
      </c>
      <c r="AG206" s="106">
        <f>786/1457</f>
        <v>0.53946465339739191</v>
      </c>
      <c r="AH206" s="106">
        <f>36/1457</f>
        <v>2.4708304735758406E-2</v>
      </c>
      <c r="AI206" s="106">
        <f>671/1457</f>
        <v>0.46053534660260809</v>
      </c>
      <c r="AJ206" s="105">
        <v>0.45504461221688403</v>
      </c>
      <c r="AK206" s="105">
        <v>0.01</v>
      </c>
      <c r="AL206" s="12">
        <v>0</v>
      </c>
      <c r="AM206" s="12">
        <v>6</v>
      </c>
      <c r="AN206" s="12">
        <v>8</v>
      </c>
      <c r="AO206" s="12">
        <v>391</v>
      </c>
      <c r="AP206" s="12">
        <v>344</v>
      </c>
      <c r="AQ206" s="12">
        <v>356</v>
      </c>
      <c r="AR206" s="12">
        <v>352</v>
      </c>
      <c r="AS206" s="59">
        <v>2.0050125313283207E-2</v>
      </c>
      <c r="AT206" s="3">
        <v>8</v>
      </c>
      <c r="AU206" s="3">
        <v>6</v>
      </c>
      <c r="AV206" s="54">
        <v>55.622188905547233</v>
      </c>
      <c r="AW206" s="54">
        <v>24.287856071964018</v>
      </c>
      <c r="AX206" s="54">
        <v>19.1904047976012</v>
      </c>
      <c r="AY206" s="68">
        <v>0.8995502248875562</v>
      </c>
      <c r="AZ206" s="59">
        <v>0.17009966777408639</v>
      </c>
      <c r="BA206" s="59">
        <v>9.580056312281697E-3</v>
      </c>
      <c r="BB206" s="81">
        <v>96</v>
      </c>
      <c r="BC206" s="49">
        <v>5.6328694499668703</v>
      </c>
      <c r="BD206" s="90" t="s">
        <v>83</v>
      </c>
      <c r="BE206" s="93">
        <v>0</v>
      </c>
      <c r="BF206" s="49">
        <v>10.8</v>
      </c>
      <c r="BG206" s="49">
        <v>2.6</v>
      </c>
      <c r="BH206" s="49">
        <v>0.6</v>
      </c>
      <c r="BI206" s="49">
        <v>1.5</v>
      </c>
      <c r="BJ206" s="85">
        <v>20</v>
      </c>
      <c r="BK206" s="129">
        <v>13886</v>
      </c>
      <c r="BL206" s="129">
        <v>53603</v>
      </c>
      <c r="BM206" s="129">
        <v>50178</v>
      </c>
      <c r="BN206" s="129">
        <v>48078</v>
      </c>
      <c r="BO206" s="59">
        <v>1.8200000000000001E-2</v>
      </c>
      <c r="BP206" s="59">
        <v>0.4052</v>
      </c>
      <c r="BQ206" s="59">
        <v>0.17419999999999999</v>
      </c>
      <c r="BR206" s="59">
        <v>6.1000000000000004E-3</v>
      </c>
      <c r="BS206" s="59">
        <v>0</v>
      </c>
      <c r="BT206" s="49">
        <v>15.5</v>
      </c>
      <c r="BU206" s="59">
        <f t="shared" si="16"/>
        <v>0.60370000000000001</v>
      </c>
      <c r="BV206" s="59">
        <v>4.7800000000000002E-2</v>
      </c>
      <c r="BW206" s="59">
        <v>6.1000000000000004E-3</v>
      </c>
      <c r="BX206" s="59">
        <v>3.6299999999999999E-2</v>
      </c>
      <c r="BY206" s="59">
        <v>0</v>
      </c>
      <c r="BZ206" s="59">
        <v>0</v>
      </c>
      <c r="CA206" s="49">
        <v>15.4</v>
      </c>
      <c r="CB206" s="59">
        <f t="shared" si="17"/>
        <v>9.0200000000000002E-2</v>
      </c>
      <c r="CC206" s="59">
        <v>0.29909999999999998</v>
      </c>
      <c r="CD206" s="125">
        <v>0.43580000000000002</v>
      </c>
      <c r="CE206" s="125">
        <v>0.25900000000000001</v>
      </c>
      <c r="CF206" s="125">
        <v>6.1000000000000004E-3</v>
      </c>
      <c r="CG206" s="125">
        <v>0</v>
      </c>
      <c r="CH206" s="85">
        <v>15.2</v>
      </c>
      <c r="CI206" s="39" t="s">
        <v>326</v>
      </c>
      <c r="CJ206" s="18" t="s">
        <v>80</v>
      </c>
      <c r="CK206" s="20"/>
    </row>
    <row r="207" spans="1:89" x14ac:dyDescent="0.25">
      <c r="A207" s="18" t="s">
        <v>80</v>
      </c>
      <c r="B207" s="19" t="s">
        <v>325</v>
      </c>
      <c r="C207" s="39" t="s">
        <v>327</v>
      </c>
      <c r="D207" s="40">
        <v>38</v>
      </c>
      <c r="E207" s="40">
        <v>1</v>
      </c>
      <c r="F207" s="40">
        <v>37</v>
      </c>
      <c r="G207" s="162" t="s">
        <v>83</v>
      </c>
      <c r="H207" s="166">
        <v>1</v>
      </c>
      <c r="I207" s="166">
        <v>1</v>
      </c>
      <c r="J207" s="166">
        <v>9</v>
      </c>
      <c r="K207" s="166">
        <v>8</v>
      </c>
      <c r="L207" s="166">
        <v>8</v>
      </c>
      <c r="M207" s="166">
        <v>11</v>
      </c>
      <c r="N207" s="119">
        <v>2.4405908798972399E-2</v>
      </c>
      <c r="O207" s="119">
        <v>2.3932729624838299E-2</v>
      </c>
      <c r="P207" s="116" t="s">
        <v>83</v>
      </c>
      <c r="Q207" s="119">
        <v>9.0909090909090898E-2</v>
      </c>
      <c r="R207" s="119">
        <v>6.6666666666666693E-2</v>
      </c>
      <c r="S207" s="119">
        <v>2.0547945205479499E-2</v>
      </c>
      <c r="T207" s="119">
        <v>2.2222222222222199E-2</v>
      </c>
      <c r="U207" s="119">
        <v>2.1164021164021201E-2</v>
      </c>
      <c r="V207" s="119">
        <v>3.0985915492957702E-2</v>
      </c>
      <c r="W207" s="40">
        <v>1500</v>
      </c>
      <c r="X207" s="40">
        <f t="shared" si="14"/>
        <v>1491</v>
      </c>
      <c r="Y207" s="40">
        <f t="shared" si="15"/>
        <v>1500</v>
      </c>
      <c r="Z207" s="105">
        <v>0.47699999999999998</v>
      </c>
      <c r="AA207" s="105">
        <v>0.52300000000000002</v>
      </c>
      <c r="AB207" s="106">
        <f>8/1500</f>
        <v>5.3333333333333332E-3</v>
      </c>
      <c r="AC207" s="106">
        <f>12/1500</f>
        <v>8.0000000000000002E-3</v>
      </c>
      <c r="AD207" s="106">
        <f>464/1500</f>
        <v>0.30933333333333335</v>
      </c>
      <c r="AE207" s="106">
        <f>68/1500</f>
        <v>4.5333333333333337E-2</v>
      </c>
      <c r="AF207" s="106">
        <f>1/1500</f>
        <v>6.6666666666666664E-4</v>
      </c>
      <c r="AG207" s="106">
        <f>912/1500</f>
        <v>0.60799999999999998</v>
      </c>
      <c r="AH207" s="106">
        <f>35/1500</f>
        <v>2.3333333333333334E-2</v>
      </c>
      <c r="AI207" s="106">
        <f>588/1500</f>
        <v>0.39200000000000002</v>
      </c>
      <c r="AJ207" s="105">
        <v>0.42066666666666669</v>
      </c>
      <c r="AK207" s="105">
        <v>5.0000000000000001E-3</v>
      </c>
      <c r="AL207" s="12">
        <v>0</v>
      </c>
      <c r="AM207" s="12">
        <v>9</v>
      </c>
      <c r="AN207" s="12">
        <v>12</v>
      </c>
      <c r="AO207" s="12">
        <v>428</v>
      </c>
      <c r="AP207" s="12">
        <v>348</v>
      </c>
      <c r="AQ207" s="12">
        <v>366</v>
      </c>
      <c r="AR207" s="12">
        <v>337</v>
      </c>
      <c r="AS207" s="59">
        <v>2.7272727272727271E-2</v>
      </c>
      <c r="AT207" s="3">
        <v>8</v>
      </c>
      <c r="AU207" s="3">
        <v>6</v>
      </c>
      <c r="AV207" s="54">
        <v>50.493653032440058</v>
      </c>
      <c r="AW207" s="54">
        <v>23.1311706629055</v>
      </c>
      <c r="AX207" s="54">
        <v>25.669957686882931</v>
      </c>
      <c r="AY207" s="68">
        <v>0.70521861777150918</v>
      </c>
      <c r="AZ207" s="59">
        <v>0.16526791478373143</v>
      </c>
      <c r="BA207" s="59">
        <v>1.5534218856167473E-2</v>
      </c>
      <c r="BB207" s="81">
        <v>96</v>
      </c>
      <c r="BC207" s="49">
        <v>9.7482246610716601</v>
      </c>
      <c r="BD207" s="90" t="s">
        <v>83</v>
      </c>
      <c r="BE207" s="93">
        <v>0</v>
      </c>
      <c r="BF207" s="49">
        <v>9</v>
      </c>
      <c r="BG207" s="49">
        <v>3.3</v>
      </c>
      <c r="BH207" s="49">
        <v>2.8</v>
      </c>
      <c r="BI207" s="49">
        <v>1.5</v>
      </c>
      <c r="BJ207" s="85">
        <v>19.899999999999999</v>
      </c>
      <c r="BK207" s="129">
        <v>14385</v>
      </c>
      <c r="BL207" s="129">
        <v>53901</v>
      </c>
      <c r="BM207" s="129">
        <v>49047</v>
      </c>
      <c r="BN207" s="129">
        <v>47610</v>
      </c>
      <c r="BO207" s="59">
        <v>5.5999999999999999E-3</v>
      </c>
      <c r="BP207" s="59">
        <v>0.38640000000000002</v>
      </c>
      <c r="BQ207" s="59">
        <v>0.21629999999999999</v>
      </c>
      <c r="BR207" s="59">
        <v>0</v>
      </c>
      <c r="BS207" s="59">
        <v>1.12E-2</v>
      </c>
      <c r="BT207" s="49">
        <v>14.8</v>
      </c>
      <c r="BU207" s="59">
        <f t="shared" si="16"/>
        <v>0.61950000000000005</v>
      </c>
      <c r="BV207" s="59">
        <v>3.2899999999999999E-2</v>
      </c>
      <c r="BW207" s="59">
        <v>1.12E-2</v>
      </c>
      <c r="BX207" s="59">
        <v>3.9100000000000003E-2</v>
      </c>
      <c r="BY207" s="59">
        <v>0</v>
      </c>
      <c r="BZ207" s="59">
        <v>0</v>
      </c>
      <c r="CA207" s="49">
        <v>11.9</v>
      </c>
      <c r="CB207" s="59">
        <f t="shared" si="17"/>
        <v>8.3199999999999996E-2</v>
      </c>
      <c r="CC207" s="59">
        <v>0.2576</v>
      </c>
      <c r="CD207" s="125">
        <v>0.4199</v>
      </c>
      <c r="CE207" s="125">
        <v>0.31130000000000002</v>
      </c>
      <c r="CF207" s="125">
        <v>0</v>
      </c>
      <c r="CG207" s="125">
        <v>1.12E-2</v>
      </c>
      <c r="CH207" s="85">
        <v>13.6</v>
      </c>
      <c r="CI207" s="39" t="s">
        <v>327</v>
      </c>
      <c r="CJ207" s="18" t="s">
        <v>80</v>
      </c>
      <c r="CK207" s="20"/>
    </row>
    <row r="208" spans="1:89" x14ac:dyDescent="0.25">
      <c r="A208" s="18" t="s">
        <v>80</v>
      </c>
      <c r="B208" s="19" t="s">
        <v>328</v>
      </c>
      <c r="C208" s="39" t="s">
        <v>329</v>
      </c>
      <c r="D208" s="40">
        <v>22</v>
      </c>
      <c r="E208" s="40">
        <v>3</v>
      </c>
      <c r="F208" s="40">
        <v>19</v>
      </c>
      <c r="G208" s="166">
        <v>2</v>
      </c>
      <c r="H208" s="166">
        <v>1</v>
      </c>
      <c r="I208" s="162" t="s">
        <v>83</v>
      </c>
      <c r="J208" s="166">
        <v>1</v>
      </c>
      <c r="K208" s="166">
        <v>8</v>
      </c>
      <c r="L208" s="166">
        <v>2</v>
      </c>
      <c r="M208" s="166">
        <v>8</v>
      </c>
      <c r="N208" s="119">
        <v>4.4088176352705399E-2</v>
      </c>
      <c r="O208" s="119">
        <v>5.4913294797687903E-2</v>
      </c>
      <c r="P208" s="119">
        <v>2.7397260273972601E-2</v>
      </c>
      <c r="Q208" s="119">
        <v>1.2500000000000001E-2</v>
      </c>
      <c r="R208" s="116" t="s">
        <v>83</v>
      </c>
      <c r="S208" s="119">
        <v>1.2820512820512799E-2</v>
      </c>
      <c r="T208" s="119">
        <v>7.6190476190476197E-2</v>
      </c>
      <c r="U208" s="119">
        <v>2.8169014084507001E-2</v>
      </c>
      <c r="V208" s="119">
        <v>0.1</v>
      </c>
      <c r="W208" s="40">
        <v>433</v>
      </c>
      <c r="X208" s="40">
        <f t="shared" si="14"/>
        <v>302</v>
      </c>
      <c r="Y208" s="40">
        <f t="shared" si="15"/>
        <v>433</v>
      </c>
      <c r="Z208" s="105">
        <v>0.45300000000000001</v>
      </c>
      <c r="AA208" s="105">
        <v>0.54700000000000004</v>
      </c>
      <c r="AB208" s="106">
        <v>0</v>
      </c>
      <c r="AC208" s="106">
        <f>1/433</f>
        <v>2.3094688221709007E-3</v>
      </c>
      <c r="AD208" s="106">
        <f>405/433</f>
        <v>0.9353348729792148</v>
      </c>
      <c r="AE208" s="106">
        <f>4/433</f>
        <v>9.2378752886836026E-3</v>
      </c>
      <c r="AF208" s="106">
        <v>0</v>
      </c>
      <c r="AG208" s="106">
        <f>23/433</f>
        <v>5.3117782909930716E-2</v>
      </c>
      <c r="AH208" s="106">
        <v>0</v>
      </c>
      <c r="AI208" s="106">
        <f>410/433</f>
        <v>0.94688221709006926</v>
      </c>
      <c r="AJ208" s="105">
        <v>0.89607390300230949</v>
      </c>
      <c r="AK208" s="105">
        <v>0</v>
      </c>
      <c r="AL208" s="12">
        <v>66</v>
      </c>
      <c r="AM208" s="12">
        <v>65</v>
      </c>
      <c r="AN208" s="12">
        <v>0</v>
      </c>
      <c r="AO208" s="12">
        <v>77</v>
      </c>
      <c r="AP208" s="12">
        <v>86</v>
      </c>
      <c r="AQ208" s="12">
        <v>68</v>
      </c>
      <c r="AR208" s="12">
        <v>71</v>
      </c>
      <c r="AS208" s="59">
        <v>0</v>
      </c>
      <c r="AT208" s="3">
        <v>7</v>
      </c>
      <c r="AU208" s="3">
        <v>6</v>
      </c>
      <c r="AV208" s="54">
        <v>50.144092219020173</v>
      </c>
      <c r="AW208" s="54">
        <v>12.103746397694524</v>
      </c>
      <c r="AX208" s="54">
        <v>14.409221902017292</v>
      </c>
      <c r="AY208" s="68">
        <v>23.342939481268012</v>
      </c>
      <c r="AZ208" s="59">
        <v>3.100911562450024E-2</v>
      </c>
      <c r="BA208" s="59">
        <v>0.05</v>
      </c>
      <c r="BB208" s="81">
        <v>96</v>
      </c>
      <c r="BC208" s="84"/>
      <c r="BD208" s="49">
        <v>1.5</v>
      </c>
      <c r="BE208" s="49">
        <v>0</v>
      </c>
      <c r="BF208" s="49">
        <v>1.4</v>
      </c>
      <c r="BG208" s="49">
        <v>3.3</v>
      </c>
      <c r="BH208" s="49">
        <v>1.6</v>
      </c>
      <c r="BI208" s="49">
        <v>7</v>
      </c>
      <c r="BJ208" s="85">
        <v>16</v>
      </c>
      <c r="BK208" s="129">
        <v>12483</v>
      </c>
      <c r="BL208" s="129">
        <v>43875</v>
      </c>
      <c r="BM208" s="129">
        <v>54348</v>
      </c>
      <c r="BN208" s="129">
        <v>39416</v>
      </c>
      <c r="BO208" s="59">
        <v>0</v>
      </c>
      <c r="BP208" s="59">
        <v>0.34839999999999999</v>
      </c>
      <c r="BQ208" s="59">
        <v>0.27960000000000002</v>
      </c>
      <c r="BR208" s="59">
        <v>0</v>
      </c>
      <c r="BS208" s="59">
        <v>0</v>
      </c>
      <c r="BT208" s="49">
        <v>7.8</v>
      </c>
      <c r="BU208" s="59">
        <f t="shared" si="16"/>
        <v>0.628</v>
      </c>
      <c r="BV208" s="59">
        <v>1.8599999999999998E-2</v>
      </c>
      <c r="BW208" s="59">
        <v>0</v>
      </c>
      <c r="BX208" s="59">
        <v>3.7199999999999997E-2</v>
      </c>
      <c r="BY208" s="59">
        <v>0</v>
      </c>
      <c r="BZ208" s="59">
        <v>0</v>
      </c>
      <c r="CA208" s="49">
        <v>6.7</v>
      </c>
      <c r="CB208" s="59">
        <f t="shared" si="17"/>
        <v>5.5799999999999995E-2</v>
      </c>
      <c r="CC208" s="59">
        <v>0.26790000000000003</v>
      </c>
      <c r="CD208" s="125">
        <v>0.378</v>
      </c>
      <c r="CE208" s="125">
        <v>0.35410000000000003</v>
      </c>
      <c r="CF208" s="125">
        <v>0</v>
      </c>
      <c r="CG208" s="125">
        <v>0</v>
      </c>
      <c r="CH208" s="85">
        <v>8.1</v>
      </c>
      <c r="CI208" s="39" t="s">
        <v>329</v>
      </c>
      <c r="CJ208" s="18" t="s">
        <v>80</v>
      </c>
      <c r="CK208" s="20"/>
    </row>
    <row r="209" spans="1:89" x14ac:dyDescent="0.25">
      <c r="A209" s="18" t="s">
        <v>80</v>
      </c>
      <c r="B209" s="19" t="s">
        <v>330</v>
      </c>
      <c r="C209" s="39" t="s">
        <v>331</v>
      </c>
      <c r="D209" s="40">
        <v>17</v>
      </c>
      <c r="E209" s="40">
        <v>0</v>
      </c>
      <c r="F209" s="40">
        <v>17</v>
      </c>
      <c r="G209" s="166">
        <v>0</v>
      </c>
      <c r="H209" s="166">
        <v>0</v>
      </c>
      <c r="I209" s="166">
        <v>2</v>
      </c>
      <c r="J209" s="166">
        <v>8</v>
      </c>
      <c r="K209" s="166">
        <v>4</v>
      </c>
      <c r="L209" s="166">
        <v>1</v>
      </c>
      <c r="M209" s="166">
        <v>2</v>
      </c>
      <c r="N209" s="119">
        <v>1.66015625E-2</v>
      </c>
      <c r="O209" s="119">
        <v>2.59146341463415E-2</v>
      </c>
      <c r="P209" s="119">
        <v>0</v>
      </c>
      <c r="Q209" s="119">
        <v>0</v>
      </c>
      <c r="R209" s="119">
        <v>0.133333333333333</v>
      </c>
      <c r="S209" s="119">
        <v>4.57142857142857E-2</v>
      </c>
      <c r="T209" s="119">
        <v>2.7586206896551699E-2</v>
      </c>
      <c r="U209" s="119">
        <v>5.5865921787709499E-3</v>
      </c>
      <c r="V209" s="119">
        <v>1.4084507042253501E-2</v>
      </c>
      <c r="W209" s="40">
        <v>977</v>
      </c>
      <c r="X209" s="40">
        <f t="shared" si="14"/>
        <v>628</v>
      </c>
      <c r="Y209" s="40">
        <f t="shared" si="15"/>
        <v>977</v>
      </c>
      <c r="Z209" s="105">
        <v>0.51600000000000001</v>
      </c>
      <c r="AA209" s="105">
        <v>0.48399999999999999</v>
      </c>
      <c r="AB209" s="106">
        <v>0</v>
      </c>
      <c r="AC209" s="106">
        <f>4/977</f>
        <v>4.0941658137154556E-3</v>
      </c>
      <c r="AD209" s="106">
        <f>503/977</f>
        <v>0.51484135107471851</v>
      </c>
      <c r="AE209" s="106">
        <f>5/977</f>
        <v>5.1177072671443197E-3</v>
      </c>
      <c r="AF209" s="106">
        <f>1/977</f>
        <v>1.0235414534288639E-3</v>
      </c>
      <c r="AG209" s="106">
        <f>461/977</f>
        <v>0.47185261003070622</v>
      </c>
      <c r="AH209" s="106">
        <f>3/977</f>
        <v>3.0706243602865915E-3</v>
      </c>
      <c r="AI209" s="106">
        <f>516/977</f>
        <v>0.52814738996929378</v>
      </c>
      <c r="AJ209" s="105">
        <v>0.55066530194472874</v>
      </c>
      <c r="AK209" s="105">
        <v>2E-3</v>
      </c>
      <c r="AL209" s="12">
        <v>177</v>
      </c>
      <c r="AM209" s="12">
        <v>172</v>
      </c>
      <c r="AN209" s="12">
        <v>18</v>
      </c>
      <c r="AO209" s="12">
        <v>159</v>
      </c>
      <c r="AP209" s="12">
        <v>140</v>
      </c>
      <c r="AQ209" s="12">
        <v>173</v>
      </c>
      <c r="AR209" s="12">
        <v>138</v>
      </c>
      <c r="AS209" s="59">
        <v>0.10169491525423729</v>
      </c>
      <c r="AT209" s="3">
        <v>7</v>
      </c>
      <c r="AU209" s="3">
        <v>6</v>
      </c>
      <c r="AV209" s="54">
        <v>71.973466003316759</v>
      </c>
      <c r="AW209" s="54">
        <v>21.558872305140962</v>
      </c>
      <c r="AX209" s="54">
        <v>6.3018242122719741</v>
      </c>
      <c r="AY209" s="68">
        <v>0.16583747927031509</v>
      </c>
      <c r="AZ209" s="59">
        <v>0.25936883629191321</v>
      </c>
      <c r="BA209" s="59">
        <v>0.24260355029585798</v>
      </c>
      <c r="BB209" s="77">
        <v>94.475904497504104</v>
      </c>
      <c r="BC209" s="49">
        <v>1.5748031496063</v>
      </c>
      <c r="BD209" s="93">
        <v>0</v>
      </c>
      <c r="BE209" s="93">
        <v>0</v>
      </c>
      <c r="BF209" s="49">
        <v>7.9</v>
      </c>
      <c r="BG209" s="49">
        <v>0.8</v>
      </c>
      <c r="BH209" s="49">
        <v>4.8</v>
      </c>
      <c r="BI209" s="49">
        <v>1.4</v>
      </c>
      <c r="BJ209" s="85">
        <v>19.600000000000001</v>
      </c>
      <c r="BK209" s="129">
        <v>14281</v>
      </c>
      <c r="BL209" s="129">
        <v>59545</v>
      </c>
      <c r="BM209" s="129">
        <v>57518</v>
      </c>
      <c r="BN209" s="129">
        <v>52444</v>
      </c>
      <c r="BO209" s="59">
        <v>9.9000000000000008E-3</v>
      </c>
      <c r="BP209" s="59">
        <v>0.31490000000000001</v>
      </c>
      <c r="BQ209" s="59">
        <v>0.19769999999999999</v>
      </c>
      <c r="BR209" s="59">
        <v>0</v>
      </c>
      <c r="BS209" s="59">
        <v>7.1999999999999998E-3</v>
      </c>
      <c r="BT209" s="49">
        <v>11.5</v>
      </c>
      <c r="BU209" s="59">
        <f t="shared" si="16"/>
        <v>0.52969999999999995</v>
      </c>
      <c r="BV209" s="59">
        <v>3.95E-2</v>
      </c>
      <c r="BW209" s="59">
        <v>6.8999999999999999E-3</v>
      </c>
      <c r="BX209" s="59">
        <v>2.9600000000000001E-2</v>
      </c>
      <c r="BY209" s="59">
        <v>0</v>
      </c>
      <c r="BZ209" s="59">
        <v>9.9000000000000008E-3</v>
      </c>
      <c r="CA209" s="49">
        <v>18.100000000000001</v>
      </c>
      <c r="CB209" s="59">
        <f t="shared" si="17"/>
        <v>8.5900000000000004E-2</v>
      </c>
      <c r="CC209" s="59">
        <v>0.2661</v>
      </c>
      <c r="CD209" s="125">
        <v>0.39939999999999998</v>
      </c>
      <c r="CE209" s="125">
        <v>0.2923</v>
      </c>
      <c r="CF209" s="125">
        <v>2.24E-2</v>
      </c>
      <c r="CG209" s="125">
        <v>1.9800000000000002E-2</v>
      </c>
      <c r="CH209" s="85">
        <v>12.6</v>
      </c>
      <c r="CI209" s="39" t="s">
        <v>331</v>
      </c>
      <c r="CJ209" s="18" t="s">
        <v>80</v>
      </c>
      <c r="CK209" s="20"/>
    </row>
    <row r="210" spans="1:89" x14ac:dyDescent="0.25">
      <c r="A210" s="18" t="s">
        <v>80</v>
      </c>
      <c r="B210" s="19" t="s">
        <v>330</v>
      </c>
      <c r="C210" s="39" t="s">
        <v>332</v>
      </c>
      <c r="D210" s="40">
        <v>19</v>
      </c>
      <c r="E210" s="40">
        <v>1</v>
      </c>
      <c r="F210" s="40">
        <v>18</v>
      </c>
      <c r="G210" s="166">
        <v>0</v>
      </c>
      <c r="H210" s="166">
        <v>1</v>
      </c>
      <c r="I210" s="166">
        <v>0</v>
      </c>
      <c r="J210" s="166">
        <v>4</v>
      </c>
      <c r="K210" s="166">
        <v>3</v>
      </c>
      <c r="L210" s="166">
        <v>3</v>
      </c>
      <c r="M210" s="166">
        <v>8</v>
      </c>
      <c r="N210" s="119">
        <v>2.6573426573426599E-2</v>
      </c>
      <c r="O210" s="119">
        <v>3.8461538461538498E-2</v>
      </c>
      <c r="P210" s="119">
        <v>0</v>
      </c>
      <c r="Q210" s="119">
        <v>8.0000000000000002E-3</v>
      </c>
      <c r="R210" s="119">
        <v>0</v>
      </c>
      <c r="S210" s="119">
        <v>2.7777777777777801E-2</v>
      </c>
      <c r="T210" s="119">
        <v>2.4390243902439001E-2</v>
      </c>
      <c r="U210" s="119">
        <v>3.5714285714285698E-2</v>
      </c>
      <c r="V210" s="119">
        <v>7.4766355140186896E-2</v>
      </c>
      <c r="W210" s="40">
        <v>656</v>
      </c>
      <c r="X210" s="40">
        <f t="shared" si="14"/>
        <v>438</v>
      </c>
      <c r="Y210" s="40">
        <f t="shared" si="15"/>
        <v>656</v>
      </c>
      <c r="Z210" s="105">
        <v>0.48599999999999999</v>
      </c>
      <c r="AA210" s="105">
        <v>0.51400000000000001</v>
      </c>
      <c r="AB210" s="106">
        <v>0</v>
      </c>
      <c r="AC210" s="106">
        <v>0</v>
      </c>
      <c r="AD210" s="106">
        <f>514/656</f>
        <v>0.78353658536585369</v>
      </c>
      <c r="AE210" s="106">
        <f>6/656</f>
        <v>9.1463414634146336E-3</v>
      </c>
      <c r="AF210" s="106">
        <v>0</v>
      </c>
      <c r="AG210" s="106">
        <f>130/656</f>
        <v>0.19817073170731708</v>
      </c>
      <c r="AH210" s="106">
        <f>6/656</f>
        <v>9.1463414634146336E-3</v>
      </c>
      <c r="AI210" s="106">
        <f>526/656</f>
        <v>0.80182926829268297</v>
      </c>
      <c r="AJ210" s="105">
        <v>0.65701219512195119</v>
      </c>
      <c r="AK210" s="105">
        <v>0</v>
      </c>
      <c r="AL210" s="12">
        <v>105</v>
      </c>
      <c r="AM210" s="12">
        <v>113</v>
      </c>
      <c r="AN210" s="12">
        <v>12</v>
      </c>
      <c r="AO210" s="12">
        <v>133</v>
      </c>
      <c r="AP210" s="12">
        <v>117</v>
      </c>
      <c r="AQ210" s="12">
        <v>83</v>
      </c>
      <c r="AR210" s="12">
        <v>93</v>
      </c>
      <c r="AS210" s="59">
        <v>8.2758620689655171E-2</v>
      </c>
      <c r="AT210" s="3">
        <v>7</v>
      </c>
      <c r="AU210" s="3">
        <v>6</v>
      </c>
      <c r="AV210" s="54">
        <v>82.213438735177874</v>
      </c>
      <c r="AW210" s="54">
        <v>15.810276679841898</v>
      </c>
      <c r="AX210" s="54">
        <v>1.7786561264822136</v>
      </c>
      <c r="AY210" s="68">
        <v>0.19762845849802371</v>
      </c>
      <c r="AZ210" s="59">
        <v>0.30508474576271188</v>
      </c>
      <c r="BA210" s="59">
        <v>0.23728813559322035</v>
      </c>
      <c r="BB210" s="81">
        <v>96</v>
      </c>
      <c r="BC210" s="49">
        <v>2.4011299435028199</v>
      </c>
      <c r="BD210" s="49">
        <v>1.8</v>
      </c>
      <c r="BE210" s="49">
        <v>1.1000000000000001</v>
      </c>
      <c r="BF210" s="49">
        <v>0.8</v>
      </c>
      <c r="BG210" s="49">
        <v>0</v>
      </c>
      <c r="BH210" s="49">
        <v>0</v>
      </c>
      <c r="BI210" s="49">
        <v>3.2</v>
      </c>
      <c r="BJ210" s="85">
        <v>18.100000000000001</v>
      </c>
      <c r="BK210" s="129">
        <v>17777</v>
      </c>
      <c r="BL210" s="129">
        <v>58331</v>
      </c>
      <c r="BM210" s="129">
        <v>58789</v>
      </c>
      <c r="BN210" s="129">
        <v>50427</v>
      </c>
      <c r="BO210" s="59">
        <v>8.0999999999999996E-3</v>
      </c>
      <c r="BP210" s="59">
        <v>0.32450000000000001</v>
      </c>
      <c r="BQ210" s="59">
        <v>0.18240000000000001</v>
      </c>
      <c r="BR210" s="59">
        <v>1.04E-2</v>
      </c>
      <c r="BS210" s="59">
        <v>1.04E-2</v>
      </c>
      <c r="BT210" s="49">
        <v>11.9</v>
      </c>
      <c r="BU210" s="59">
        <f t="shared" si="16"/>
        <v>0.53579999999999994</v>
      </c>
      <c r="BV210" s="59">
        <v>4.1599999999999998E-2</v>
      </c>
      <c r="BW210" s="59">
        <v>0</v>
      </c>
      <c r="BX210" s="59">
        <v>6.25E-2</v>
      </c>
      <c r="BY210" s="59">
        <v>0</v>
      </c>
      <c r="BZ210" s="59">
        <v>0</v>
      </c>
      <c r="CA210" s="49">
        <v>18.5</v>
      </c>
      <c r="CB210" s="59">
        <f t="shared" si="17"/>
        <v>0.1041</v>
      </c>
      <c r="CC210" s="59">
        <v>0.25209999999999999</v>
      </c>
      <c r="CD210" s="125">
        <v>0.43740000000000001</v>
      </c>
      <c r="CE210" s="125">
        <v>0.28439999999999999</v>
      </c>
      <c r="CF210" s="125">
        <v>1.5599999999999999E-2</v>
      </c>
      <c r="CG210" s="125">
        <v>1.04E-2</v>
      </c>
      <c r="CH210" s="85">
        <v>12.7</v>
      </c>
      <c r="CI210" s="39" t="s">
        <v>332</v>
      </c>
      <c r="CJ210" s="18" t="s">
        <v>80</v>
      </c>
      <c r="CK210" s="20"/>
    </row>
    <row r="211" spans="1:89" x14ac:dyDescent="0.25">
      <c r="A211" s="18" t="s">
        <v>80</v>
      </c>
      <c r="B211" s="19" t="s">
        <v>333</v>
      </c>
      <c r="C211" s="39" t="s">
        <v>334</v>
      </c>
      <c r="D211" s="40">
        <v>57</v>
      </c>
      <c r="E211" s="40" t="s">
        <v>83</v>
      </c>
      <c r="F211" s="40">
        <v>57</v>
      </c>
      <c r="G211" s="162" t="s">
        <v>83</v>
      </c>
      <c r="H211" s="162" t="s">
        <v>83</v>
      </c>
      <c r="I211" s="166">
        <v>2</v>
      </c>
      <c r="J211" s="166">
        <v>16</v>
      </c>
      <c r="K211" s="166">
        <v>17</v>
      </c>
      <c r="L211" s="166">
        <v>10</v>
      </c>
      <c r="M211" s="166">
        <v>12</v>
      </c>
      <c r="N211" s="119">
        <v>3.82293762575453E-2</v>
      </c>
      <c r="O211" s="119">
        <v>3.82293762575453E-2</v>
      </c>
      <c r="P211" s="116" t="s">
        <v>83</v>
      </c>
      <c r="Q211" s="116" t="s">
        <v>83</v>
      </c>
      <c r="R211" s="119">
        <v>6.6666666666666693E-2</v>
      </c>
      <c r="S211" s="119">
        <v>3.6281179138322003E-2</v>
      </c>
      <c r="T211" s="119">
        <v>4.2821158690176303E-2</v>
      </c>
      <c r="U211" s="119">
        <v>3.4013605442176902E-2</v>
      </c>
      <c r="V211" s="119">
        <v>3.64741641337386E-2</v>
      </c>
      <c r="W211" s="40">
        <v>1366</v>
      </c>
      <c r="X211" s="40">
        <f t="shared" si="14"/>
        <v>1366</v>
      </c>
      <c r="Y211" s="40">
        <f t="shared" si="15"/>
        <v>1366</v>
      </c>
      <c r="Z211" s="105">
        <v>0.51</v>
      </c>
      <c r="AA211" s="105">
        <v>0.49099999999999999</v>
      </c>
      <c r="AB211" s="106">
        <f>1/1366</f>
        <v>7.320644216691069E-4</v>
      </c>
      <c r="AC211" s="106">
        <f>7/1366</f>
        <v>5.1244509516837483E-3</v>
      </c>
      <c r="AD211" s="106">
        <f>1086/1366</f>
        <v>0.79502196193265007</v>
      </c>
      <c r="AE211" s="106">
        <f>81/1366</f>
        <v>5.9297218155197659E-2</v>
      </c>
      <c r="AF211" s="106">
        <v>0</v>
      </c>
      <c r="AG211" s="106">
        <f>190/1366</f>
        <v>0.13909224011713031</v>
      </c>
      <c r="AH211" s="106">
        <f>1/1366</f>
        <v>7.320644216691069E-4</v>
      </c>
      <c r="AI211" s="106">
        <f>1176/1366</f>
        <v>0.86090775988286972</v>
      </c>
      <c r="AJ211" s="105">
        <v>0.73133235724743773</v>
      </c>
      <c r="AK211" s="105">
        <v>1.4E-2</v>
      </c>
      <c r="AL211" s="12">
        <v>0</v>
      </c>
      <c r="AM211" s="12">
        <v>0</v>
      </c>
      <c r="AN211" s="12">
        <v>29</v>
      </c>
      <c r="AO211" s="12">
        <v>393</v>
      </c>
      <c r="AP211" s="12">
        <v>360</v>
      </c>
      <c r="AQ211" s="12">
        <v>297</v>
      </c>
      <c r="AR211" s="12">
        <v>287</v>
      </c>
      <c r="AS211" s="59">
        <v>6.8720379146919433E-2</v>
      </c>
      <c r="AT211" s="3">
        <v>9</v>
      </c>
      <c r="AU211" s="3">
        <v>6</v>
      </c>
      <c r="AV211" s="54">
        <v>61.53846153846154</v>
      </c>
      <c r="AW211" s="54">
        <v>23.776223776223777</v>
      </c>
      <c r="AX211" s="54">
        <v>14.125874125874127</v>
      </c>
      <c r="AY211" s="68">
        <v>0.55944055944055948</v>
      </c>
      <c r="AZ211" s="59">
        <v>0.35266030013642563</v>
      </c>
      <c r="BA211" s="59">
        <v>0.13369713506139155</v>
      </c>
      <c r="BB211" s="76">
        <v>93.239428522043198</v>
      </c>
      <c r="BC211" s="49">
        <v>24.7811447811448</v>
      </c>
      <c r="BD211" s="90" t="s">
        <v>83</v>
      </c>
      <c r="BE211" s="90" t="s">
        <v>83</v>
      </c>
      <c r="BF211" s="49">
        <v>9.3000000000000007</v>
      </c>
      <c r="BG211" s="49">
        <v>7.6</v>
      </c>
      <c r="BH211" s="49">
        <v>1.9</v>
      </c>
      <c r="BI211" s="49">
        <v>6.2</v>
      </c>
      <c r="BJ211" s="85">
        <v>17.8</v>
      </c>
      <c r="BK211" s="129">
        <v>13810</v>
      </c>
      <c r="BL211" s="129">
        <v>47532</v>
      </c>
      <c r="BM211" s="129">
        <v>48646</v>
      </c>
      <c r="BN211" s="129">
        <v>42764</v>
      </c>
      <c r="BO211" s="59">
        <v>1.04E-2</v>
      </c>
      <c r="BP211" s="59">
        <v>0.32219999999999999</v>
      </c>
      <c r="BQ211" s="59">
        <v>0.2792</v>
      </c>
      <c r="BR211" s="59">
        <v>0</v>
      </c>
      <c r="BS211" s="59">
        <v>0</v>
      </c>
      <c r="BT211" s="49">
        <v>13.9</v>
      </c>
      <c r="BU211" s="59">
        <f t="shared" si="16"/>
        <v>0.61180000000000001</v>
      </c>
      <c r="BV211" s="59">
        <v>3.9100000000000003E-2</v>
      </c>
      <c r="BW211" s="59">
        <v>0</v>
      </c>
      <c r="BX211" s="59">
        <v>4.4400000000000002E-2</v>
      </c>
      <c r="BY211" s="59">
        <v>0</v>
      </c>
      <c r="BZ211" s="59">
        <v>0</v>
      </c>
      <c r="CA211" s="49">
        <v>16.600000000000001</v>
      </c>
      <c r="CB211" s="59">
        <f t="shared" si="17"/>
        <v>8.3500000000000005E-2</v>
      </c>
      <c r="CC211" s="59">
        <v>0.27329999999999999</v>
      </c>
      <c r="CD211" s="125">
        <v>0.34570000000000001</v>
      </c>
      <c r="CE211" s="125">
        <v>0.37830000000000003</v>
      </c>
      <c r="CF211" s="125">
        <v>0</v>
      </c>
      <c r="CG211" s="125">
        <v>2.5999999999999999E-3</v>
      </c>
      <c r="CH211" s="85">
        <v>14.2</v>
      </c>
      <c r="CI211" s="39" t="s">
        <v>334</v>
      </c>
      <c r="CJ211" s="18" t="s">
        <v>80</v>
      </c>
      <c r="CK211" s="20"/>
    </row>
    <row r="212" spans="1:89" x14ac:dyDescent="0.25">
      <c r="A212" s="18" t="s">
        <v>80</v>
      </c>
      <c r="B212" s="19" t="s">
        <v>333</v>
      </c>
      <c r="C212" s="39" t="s">
        <v>335</v>
      </c>
      <c r="D212" s="40">
        <v>2</v>
      </c>
      <c r="E212" s="40">
        <v>0</v>
      </c>
      <c r="F212" s="40">
        <v>2</v>
      </c>
      <c r="G212" s="162" t="s">
        <v>83</v>
      </c>
      <c r="H212" s="166">
        <v>0</v>
      </c>
      <c r="I212" s="166">
        <v>0</v>
      </c>
      <c r="J212" s="166">
        <v>1</v>
      </c>
      <c r="K212" s="166">
        <v>0</v>
      </c>
      <c r="L212" s="166">
        <v>1</v>
      </c>
      <c r="M212" s="166">
        <v>0</v>
      </c>
      <c r="N212" s="119">
        <v>9.3457943925233603E-3</v>
      </c>
      <c r="O212" s="119">
        <v>1.16279069767442E-2</v>
      </c>
      <c r="P212" s="116" t="s">
        <v>83</v>
      </c>
      <c r="Q212" s="119">
        <v>0</v>
      </c>
      <c r="R212" s="119">
        <v>0</v>
      </c>
      <c r="S212" s="119">
        <v>2.5641025641025599E-2</v>
      </c>
      <c r="T212" s="119">
        <v>0</v>
      </c>
      <c r="U212" s="119">
        <v>0.02</v>
      </c>
      <c r="V212" s="119">
        <v>0</v>
      </c>
      <c r="W212" s="40">
        <v>201</v>
      </c>
      <c r="X212" s="40">
        <f t="shared" si="14"/>
        <v>164</v>
      </c>
      <c r="Y212" s="40">
        <f t="shared" si="15"/>
        <v>201</v>
      </c>
      <c r="Z212" s="105">
        <v>0.443</v>
      </c>
      <c r="AA212" s="105">
        <v>0.55700000000000005</v>
      </c>
      <c r="AB212" s="106">
        <v>0</v>
      </c>
      <c r="AC212" s="106">
        <f>1/201</f>
        <v>4.9751243781094526E-3</v>
      </c>
      <c r="AD212" s="106">
        <f>197/201</f>
        <v>0.98009950248756217</v>
      </c>
      <c r="AE212" s="106">
        <f>2/201</f>
        <v>9.9502487562189053E-3</v>
      </c>
      <c r="AF212" s="106">
        <v>0</v>
      </c>
      <c r="AG212" s="106">
        <f>1/201</f>
        <v>4.9751243781094526E-3</v>
      </c>
      <c r="AH212" s="106">
        <v>0</v>
      </c>
      <c r="AI212" s="106">
        <f>200/201</f>
        <v>0.99502487562189057</v>
      </c>
      <c r="AJ212" s="105">
        <v>0.72139303482587069</v>
      </c>
      <c r="AK212" s="105">
        <v>0</v>
      </c>
      <c r="AL212" s="12">
        <v>0</v>
      </c>
      <c r="AM212" s="12">
        <v>37</v>
      </c>
      <c r="AN212" s="12">
        <v>2</v>
      </c>
      <c r="AO212" s="12">
        <v>34</v>
      </c>
      <c r="AP212" s="12">
        <v>50</v>
      </c>
      <c r="AQ212" s="12">
        <v>48</v>
      </c>
      <c r="AR212" s="12">
        <v>30</v>
      </c>
      <c r="AS212" s="59">
        <v>5.5555555555555552E-2</v>
      </c>
      <c r="AT212" s="3">
        <v>8</v>
      </c>
      <c r="AU212" s="3">
        <v>6</v>
      </c>
      <c r="AV212" s="54">
        <v>93.129770992366417</v>
      </c>
      <c r="AW212" s="54">
        <v>6.1068702290076331</v>
      </c>
      <c r="AX212" s="54">
        <v>0.76335877862595414</v>
      </c>
      <c r="AY212" s="68">
        <v>0</v>
      </c>
      <c r="AZ212" s="59">
        <v>0.2102803738317757</v>
      </c>
      <c r="BA212" s="59">
        <v>0.16355140186915887</v>
      </c>
      <c r="BB212" s="81">
        <v>96</v>
      </c>
      <c r="BC212" s="49">
        <v>20.7373271889401</v>
      </c>
      <c r="BD212" s="90" t="s">
        <v>83</v>
      </c>
      <c r="BE212" s="49">
        <v>0</v>
      </c>
      <c r="BF212" s="49">
        <v>2.8</v>
      </c>
      <c r="BG212" s="49">
        <v>2</v>
      </c>
      <c r="BH212" s="49">
        <v>0</v>
      </c>
      <c r="BI212" s="49">
        <v>0</v>
      </c>
      <c r="BJ212" s="85">
        <v>20</v>
      </c>
      <c r="BK212" s="129">
        <v>17572</v>
      </c>
      <c r="BL212" s="129">
        <v>50759</v>
      </c>
      <c r="BM212" s="129">
        <v>58718</v>
      </c>
      <c r="BN212" s="129">
        <v>44895</v>
      </c>
      <c r="BO212" s="59">
        <v>0</v>
      </c>
      <c r="BP212" s="59">
        <v>0.41620000000000001</v>
      </c>
      <c r="BQ212" s="59">
        <v>0.14560000000000001</v>
      </c>
      <c r="BR212" s="59">
        <v>0</v>
      </c>
      <c r="BS212" s="59">
        <v>2.5700000000000001E-2</v>
      </c>
      <c r="BT212" s="49">
        <v>8.1999999999999993</v>
      </c>
      <c r="BU212" s="59">
        <f t="shared" si="16"/>
        <v>0.58750000000000013</v>
      </c>
      <c r="BV212" s="59">
        <v>2.5700000000000001E-2</v>
      </c>
      <c r="BW212" s="59">
        <v>0</v>
      </c>
      <c r="BX212" s="59">
        <v>6.4199999999999993E-2</v>
      </c>
      <c r="BY212" s="59">
        <v>0</v>
      </c>
      <c r="BZ212" s="59">
        <v>0</v>
      </c>
      <c r="CA212" s="49">
        <v>11.6</v>
      </c>
      <c r="CB212" s="59">
        <f t="shared" si="17"/>
        <v>8.9899999999999994E-2</v>
      </c>
      <c r="CC212" s="59">
        <v>0.27550000000000002</v>
      </c>
      <c r="CD212" s="125">
        <v>0.45469999999999999</v>
      </c>
      <c r="CE212" s="125">
        <v>0.24410000000000001</v>
      </c>
      <c r="CF212" s="125">
        <v>0</v>
      </c>
      <c r="CG212" s="125">
        <v>2.5700000000000001E-2</v>
      </c>
      <c r="CH212" s="85">
        <v>8.8000000000000007</v>
      </c>
      <c r="CI212" s="39" t="s">
        <v>335</v>
      </c>
      <c r="CJ212" s="18" t="s">
        <v>80</v>
      </c>
      <c r="CK212" s="20"/>
    </row>
    <row r="213" spans="1:89" x14ac:dyDescent="0.25">
      <c r="A213" s="18" t="s">
        <v>80</v>
      </c>
      <c r="B213" s="19" t="s">
        <v>336</v>
      </c>
      <c r="C213" s="39" t="s">
        <v>337</v>
      </c>
      <c r="D213" s="40">
        <v>16</v>
      </c>
      <c r="E213" s="40" t="s">
        <v>83</v>
      </c>
      <c r="F213" s="40">
        <v>16</v>
      </c>
      <c r="G213" s="162" t="s">
        <v>83</v>
      </c>
      <c r="H213" s="162" t="s">
        <v>83</v>
      </c>
      <c r="I213" s="166">
        <v>0</v>
      </c>
      <c r="J213" s="166">
        <v>4</v>
      </c>
      <c r="K213" s="166">
        <v>7</v>
      </c>
      <c r="L213" s="166">
        <v>1</v>
      </c>
      <c r="M213" s="166">
        <v>4</v>
      </c>
      <c r="N213" s="119">
        <v>2.2284122562674102E-2</v>
      </c>
      <c r="O213" s="119">
        <v>2.2284122562674102E-2</v>
      </c>
      <c r="P213" s="116" t="s">
        <v>83</v>
      </c>
      <c r="Q213" s="116" t="s">
        <v>83</v>
      </c>
      <c r="R213" s="119">
        <v>0</v>
      </c>
      <c r="S213" s="119">
        <v>1.8018018018018001E-2</v>
      </c>
      <c r="T213" s="119">
        <v>0.04</v>
      </c>
      <c r="U213" s="119">
        <v>5.8139534883720903E-3</v>
      </c>
      <c r="V213" s="119">
        <v>2.8368794326241099E-2</v>
      </c>
      <c r="W213" s="40">
        <v>679</v>
      </c>
      <c r="X213" s="40">
        <f t="shared" si="14"/>
        <v>679</v>
      </c>
      <c r="Y213" s="40">
        <f t="shared" si="15"/>
        <v>679</v>
      </c>
      <c r="Z213" s="105">
        <v>0.505</v>
      </c>
      <c r="AA213" s="105">
        <v>0.495</v>
      </c>
      <c r="AB213" s="106">
        <v>0</v>
      </c>
      <c r="AC213" s="106">
        <f>3/679</f>
        <v>4.418262150220913E-3</v>
      </c>
      <c r="AD213" s="106">
        <f>261/679</f>
        <v>0.38438880706921946</v>
      </c>
      <c r="AE213" s="106">
        <f>11/679</f>
        <v>1.6200294550810016E-2</v>
      </c>
      <c r="AF213" s="106">
        <f>2/679</f>
        <v>2.9455081001472753E-3</v>
      </c>
      <c r="AG213" s="106">
        <f>402/679</f>
        <v>0.59204712812960236</v>
      </c>
      <c r="AH213" s="106">
        <v>0</v>
      </c>
      <c r="AI213" s="106">
        <f>277/679</f>
        <v>0.40795287187039764</v>
      </c>
      <c r="AJ213" s="105">
        <v>0.71723122238586157</v>
      </c>
      <c r="AK213" s="105">
        <v>7.0000000000000001E-3</v>
      </c>
      <c r="AL213" s="12">
        <v>0</v>
      </c>
      <c r="AM213" s="12">
        <v>0</v>
      </c>
      <c r="AN213" s="12">
        <v>4</v>
      </c>
      <c r="AO213" s="12">
        <v>209</v>
      </c>
      <c r="AP213" s="12">
        <v>167</v>
      </c>
      <c r="AQ213" s="12">
        <v>167</v>
      </c>
      <c r="AR213" s="12">
        <v>132</v>
      </c>
      <c r="AS213" s="59">
        <v>1.8779342723004695E-2</v>
      </c>
      <c r="AT213" s="3">
        <v>9</v>
      </c>
      <c r="AU213" s="3">
        <v>6</v>
      </c>
      <c r="AV213" s="54">
        <v>64.01273885350318</v>
      </c>
      <c r="AW213" s="54">
        <v>23.248407643312103</v>
      </c>
      <c r="AX213" s="54">
        <v>12.101910828025478</v>
      </c>
      <c r="AY213" s="68">
        <v>0.63694267515923575</v>
      </c>
      <c r="AZ213" s="59">
        <v>0.19322990126939352</v>
      </c>
      <c r="BA213" s="59">
        <v>0.20592383638928069</v>
      </c>
      <c r="BB213" s="76">
        <v>92.547498782764293</v>
      </c>
      <c r="BC213" s="49">
        <v>0.141043723554302</v>
      </c>
      <c r="BD213" s="90" t="s">
        <v>83</v>
      </c>
      <c r="BE213" s="90" t="s">
        <v>83</v>
      </c>
      <c r="BF213" s="49">
        <v>18.100000000000001</v>
      </c>
      <c r="BG213" s="49">
        <v>6.7</v>
      </c>
      <c r="BH213" s="49">
        <v>0.6</v>
      </c>
      <c r="BI213" s="49">
        <v>0</v>
      </c>
      <c r="BJ213" s="85">
        <v>18.600000000000001</v>
      </c>
      <c r="BK213" s="129">
        <v>8254</v>
      </c>
      <c r="BL213" s="129">
        <v>58287</v>
      </c>
      <c r="BM213" s="129">
        <v>50432</v>
      </c>
      <c r="BN213" s="129">
        <v>44611</v>
      </c>
      <c r="BO213" s="59">
        <v>0</v>
      </c>
      <c r="BP213" s="59">
        <v>0</v>
      </c>
      <c r="BQ213" s="59">
        <v>7.2700000000000001E-2</v>
      </c>
      <c r="BR213" s="59">
        <v>0</v>
      </c>
      <c r="BS213" s="59">
        <v>0</v>
      </c>
      <c r="BT213" s="49">
        <v>24.8</v>
      </c>
      <c r="BU213" s="59">
        <f t="shared" si="16"/>
        <v>7.2700000000000001E-2</v>
      </c>
      <c r="BV213" s="59">
        <v>2.7300000000000001E-2</v>
      </c>
      <c r="BW213" s="59">
        <v>0</v>
      </c>
      <c r="BX213" s="59">
        <v>1.8200000000000001E-2</v>
      </c>
      <c r="BY213" s="59">
        <v>0</v>
      </c>
      <c r="BZ213" s="59">
        <v>0</v>
      </c>
      <c r="CA213" s="49">
        <v>23.7</v>
      </c>
      <c r="CB213" s="59">
        <f t="shared" si="17"/>
        <v>4.5499999999999999E-2</v>
      </c>
      <c r="CC213" s="59">
        <v>0.19270000000000001</v>
      </c>
      <c r="CD213" s="125">
        <v>0.53090000000000004</v>
      </c>
      <c r="CE213" s="125">
        <v>0.27639999999999998</v>
      </c>
      <c r="CF213" s="125">
        <v>0</v>
      </c>
      <c r="CG213" s="125">
        <v>0</v>
      </c>
      <c r="CH213" s="85">
        <v>15.9</v>
      </c>
      <c r="CI213" s="39" t="s">
        <v>337</v>
      </c>
      <c r="CJ213" s="18" t="s">
        <v>80</v>
      </c>
      <c r="CK213" s="20"/>
    </row>
    <row r="214" spans="1:89" x14ac:dyDescent="0.25">
      <c r="A214" s="18" t="s">
        <v>80</v>
      </c>
      <c r="B214" s="19" t="s">
        <v>336</v>
      </c>
      <c r="C214" s="39" t="s">
        <v>338</v>
      </c>
      <c r="D214" s="40">
        <v>79</v>
      </c>
      <c r="E214" s="40" t="s">
        <v>83</v>
      </c>
      <c r="F214" s="40">
        <v>79</v>
      </c>
      <c r="G214" s="162" t="s">
        <v>83</v>
      </c>
      <c r="H214" s="162" t="s">
        <v>83</v>
      </c>
      <c r="I214" s="162" t="s">
        <v>83</v>
      </c>
      <c r="J214" s="166">
        <v>35</v>
      </c>
      <c r="K214" s="166">
        <v>27</v>
      </c>
      <c r="L214" s="166">
        <v>12</v>
      </c>
      <c r="M214" s="166">
        <v>5</v>
      </c>
      <c r="N214" s="119">
        <v>8.7196467991170007E-2</v>
      </c>
      <c r="O214" s="119">
        <v>8.7196467991170007E-2</v>
      </c>
      <c r="P214" s="116" t="s">
        <v>83</v>
      </c>
      <c r="Q214" s="116" t="s">
        <v>83</v>
      </c>
      <c r="R214" s="116" t="s">
        <v>83</v>
      </c>
      <c r="S214" s="119">
        <v>0.10233918128654999</v>
      </c>
      <c r="T214" s="119">
        <v>0.108870967741935</v>
      </c>
      <c r="U214" s="119">
        <v>7.2289156626505993E-2</v>
      </c>
      <c r="V214" s="119">
        <v>3.3333333333333298E-2</v>
      </c>
      <c r="W214" s="40">
        <v>808</v>
      </c>
      <c r="X214" s="40">
        <f t="shared" si="14"/>
        <v>808</v>
      </c>
      <c r="Y214" s="40">
        <f t="shared" si="15"/>
        <v>808</v>
      </c>
      <c r="Z214" s="105">
        <v>0.52500000000000002</v>
      </c>
      <c r="AA214" s="105">
        <v>0.47499999999999998</v>
      </c>
      <c r="AB214" s="106">
        <f>2/808</f>
        <v>2.4752475247524753E-3</v>
      </c>
      <c r="AC214" s="106">
        <f>17/808</f>
        <v>2.1039603960396041E-2</v>
      </c>
      <c r="AD214" s="106">
        <f>656/808</f>
        <v>0.81188118811881194</v>
      </c>
      <c r="AE214" s="106">
        <f>4/808</f>
        <v>4.9504950495049506E-3</v>
      </c>
      <c r="AF214" s="106">
        <v>0</v>
      </c>
      <c r="AG214" s="106">
        <f>125/808</f>
        <v>0.1547029702970297</v>
      </c>
      <c r="AH214" s="106">
        <f>4/808</f>
        <v>4.9504950495049506E-3</v>
      </c>
      <c r="AI214" s="106">
        <f>683/808</f>
        <v>0.84529702970297027</v>
      </c>
      <c r="AJ214" s="105">
        <v>0.75618811881188119</v>
      </c>
      <c r="AK214" s="105">
        <v>5.0000000000000001E-3</v>
      </c>
      <c r="AL214" s="12">
        <v>0</v>
      </c>
      <c r="AM214" s="12">
        <v>0</v>
      </c>
      <c r="AN214" s="12">
        <v>0</v>
      </c>
      <c r="AO214" s="12">
        <v>298</v>
      </c>
      <c r="AP214" s="12">
        <v>220</v>
      </c>
      <c r="AQ214" s="12">
        <v>149</v>
      </c>
      <c r="AR214" s="12">
        <v>141</v>
      </c>
      <c r="AS214" s="59">
        <v>0</v>
      </c>
      <c r="AT214" s="3">
        <v>9</v>
      </c>
      <c r="AU214" s="3">
        <v>6</v>
      </c>
      <c r="AV214" s="54">
        <v>71.593533487297918</v>
      </c>
      <c r="AW214" s="54">
        <v>20.554272517321014</v>
      </c>
      <c r="AX214" s="54">
        <v>7.8521939953810627</v>
      </c>
      <c r="AY214" s="68">
        <v>0</v>
      </c>
      <c r="AZ214" s="59">
        <v>3.8758757152788917E-3</v>
      </c>
      <c r="BA214" s="59">
        <v>0.13808975834292289</v>
      </c>
      <c r="BB214" s="81">
        <v>96</v>
      </c>
      <c r="BC214" s="49">
        <v>4.9482163406213999</v>
      </c>
      <c r="BD214" s="90" t="s">
        <v>83</v>
      </c>
      <c r="BE214" s="90" t="s">
        <v>83</v>
      </c>
      <c r="BF214" s="49">
        <v>28.2</v>
      </c>
      <c r="BG214" s="49">
        <v>16.2</v>
      </c>
      <c r="BH214" s="49">
        <v>9.6</v>
      </c>
      <c r="BI214" s="49">
        <v>3</v>
      </c>
      <c r="BJ214" s="85">
        <v>18.899999999999999</v>
      </c>
      <c r="BK214" s="129">
        <v>9666</v>
      </c>
      <c r="BL214" s="129">
        <v>52432</v>
      </c>
      <c r="BM214" s="129">
        <v>42308</v>
      </c>
      <c r="BN214" s="129">
        <v>40814</v>
      </c>
      <c r="BO214" s="59">
        <v>0</v>
      </c>
      <c r="BP214" s="59">
        <v>0</v>
      </c>
      <c r="BQ214" s="102">
        <v>8.2400000000000001E-2</v>
      </c>
      <c r="BR214" s="59">
        <v>0</v>
      </c>
      <c r="BS214" s="59">
        <v>0</v>
      </c>
      <c r="BT214" s="49">
        <v>15.3</v>
      </c>
      <c r="BU214" s="59">
        <f t="shared" si="16"/>
        <v>8.2400000000000001E-2</v>
      </c>
      <c r="BV214" s="59">
        <v>1.2800000000000001E-2</v>
      </c>
      <c r="BW214" s="59">
        <v>0</v>
      </c>
      <c r="BX214" s="59">
        <v>1.18E-2</v>
      </c>
      <c r="BY214" s="59">
        <v>0</v>
      </c>
      <c r="BZ214" s="59">
        <v>1.03E-2</v>
      </c>
      <c r="CA214" s="49">
        <v>17</v>
      </c>
      <c r="CB214" s="59">
        <f t="shared" si="17"/>
        <v>3.49E-2</v>
      </c>
      <c r="CC214" s="59">
        <v>0.3029</v>
      </c>
      <c r="CD214" s="125">
        <v>0.38619999999999999</v>
      </c>
      <c r="CE214" s="125">
        <v>0.2888</v>
      </c>
      <c r="CF214" s="125">
        <v>1.18E-2</v>
      </c>
      <c r="CG214" s="125">
        <v>1.03E-2</v>
      </c>
      <c r="CH214" s="85">
        <v>14</v>
      </c>
      <c r="CI214" s="39" t="s">
        <v>338</v>
      </c>
      <c r="CJ214" s="18" t="s">
        <v>80</v>
      </c>
      <c r="CK214" s="20"/>
    </row>
    <row r="215" spans="1:89" x14ac:dyDescent="0.25">
      <c r="A215" s="18" t="s">
        <v>80</v>
      </c>
      <c r="B215" s="19" t="s">
        <v>336</v>
      </c>
      <c r="C215" s="39" t="s">
        <v>339</v>
      </c>
      <c r="D215" s="40">
        <v>17</v>
      </c>
      <c r="E215" s="40">
        <v>3</v>
      </c>
      <c r="F215" s="40">
        <v>14</v>
      </c>
      <c r="G215" s="166">
        <v>2</v>
      </c>
      <c r="H215" s="166">
        <v>1</v>
      </c>
      <c r="I215" s="166">
        <v>0</v>
      </c>
      <c r="J215" s="166">
        <v>6</v>
      </c>
      <c r="K215" s="166">
        <v>4</v>
      </c>
      <c r="L215" s="166">
        <v>1</v>
      </c>
      <c r="M215" s="166">
        <v>3</v>
      </c>
      <c r="N215" s="119">
        <v>6.3909774436090194E-2</v>
      </c>
      <c r="O215" s="119">
        <v>7.8651685393258397E-2</v>
      </c>
      <c r="P215" s="119">
        <v>3.3898305084745797E-2</v>
      </c>
      <c r="Q215" s="119">
        <v>3.4482758620689703E-2</v>
      </c>
      <c r="R215" s="119">
        <v>0</v>
      </c>
      <c r="S215" s="119">
        <v>0.12</v>
      </c>
      <c r="T215" s="119">
        <v>6.6666666666666693E-2</v>
      </c>
      <c r="U215" s="119">
        <v>3.3333333333333298E-2</v>
      </c>
      <c r="V215" s="119">
        <v>8.5714285714285701E-2</v>
      </c>
      <c r="W215" s="40">
        <v>308</v>
      </c>
      <c r="X215" s="40">
        <f t="shared" si="14"/>
        <v>154</v>
      </c>
      <c r="Y215" s="40">
        <f t="shared" si="15"/>
        <v>229</v>
      </c>
      <c r="Z215" s="105">
        <v>0.48699999999999999</v>
      </c>
      <c r="AA215" s="105">
        <v>0.51300000000000001</v>
      </c>
      <c r="AB215" s="106">
        <f>1/308</f>
        <v>3.246753246753247E-3</v>
      </c>
      <c r="AC215" s="106">
        <v>0</v>
      </c>
      <c r="AD215" s="106">
        <f>227/308</f>
        <v>0.73701298701298701</v>
      </c>
      <c r="AE215" s="106">
        <f>6/308</f>
        <v>1.948051948051948E-2</v>
      </c>
      <c r="AF215" s="106">
        <v>0</v>
      </c>
      <c r="AG215" s="106">
        <f>74/308</f>
        <v>0.24025974025974026</v>
      </c>
      <c r="AH215" s="106">
        <v>0</v>
      </c>
      <c r="AI215" s="106">
        <f>234/308</f>
        <v>0.75974025974025972</v>
      </c>
      <c r="AJ215" s="105">
        <v>0.85064935064935066</v>
      </c>
      <c r="AK215" s="105">
        <v>0</v>
      </c>
      <c r="AL215" s="12">
        <v>47</v>
      </c>
      <c r="AM215" s="12">
        <v>28</v>
      </c>
      <c r="AN215" s="12">
        <v>3</v>
      </c>
      <c r="AO215" s="12">
        <v>39</v>
      </c>
      <c r="AP215" s="12">
        <v>55</v>
      </c>
      <c r="AQ215" s="12">
        <v>26</v>
      </c>
      <c r="AR215" s="12">
        <v>31</v>
      </c>
      <c r="AS215" s="59">
        <v>7.1428571428571425E-2</v>
      </c>
      <c r="AT215" s="3">
        <v>5</v>
      </c>
      <c r="AU215" s="3">
        <v>6</v>
      </c>
      <c r="AV215" s="54">
        <v>88.08664259927798</v>
      </c>
      <c r="AW215" s="54">
        <v>10.108303249097473</v>
      </c>
      <c r="AX215" s="54">
        <v>1.8050541516245486</v>
      </c>
      <c r="AY215" s="68">
        <v>0</v>
      </c>
      <c r="AZ215" s="59">
        <v>1.3812945893870752E-2</v>
      </c>
      <c r="BA215" s="59">
        <v>0.3482142857142857</v>
      </c>
      <c r="BB215" s="81">
        <v>96</v>
      </c>
      <c r="BC215" s="49">
        <v>6.4139941690962097</v>
      </c>
      <c r="BD215" s="49">
        <v>11.6</v>
      </c>
      <c r="BE215" s="49">
        <v>24.1</v>
      </c>
      <c r="BF215" s="49">
        <v>27</v>
      </c>
      <c r="BG215" s="49">
        <v>7</v>
      </c>
      <c r="BH215" s="49">
        <v>8</v>
      </c>
      <c r="BI215" s="49">
        <v>3.2</v>
      </c>
      <c r="BJ215" s="85">
        <v>18.2</v>
      </c>
      <c r="BK215" s="129">
        <v>22381</v>
      </c>
      <c r="BL215" s="129">
        <v>49664</v>
      </c>
      <c r="BM215" s="129">
        <v>42821</v>
      </c>
      <c r="BN215" s="129">
        <v>40312</v>
      </c>
      <c r="BO215" s="59">
        <v>0</v>
      </c>
      <c r="BP215" s="59">
        <v>0.16800000000000001</v>
      </c>
      <c r="BQ215" s="59">
        <v>9.1399999999999995E-2</v>
      </c>
      <c r="BR215" s="59">
        <v>0</v>
      </c>
      <c r="BS215" s="59">
        <v>0</v>
      </c>
      <c r="BT215" s="49">
        <v>13.7</v>
      </c>
      <c r="BU215" s="59">
        <f t="shared" si="16"/>
        <v>0.25940000000000002</v>
      </c>
      <c r="BV215" s="59">
        <v>4.3499999999999997E-2</v>
      </c>
      <c r="BW215" s="59">
        <v>0</v>
      </c>
      <c r="BX215" s="59">
        <v>2.3199999999999998E-2</v>
      </c>
      <c r="BY215" s="59">
        <v>0</v>
      </c>
      <c r="BZ215" s="59">
        <v>0</v>
      </c>
      <c r="CA215" s="49">
        <v>28</v>
      </c>
      <c r="CB215" s="59">
        <f t="shared" si="17"/>
        <v>6.6699999999999995E-2</v>
      </c>
      <c r="CC215" s="59">
        <v>0.34370000000000001</v>
      </c>
      <c r="CD215" s="125">
        <v>0.41389999999999999</v>
      </c>
      <c r="CE215" s="125">
        <v>0.2424</v>
      </c>
      <c r="CF215" s="125">
        <v>0</v>
      </c>
      <c r="CG215" s="125">
        <v>0</v>
      </c>
      <c r="CH215" s="85">
        <v>12.4</v>
      </c>
      <c r="CI215" s="39" t="s">
        <v>339</v>
      </c>
      <c r="CJ215" s="18" t="s">
        <v>80</v>
      </c>
      <c r="CK215" s="20"/>
    </row>
    <row r="216" spans="1:89" x14ac:dyDescent="0.25">
      <c r="A216" s="18" t="s">
        <v>80</v>
      </c>
      <c r="B216" s="19" t="s">
        <v>336</v>
      </c>
      <c r="C216" s="39" t="s">
        <v>340</v>
      </c>
      <c r="D216" s="40">
        <v>39</v>
      </c>
      <c r="E216" s="40" t="s">
        <v>83</v>
      </c>
      <c r="F216" s="40">
        <v>39</v>
      </c>
      <c r="G216" s="162" t="s">
        <v>83</v>
      </c>
      <c r="H216" s="162" t="s">
        <v>83</v>
      </c>
      <c r="I216" s="166">
        <v>0</v>
      </c>
      <c r="J216" s="166">
        <v>15</v>
      </c>
      <c r="K216" s="166">
        <v>11</v>
      </c>
      <c r="L216" s="166">
        <v>5</v>
      </c>
      <c r="M216" s="166">
        <v>8</v>
      </c>
      <c r="N216" s="119">
        <v>4.1577825159914698E-2</v>
      </c>
      <c r="O216" s="119">
        <v>4.1577825159914698E-2</v>
      </c>
      <c r="P216" s="116" t="s">
        <v>83</v>
      </c>
      <c r="Q216" s="116" t="s">
        <v>83</v>
      </c>
      <c r="R216" s="119">
        <v>0</v>
      </c>
      <c r="S216" s="119">
        <v>4.51807228915663E-2</v>
      </c>
      <c r="T216" s="119">
        <v>4.4897959183673501E-2</v>
      </c>
      <c r="U216" s="119">
        <v>2.7624309392265199E-2</v>
      </c>
      <c r="V216" s="119">
        <v>4.6511627906976702E-2</v>
      </c>
      <c r="W216" s="40">
        <v>888</v>
      </c>
      <c r="X216" s="40">
        <f t="shared" si="14"/>
        <v>888</v>
      </c>
      <c r="Y216" s="40">
        <f t="shared" si="15"/>
        <v>888</v>
      </c>
      <c r="Z216" s="105">
        <v>0.50600000000000001</v>
      </c>
      <c r="AA216" s="105">
        <v>0.49399999999999999</v>
      </c>
      <c r="AB216" s="106">
        <f>1/888</f>
        <v>1.1261261261261261E-3</v>
      </c>
      <c r="AC216" s="106">
        <f>3/888</f>
        <v>3.3783783783783786E-3</v>
      </c>
      <c r="AD216" s="106">
        <f>343/888</f>
        <v>0.38626126126126126</v>
      </c>
      <c r="AE216" s="106">
        <f>23/888</f>
        <v>2.59009009009009E-2</v>
      </c>
      <c r="AF216" s="106">
        <v>0</v>
      </c>
      <c r="AG216" s="106">
        <f>515/888</f>
        <v>0.57995495495495497</v>
      </c>
      <c r="AH216" s="106">
        <f>3/888</f>
        <v>3.3783783783783786E-3</v>
      </c>
      <c r="AI216" s="106">
        <f>373/888</f>
        <v>0.42004504504504503</v>
      </c>
      <c r="AJ216" s="105">
        <v>0.56418918918918914</v>
      </c>
      <c r="AK216" s="105">
        <v>8.9999999999999993E-3</v>
      </c>
      <c r="AL216" s="12">
        <v>0</v>
      </c>
      <c r="AM216" s="12">
        <v>0</v>
      </c>
      <c r="AN216" s="12">
        <v>8</v>
      </c>
      <c r="AO216" s="12">
        <v>309</v>
      </c>
      <c r="AP216" s="12">
        <v>229</v>
      </c>
      <c r="AQ216" s="12">
        <v>177</v>
      </c>
      <c r="AR216" s="12">
        <v>165</v>
      </c>
      <c r="AS216" s="59">
        <v>2.5236593059936908E-2</v>
      </c>
      <c r="AT216" s="3">
        <v>9</v>
      </c>
      <c r="AU216" s="3">
        <v>6</v>
      </c>
      <c r="AV216" s="54">
        <v>59.536082474226802</v>
      </c>
      <c r="AW216" s="54">
        <v>25</v>
      </c>
      <c r="AX216" s="54">
        <v>15.463917525773196</v>
      </c>
      <c r="AY216" s="68">
        <v>0</v>
      </c>
      <c r="AZ216" s="59">
        <v>1.565217769902103E-3</v>
      </c>
      <c r="BA216" s="59">
        <v>5.4406964091403699E-2</v>
      </c>
      <c r="BB216" s="81">
        <v>96</v>
      </c>
      <c r="BC216" s="49">
        <v>6.63764961915125</v>
      </c>
      <c r="BD216" s="90" t="s">
        <v>83</v>
      </c>
      <c r="BE216" s="90" t="s">
        <v>83</v>
      </c>
      <c r="BF216" s="49">
        <v>20.9</v>
      </c>
      <c r="BG216" s="49">
        <v>8.8000000000000007</v>
      </c>
      <c r="BH216" s="49">
        <v>2.5</v>
      </c>
      <c r="BI216" s="49">
        <v>3.2</v>
      </c>
      <c r="BJ216" s="85">
        <v>18.8</v>
      </c>
      <c r="BK216" s="129">
        <v>7742</v>
      </c>
      <c r="BL216" s="129">
        <v>56512</v>
      </c>
      <c r="BM216" s="129">
        <v>40630</v>
      </c>
      <c r="BN216" s="129">
        <v>42527</v>
      </c>
      <c r="BO216" s="59">
        <v>0</v>
      </c>
      <c r="BP216" s="59">
        <v>1.4800000000000001E-2</v>
      </c>
      <c r="BQ216" s="59">
        <v>5.74E-2</v>
      </c>
      <c r="BR216" s="59">
        <v>0</v>
      </c>
      <c r="BS216" s="59">
        <v>0</v>
      </c>
      <c r="BT216" s="49">
        <v>10.8</v>
      </c>
      <c r="BU216" s="59">
        <f t="shared" si="16"/>
        <v>7.22E-2</v>
      </c>
      <c r="BV216" s="59">
        <v>2.9600000000000001E-2</v>
      </c>
      <c r="BW216" s="59">
        <v>0</v>
      </c>
      <c r="BX216" s="59">
        <v>1.4800000000000001E-2</v>
      </c>
      <c r="BY216" s="59">
        <v>0</v>
      </c>
      <c r="BZ216" s="59">
        <v>0</v>
      </c>
      <c r="CA216" s="49">
        <v>11.3</v>
      </c>
      <c r="CB216" s="59">
        <f t="shared" si="17"/>
        <v>4.4400000000000002E-2</v>
      </c>
      <c r="CC216" s="59">
        <v>0.2366</v>
      </c>
      <c r="CD216" s="125">
        <v>0.54059999999999997</v>
      </c>
      <c r="CE216" s="125">
        <v>0.2228</v>
      </c>
      <c r="CF216" s="125">
        <v>0</v>
      </c>
      <c r="CG216" s="125">
        <v>0</v>
      </c>
      <c r="CH216" s="85">
        <v>11.5</v>
      </c>
      <c r="CI216" s="39" t="s">
        <v>340</v>
      </c>
      <c r="CJ216" s="18" t="s">
        <v>80</v>
      </c>
      <c r="CK216" s="20"/>
    </row>
    <row r="217" spans="1:89" x14ac:dyDescent="0.25">
      <c r="A217" s="18" t="s">
        <v>80</v>
      </c>
      <c r="B217" s="19" t="s">
        <v>336</v>
      </c>
      <c r="C217" s="39" t="s">
        <v>341</v>
      </c>
      <c r="D217" s="40">
        <v>42</v>
      </c>
      <c r="E217" s="40" t="s">
        <v>83</v>
      </c>
      <c r="F217" s="40">
        <v>42</v>
      </c>
      <c r="G217" s="162" t="s">
        <v>83</v>
      </c>
      <c r="H217" s="162" t="s">
        <v>83</v>
      </c>
      <c r="I217" s="166">
        <v>0</v>
      </c>
      <c r="J217" s="166">
        <v>12</v>
      </c>
      <c r="K217" s="166">
        <v>14</v>
      </c>
      <c r="L217" s="166">
        <v>7</v>
      </c>
      <c r="M217" s="166">
        <v>9</v>
      </c>
      <c r="N217" s="119">
        <v>6.7524115755627001E-2</v>
      </c>
      <c r="O217" s="119">
        <v>6.7524115755627001E-2</v>
      </c>
      <c r="P217" s="116" t="s">
        <v>83</v>
      </c>
      <c r="Q217" s="116" t="s">
        <v>83</v>
      </c>
      <c r="R217" s="119">
        <v>0</v>
      </c>
      <c r="S217" s="119">
        <v>6.0913705583756299E-2</v>
      </c>
      <c r="T217" s="119">
        <v>8.9171974522293002E-2</v>
      </c>
      <c r="U217" s="119">
        <v>5.6451612903225798E-2</v>
      </c>
      <c r="V217" s="119">
        <v>7.03125E-2</v>
      </c>
      <c r="W217" s="40">
        <v>575</v>
      </c>
      <c r="X217" s="40">
        <f t="shared" si="14"/>
        <v>575</v>
      </c>
      <c r="Y217" s="40">
        <f t="shared" si="15"/>
        <v>575</v>
      </c>
      <c r="Z217" s="105">
        <v>0.49199999999999999</v>
      </c>
      <c r="AA217" s="105">
        <v>0.50800000000000001</v>
      </c>
      <c r="AB217" s="106">
        <f>3/575</f>
        <v>5.2173913043478265E-3</v>
      </c>
      <c r="AC217" s="106">
        <f>1/575</f>
        <v>1.7391304347826088E-3</v>
      </c>
      <c r="AD217" s="106">
        <f>397/575</f>
        <v>0.69043478260869562</v>
      </c>
      <c r="AE217" s="106">
        <f>6/575</f>
        <v>1.0434782608695653E-2</v>
      </c>
      <c r="AF217" s="106">
        <v>0</v>
      </c>
      <c r="AG217" s="106">
        <f>167/575</f>
        <v>0.29043478260869565</v>
      </c>
      <c r="AH217" s="106">
        <f>1/575</f>
        <v>1.7391304347826088E-3</v>
      </c>
      <c r="AI217" s="106">
        <f>408/575</f>
        <v>0.70956521739130429</v>
      </c>
      <c r="AJ217" s="105">
        <v>0.71478260869565213</v>
      </c>
      <c r="AK217" s="105">
        <v>0</v>
      </c>
      <c r="AL217" s="12">
        <v>0</v>
      </c>
      <c r="AM217" s="12">
        <v>0</v>
      </c>
      <c r="AN217" s="12">
        <v>15</v>
      </c>
      <c r="AO217" s="12">
        <v>182</v>
      </c>
      <c r="AP217" s="12">
        <v>138</v>
      </c>
      <c r="AQ217" s="12">
        <v>121</v>
      </c>
      <c r="AR217" s="12">
        <v>119</v>
      </c>
      <c r="AS217" s="59">
        <v>7.6142131979695438E-2</v>
      </c>
      <c r="AT217" s="3">
        <v>9</v>
      </c>
      <c r="AU217" s="3">
        <v>6</v>
      </c>
      <c r="AV217" s="54">
        <v>64.516129032258064</v>
      </c>
      <c r="AW217" s="54">
        <v>25.089605734767023</v>
      </c>
      <c r="AX217" s="54">
        <v>10.394265232974909</v>
      </c>
      <c r="AY217" s="68">
        <v>0</v>
      </c>
      <c r="AZ217" s="59">
        <v>7.9872204472843447E-4</v>
      </c>
      <c r="BA217" s="59">
        <v>0.24459234608985025</v>
      </c>
      <c r="BB217" s="76">
        <v>93.400170069889796</v>
      </c>
      <c r="BC217" s="49">
        <v>4.1459369817578802</v>
      </c>
      <c r="BD217" s="90" t="s">
        <v>83</v>
      </c>
      <c r="BE217" s="90" t="s">
        <v>83</v>
      </c>
      <c r="BF217" s="49">
        <v>27.4</v>
      </c>
      <c r="BG217" s="49">
        <v>8.9</v>
      </c>
      <c r="BH217" s="49">
        <v>5.5</v>
      </c>
      <c r="BI217" s="49">
        <v>3.4</v>
      </c>
      <c r="BJ217" s="85">
        <v>18.3</v>
      </c>
      <c r="BK217" s="129">
        <v>8930</v>
      </c>
      <c r="BL217" s="129">
        <v>53048</v>
      </c>
      <c r="BM217" s="129">
        <v>44873</v>
      </c>
      <c r="BN217" s="129">
        <v>42590</v>
      </c>
      <c r="BO217" s="59">
        <v>0</v>
      </c>
      <c r="BP217" s="59">
        <v>9.4299999999999995E-2</v>
      </c>
      <c r="BQ217" s="59">
        <v>8.1600000000000006E-2</v>
      </c>
      <c r="BR217" s="59">
        <v>0</v>
      </c>
      <c r="BS217" s="59">
        <v>0</v>
      </c>
      <c r="BT217" s="49">
        <v>16.100000000000001</v>
      </c>
      <c r="BU217" s="59">
        <f t="shared" si="16"/>
        <v>0.1759</v>
      </c>
      <c r="BV217" s="59">
        <v>3.5700000000000003E-2</v>
      </c>
      <c r="BW217" s="59">
        <v>0</v>
      </c>
      <c r="BX217" s="59">
        <v>2.0400000000000001E-2</v>
      </c>
      <c r="BY217" s="59">
        <v>0</v>
      </c>
      <c r="BZ217" s="59">
        <v>0</v>
      </c>
      <c r="CA217" s="49">
        <v>13.5</v>
      </c>
      <c r="CB217" s="59">
        <f t="shared" si="17"/>
        <v>5.6100000000000004E-2</v>
      </c>
      <c r="CC217" s="59">
        <v>0.2208</v>
      </c>
      <c r="CD217" s="125">
        <v>0.4955</v>
      </c>
      <c r="CE217" s="125">
        <v>0.26350000000000001</v>
      </c>
      <c r="CF217" s="125">
        <v>0</v>
      </c>
      <c r="CG217" s="125">
        <v>2.0199999999999999E-2</v>
      </c>
      <c r="CH217" s="85">
        <v>11.2</v>
      </c>
      <c r="CI217" s="39" t="s">
        <v>341</v>
      </c>
      <c r="CJ217" s="18" t="s">
        <v>80</v>
      </c>
      <c r="CK217" s="20"/>
    </row>
    <row r="218" spans="1:89" x14ac:dyDescent="0.25">
      <c r="A218" s="18" t="s">
        <v>80</v>
      </c>
      <c r="B218" s="19" t="s">
        <v>336</v>
      </c>
      <c r="C218" s="39" t="s">
        <v>342</v>
      </c>
      <c r="D218" s="40">
        <v>20</v>
      </c>
      <c r="E218" s="40" t="s">
        <v>83</v>
      </c>
      <c r="F218" s="40">
        <v>20</v>
      </c>
      <c r="G218" s="162" t="s">
        <v>83</v>
      </c>
      <c r="H218" s="162" t="s">
        <v>83</v>
      </c>
      <c r="I218" s="166">
        <v>0</v>
      </c>
      <c r="J218" s="166">
        <v>8</v>
      </c>
      <c r="K218" s="166">
        <v>3</v>
      </c>
      <c r="L218" s="166">
        <v>6</v>
      </c>
      <c r="M218" s="166">
        <v>3</v>
      </c>
      <c r="N218" s="119">
        <v>4.1928721174004202E-2</v>
      </c>
      <c r="O218" s="119">
        <v>4.1928721174004202E-2</v>
      </c>
      <c r="P218" s="116" t="s">
        <v>83</v>
      </c>
      <c r="Q218" s="116" t="s">
        <v>83</v>
      </c>
      <c r="R218" s="119">
        <v>0</v>
      </c>
      <c r="S218" s="119">
        <v>5.22875816993464E-2</v>
      </c>
      <c r="T218" s="119">
        <v>2.6548672566371698E-2</v>
      </c>
      <c r="U218" s="119">
        <v>5.60747663551402E-2</v>
      </c>
      <c r="V218" s="119">
        <v>3.1914893617021302E-2</v>
      </c>
      <c r="W218" s="40">
        <v>450</v>
      </c>
      <c r="X218" s="40">
        <f t="shared" si="14"/>
        <v>450</v>
      </c>
      <c r="Y218" s="40">
        <f t="shared" si="15"/>
        <v>450</v>
      </c>
      <c r="Z218" s="105">
        <v>0.48199999999999998</v>
      </c>
      <c r="AA218" s="105">
        <v>0.51800000000000002</v>
      </c>
      <c r="AB218" s="106">
        <f>1/450</f>
        <v>2.2222222222222222E-3</v>
      </c>
      <c r="AC218" s="106">
        <v>0</v>
      </c>
      <c r="AD218" s="106">
        <f>189/450</f>
        <v>0.42</v>
      </c>
      <c r="AE218" s="106">
        <v>0</v>
      </c>
      <c r="AF218" s="106">
        <v>0</v>
      </c>
      <c r="AG218" s="106">
        <f>259/450</f>
        <v>0.5755555555555556</v>
      </c>
      <c r="AH218" s="106">
        <f>1/450</f>
        <v>2.2222222222222222E-3</v>
      </c>
      <c r="AI218" s="106">
        <f>191/450</f>
        <v>0.42444444444444446</v>
      </c>
      <c r="AJ218" s="105">
        <v>0.65555555555555556</v>
      </c>
      <c r="AK218" s="105">
        <v>0</v>
      </c>
      <c r="AL218" s="12">
        <v>0</v>
      </c>
      <c r="AM218" s="12">
        <v>0</v>
      </c>
      <c r="AN218" s="12">
        <v>17</v>
      </c>
      <c r="AO218" s="12">
        <v>136</v>
      </c>
      <c r="AP218" s="12">
        <v>107</v>
      </c>
      <c r="AQ218" s="12">
        <v>98</v>
      </c>
      <c r="AR218" s="12">
        <v>92</v>
      </c>
      <c r="AS218" s="59">
        <v>0.1111111111111111</v>
      </c>
      <c r="AT218" s="3">
        <v>9</v>
      </c>
      <c r="AU218" s="3">
        <v>6</v>
      </c>
      <c r="AV218" s="54">
        <v>64.622641509433961</v>
      </c>
      <c r="AW218" s="54">
        <v>27.830188679245282</v>
      </c>
      <c r="AX218" s="54">
        <v>7.5471698113207548</v>
      </c>
      <c r="AY218" s="68">
        <v>0</v>
      </c>
      <c r="AZ218" s="65">
        <v>0</v>
      </c>
      <c r="BA218" s="59">
        <v>0.05</v>
      </c>
      <c r="BB218" s="77">
        <v>94.585695339403699</v>
      </c>
      <c r="BC218" s="49">
        <v>5.5555555555555598</v>
      </c>
      <c r="BD218" s="90" t="s">
        <v>83</v>
      </c>
      <c r="BE218" s="90" t="s">
        <v>83</v>
      </c>
      <c r="BF218" s="49">
        <v>24</v>
      </c>
      <c r="BG218" s="49">
        <v>5.3</v>
      </c>
      <c r="BH218" s="49">
        <v>3.1</v>
      </c>
      <c r="BI218" s="49">
        <v>7.1</v>
      </c>
      <c r="BJ218" s="85">
        <v>19.2</v>
      </c>
      <c r="BK218" s="129">
        <v>12017</v>
      </c>
      <c r="BL218" s="129">
        <v>50797</v>
      </c>
      <c r="BM218" s="129">
        <v>48971</v>
      </c>
      <c r="BN218" s="129">
        <v>39733</v>
      </c>
      <c r="BO218" s="59">
        <v>0</v>
      </c>
      <c r="BP218" s="59">
        <v>5.0599999999999999E-2</v>
      </c>
      <c r="BQ218" s="59">
        <v>3.3799999999999997E-2</v>
      </c>
      <c r="BR218" s="59">
        <v>0</v>
      </c>
      <c r="BS218" s="59">
        <v>0</v>
      </c>
      <c r="BT218" s="49">
        <v>10.4</v>
      </c>
      <c r="BU218" s="59">
        <f t="shared" si="16"/>
        <v>8.4400000000000003E-2</v>
      </c>
      <c r="BV218" s="59">
        <v>2.9499999999999998E-2</v>
      </c>
      <c r="BW218" s="59">
        <v>0</v>
      </c>
      <c r="BX218" s="59">
        <v>1.4800000000000001E-2</v>
      </c>
      <c r="BY218" s="59">
        <v>0</v>
      </c>
      <c r="BZ218" s="59">
        <v>0</v>
      </c>
      <c r="CA218" s="49">
        <v>25.3</v>
      </c>
      <c r="CB218" s="59">
        <f t="shared" si="17"/>
        <v>4.4299999999999999E-2</v>
      </c>
      <c r="CC218" s="59">
        <v>0.38629999999999998</v>
      </c>
      <c r="CD218" s="125">
        <v>0.43009999999999998</v>
      </c>
      <c r="CE218" s="125">
        <v>0.16669999999999999</v>
      </c>
      <c r="CF218" s="125">
        <v>0</v>
      </c>
      <c r="CG218" s="125">
        <v>1.6899999999999998E-2</v>
      </c>
      <c r="CH218" s="85">
        <v>12.9</v>
      </c>
      <c r="CI218" s="39" t="s">
        <v>342</v>
      </c>
      <c r="CJ218" s="18" t="s">
        <v>80</v>
      </c>
      <c r="CK218" s="20"/>
    </row>
    <row r="219" spans="1:89" x14ac:dyDescent="0.25">
      <c r="A219" s="18" t="s">
        <v>80</v>
      </c>
      <c r="B219" s="19" t="s">
        <v>336</v>
      </c>
      <c r="C219" s="39" t="s">
        <v>343</v>
      </c>
      <c r="D219" s="40">
        <v>1</v>
      </c>
      <c r="E219" s="40">
        <v>0</v>
      </c>
      <c r="F219" s="40">
        <v>1</v>
      </c>
      <c r="G219" s="166">
        <v>0</v>
      </c>
      <c r="H219" s="166">
        <v>0</v>
      </c>
      <c r="I219" s="162" t="s">
        <v>83</v>
      </c>
      <c r="J219" s="166">
        <v>0</v>
      </c>
      <c r="K219" s="166">
        <v>1</v>
      </c>
      <c r="L219" s="166">
        <v>0</v>
      </c>
      <c r="M219" s="166">
        <v>0</v>
      </c>
      <c r="N219" s="119">
        <v>3.5971223021582701E-3</v>
      </c>
      <c r="O219" s="119">
        <v>6.6225165562913899E-3</v>
      </c>
      <c r="P219" s="119">
        <v>0</v>
      </c>
      <c r="Q219" s="119">
        <v>0</v>
      </c>
      <c r="R219" s="116" t="s">
        <v>83</v>
      </c>
      <c r="S219" s="119">
        <v>0</v>
      </c>
      <c r="T219" s="119">
        <v>2.32558139534884E-2</v>
      </c>
      <c r="U219" s="119">
        <v>0</v>
      </c>
      <c r="V219" s="119">
        <v>0</v>
      </c>
      <c r="W219" s="40">
        <v>276</v>
      </c>
      <c r="X219" s="40">
        <f t="shared" si="14"/>
        <v>147</v>
      </c>
      <c r="Y219" s="40">
        <f t="shared" si="15"/>
        <v>276</v>
      </c>
      <c r="Z219" s="105">
        <v>0.66700000000000004</v>
      </c>
      <c r="AA219" s="105">
        <v>0.33300000000000002</v>
      </c>
      <c r="AB219" s="106">
        <v>0</v>
      </c>
      <c r="AC219" s="106">
        <f>5/276</f>
        <v>1.8115942028985508E-2</v>
      </c>
      <c r="AD219" s="106">
        <f>173/276</f>
        <v>0.62681159420289856</v>
      </c>
      <c r="AE219" s="106">
        <f>4/276</f>
        <v>1.4492753623188406E-2</v>
      </c>
      <c r="AF219" s="106">
        <v>0</v>
      </c>
      <c r="AG219" s="106">
        <f>94/276</f>
        <v>0.34057971014492755</v>
      </c>
      <c r="AH219" s="106">
        <v>0</v>
      </c>
      <c r="AI219" s="106">
        <f>182/276</f>
        <v>0.65942028985507251</v>
      </c>
      <c r="AJ219" s="105">
        <v>0.65217391304347827</v>
      </c>
      <c r="AK219" s="105">
        <v>4.0000000000000001E-3</v>
      </c>
      <c r="AL219" s="12">
        <v>71</v>
      </c>
      <c r="AM219" s="12">
        <v>58</v>
      </c>
      <c r="AN219" s="12">
        <v>0</v>
      </c>
      <c r="AO219" s="12">
        <v>47</v>
      </c>
      <c r="AP219" s="12">
        <v>42</v>
      </c>
      <c r="AQ219" s="12">
        <v>38</v>
      </c>
      <c r="AR219" s="12">
        <v>20</v>
      </c>
      <c r="AS219" s="59">
        <v>0</v>
      </c>
      <c r="AT219" s="3">
        <v>7</v>
      </c>
      <c r="AU219" s="3">
        <v>7</v>
      </c>
      <c r="AV219" s="54">
        <v>85.507246376811594</v>
      </c>
      <c r="AW219" s="54">
        <v>11.594202898550725</v>
      </c>
      <c r="AX219" s="54">
        <v>2.8985507246376812</v>
      </c>
      <c r="AY219" s="68">
        <v>0</v>
      </c>
      <c r="AZ219" s="59">
        <v>2.8376985585949664E-2</v>
      </c>
      <c r="BA219" s="59">
        <v>5.7553956834532377E-2</v>
      </c>
      <c r="BB219" s="81">
        <v>96</v>
      </c>
      <c r="BC219" s="49">
        <v>7.5539568345323698</v>
      </c>
      <c r="BD219" s="93">
        <v>0</v>
      </c>
      <c r="BE219" s="93">
        <v>0</v>
      </c>
      <c r="BF219" s="49">
        <v>2.1</v>
      </c>
      <c r="BG219" s="49">
        <v>0</v>
      </c>
      <c r="BH219" s="49">
        <v>0</v>
      </c>
      <c r="BI219" s="49">
        <v>0</v>
      </c>
      <c r="BJ219" s="85">
        <v>19.8</v>
      </c>
      <c r="BK219" s="129">
        <v>11361</v>
      </c>
      <c r="BL219" s="129">
        <v>45840</v>
      </c>
      <c r="BM219" s="129">
        <v>48359</v>
      </c>
      <c r="BN219" s="129">
        <v>42890</v>
      </c>
      <c r="BO219" s="59">
        <v>0</v>
      </c>
      <c r="BP219" s="59">
        <v>0.16309999999999999</v>
      </c>
      <c r="BQ219" s="59">
        <v>8.1500000000000003E-2</v>
      </c>
      <c r="BR219" s="59">
        <v>0</v>
      </c>
      <c r="BS219" s="59">
        <v>2.7199999999999998E-2</v>
      </c>
      <c r="BT219" s="49">
        <v>12.2</v>
      </c>
      <c r="BU219" s="59">
        <f t="shared" si="16"/>
        <v>0.27179999999999999</v>
      </c>
      <c r="BV219" s="59">
        <v>2.7199999999999998E-2</v>
      </c>
      <c r="BW219" s="59">
        <v>0</v>
      </c>
      <c r="BX219" s="59">
        <v>2.7199999999999998E-2</v>
      </c>
      <c r="BY219" s="59">
        <v>0</v>
      </c>
      <c r="BZ219" s="59">
        <v>0</v>
      </c>
      <c r="CA219" s="49">
        <v>16</v>
      </c>
      <c r="CB219" s="59">
        <f t="shared" si="17"/>
        <v>5.4399999999999997E-2</v>
      </c>
      <c r="CC219" s="59">
        <v>0.16109999999999999</v>
      </c>
      <c r="CD219" s="125">
        <v>0.53990000000000005</v>
      </c>
      <c r="CE219" s="125">
        <v>0.24460000000000001</v>
      </c>
      <c r="CF219" s="125">
        <v>0</v>
      </c>
      <c r="CG219" s="125">
        <v>5.4399999999999997E-2</v>
      </c>
      <c r="CH219" s="85">
        <v>12.3</v>
      </c>
      <c r="CI219" s="39" t="s">
        <v>343</v>
      </c>
      <c r="CJ219" s="18" t="s">
        <v>80</v>
      </c>
      <c r="CK219" s="20"/>
    </row>
    <row r="220" spans="1:89" x14ac:dyDescent="0.25">
      <c r="A220" s="18" t="s">
        <v>80</v>
      </c>
      <c r="B220" s="19" t="s">
        <v>344</v>
      </c>
      <c r="C220" s="39" t="s">
        <v>345</v>
      </c>
      <c r="D220" s="40">
        <v>35</v>
      </c>
      <c r="E220" s="40">
        <v>0</v>
      </c>
      <c r="F220" s="40">
        <v>35</v>
      </c>
      <c r="G220" s="162" t="s">
        <v>83</v>
      </c>
      <c r="H220" s="166">
        <v>0</v>
      </c>
      <c r="I220" s="166">
        <v>0</v>
      </c>
      <c r="J220" s="166">
        <v>13</v>
      </c>
      <c r="K220" s="166">
        <v>9</v>
      </c>
      <c r="L220" s="166">
        <v>5</v>
      </c>
      <c r="M220" s="166">
        <v>8</v>
      </c>
      <c r="N220" s="119">
        <v>3.8002171552660197E-2</v>
      </c>
      <c r="O220" s="119">
        <v>3.8546255506607903E-2</v>
      </c>
      <c r="P220" s="116" t="s">
        <v>83</v>
      </c>
      <c r="Q220" s="119">
        <v>0</v>
      </c>
      <c r="R220" s="119">
        <v>0</v>
      </c>
      <c r="S220" s="119">
        <v>4.5138888888888902E-2</v>
      </c>
      <c r="T220" s="119">
        <v>3.8626609442060103E-2</v>
      </c>
      <c r="U220" s="119">
        <v>2.7173913043478298E-2</v>
      </c>
      <c r="V220" s="119">
        <v>4.1450777202072499E-2</v>
      </c>
      <c r="W220" s="40">
        <v>853</v>
      </c>
      <c r="X220" s="40">
        <f t="shared" si="14"/>
        <v>842</v>
      </c>
      <c r="Y220" s="40">
        <f t="shared" si="15"/>
        <v>853</v>
      </c>
      <c r="Z220" s="105">
        <v>0.46100000000000002</v>
      </c>
      <c r="AA220" s="105">
        <v>0.53900000000000003</v>
      </c>
      <c r="AB220" s="106">
        <f>2/853</f>
        <v>2.3446658851113715E-3</v>
      </c>
      <c r="AC220" s="106">
        <f>8/853</f>
        <v>9.3786635404454859E-3</v>
      </c>
      <c r="AD220" s="106">
        <f>369/853</f>
        <v>0.43259085580304807</v>
      </c>
      <c r="AE220" s="106">
        <f>12/853</f>
        <v>1.4067995310668231E-2</v>
      </c>
      <c r="AF220" s="106">
        <v>0</v>
      </c>
      <c r="AG220" s="106">
        <f>458/853</f>
        <v>0.53692848769050405</v>
      </c>
      <c r="AH220" s="106">
        <f>4/853</f>
        <v>4.6893317702227429E-3</v>
      </c>
      <c r="AI220" s="106">
        <f>395/853</f>
        <v>0.46307151230949589</v>
      </c>
      <c r="AJ220" s="105">
        <v>0.62133645955451344</v>
      </c>
      <c r="AK220" s="105">
        <v>5.0000000000000001E-3</v>
      </c>
      <c r="AL220" s="12">
        <v>0</v>
      </c>
      <c r="AM220" s="12">
        <v>11</v>
      </c>
      <c r="AN220" s="12">
        <v>11</v>
      </c>
      <c r="AO220" s="12">
        <v>258</v>
      </c>
      <c r="AP220" s="12">
        <v>219</v>
      </c>
      <c r="AQ220" s="12">
        <v>181</v>
      </c>
      <c r="AR220" s="12">
        <v>173</v>
      </c>
      <c r="AS220" s="59">
        <v>4.0892193308550186E-2</v>
      </c>
      <c r="AT220" s="3">
        <v>8</v>
      </c>
      <c r="AU220" s="3">
        <v>6</v>
      </c>
      <c r="AV220" s="54">
        <v>62.013729977116704</v>
      </c>
      <c r="AW220" s="54">
        <v>14.416475972540047</v>
      </c>
      <c r="AX220" s="54">
        <v>23.569794050343248</v>
      </c>
      <c r="AY220" s="68">
        <v>0</v>
      </c>
      <c r="AZ220" s="59">
        <v>0.17640573318632854</v>
      </c>
      <c r="BA220" s="59">
        <v>0.19294377067254687</v>
      </c>
      <c r="BB220" s="76">
        <v>92.427200997624396</v>
      </c>
      <c r="BC220" s="49">
        <v>19.581958195819599</v>
      </c>
      <c r="BD220" s="90" t="s">
        <v>83</v>
      </c>
      <c r="BE220" s="93">
        <v>0</v>
      </c>
      <c r="BF220" s="49">
        <v>12.8</v>
      </c>
      <c r="BG220" s="49">
        <v>5.5</v>
      </c>
      <c r="BH220" s="49">
        <v>8.8000000000000007</v>
      </c>
      <c r="BI220" s="49">
        <v>1.7</v>
      </c>
      <c r="BJ220" s="85">
        <v>18.5</v>
      </c>
      <c r="BK220" s="129">
        <v>9715</v>
      </c>
      <c r="BL220" s="129">
        <v>48911</v>
      </c>
      <c r="BM220" s="129">
        <v>44795</v>
      </c>
      <c r="BN220" s="129">
        <v>43008</v>
      </c>
      <c r="BO220" s="59">
        <v>0</v>
      </c>
      <c r="BP220" s="59">
        <v>0.39500000000000002</v>
      </c>
      <c r="BQ220" s="59">
        <v>0.18779999999999999</v>
      </c>
      <c r="BR220" s="59">
        <v>0</v>
      </c>
      <c r="BS220" s="59">
        <v>0</v>
      </c>
      <c r="BT220" s="49">
        <v>12.5</v>
      </c>
      <c r="BU220" s="59">
        <f t="shared" si="16"/>
        <v>0.58279999999999998</v>
      </c>
      <c r="BV220" s="59">
        <v>3.73E-2</v>
      </c>
      <c r="BW220" s="59">
        <v>1.2E-2</v>
      </c>
      <c r="BX220" s="59">
        <v>3.5900000000000001E-2</v>
      </c>
      <c r="BY220" s="59">
        <v>0</v>
      </c>
      <c r="BZ220" s="59">
        <v>0</v>
      </c>
      <c r="CA220" s="49">
        <v>14.2</v>
      </c>
      <c r="CB220" s="59">
        <f t="shared" si="17"/>
        <v>8.5199999999999998E-2</v>
      </c>
      <c r="CC220" s="59">
        <v>0.29909999999999998</v>
      </c>
      <c r="CD220" s="125">
        <v>0.41889999999999999</v>
      </c>
      <c r="CE220" s="125">
        <v>0.27</v>
      </c>
      <c r="CF220" s="125">
        <v>0</v>
      </c>
      <c r="CG220" s="125">
        <v>1.2E-2</v>
      </c>
      <c r="CH220" s="85">
        <v>13.3</v>
      </c>
      <c r="CI220" s="39" t="s">
        <v>345</v>
      </c>
      <c r="CJ220" s="18" t="s">
        <v>80</v>
      </c>
      <c r="CK220" s="20"/>
    </row>
    <row r="221" spans="1:89" x14ac:dyDescent="0.25">
      <c r="A221" s="18" t="s">
        <v>80</v>
      </c>
      <c r="B221" s="19" t="s">
        <v>344</v>
      </c>
      <c r="C221" s="39" t="s">
        <v>346</v>
      </c>
      <c r="D221" s="40">
        <v>18</v>
      </c>
      <c r="E221" s="40">
        <v>2</v>
      </c>
      <c r="F221" s="40">
        <v>16</v>
      </c>
      <c r="G221" s="162" t="s">
        <v>83</v>
      </c>
      <c r="H221" s="166">
        <v>2</v>
      </c>
      <c r="I221" s="166">
        <v>0</v>
      </c>
      <c r="J221" s="166">
        <v>6</v>
      </c>
      <c r="K221" s="166">
        <v>2</v>
      </c>
      <c r="L221" s="166">
        <v>7</v>
      </c>
      <c r="M221" s="166">
        <v>1</v>
      </c>
      <c r="N221" s="119">
        <v>2.17129071170084E-2</v>
      </c>
      <c r="O221" s="119">
        <v>1.9925280199252798E-2</v>
      </c>
      <c r="P221" s="116" t="s">
        <v>83</v>
      </c>
      <c r="Q221" s="119">
        <v>7.69230769230769E-2</v>
      </c>
      <c r="R221" s="119">
        <v>0</v>
      </c>
      <c r="S221" s="119">
        <v>2.4793388429752101E-2</v>
      </c>
      <c r="T221" s="119">
        <v>1.1235955056179799E-2</v>
      </c>
      <c r="U221" s="119">
        <v>3.3492822966507199E-2</v>
      </c>
      <c r="V221" s="119">
        <v>6.0240963855421699E-3</v>
      </c>
      <c r="W221" s="40">
        <v>773</v>
      </c>
      <c r="X221" s="40">
        <f t="shared" si="14"/>
        <v>752</v>
      </c>
      <c r="Y221" s="40">
        <f t="shared" si="15"/>
        <v>773</v>
      </c>
      <c r="Z221" s="105">
        <v>0.48</v>
      </c>
      <c r="AA221" s="105">
        <v>0.52</v>
      </c>
      <c r="AB221" s="106">
        <f>2/773</f>
        <v>2.5873221216041399E-3</v>
      </c>
      <c r="AC221" s="106">
        <f>14/773</f>
        <v>1.8111254851228976E-2</v>
      </c>
      <c r="AD221" s="106">
        <f>262/773</f>
        <v>0.33893919793014232</v>
      </c>
      <c r="AE221" s="106">
        <f>11/773</f>
        <v>1.4230271668822769E-2</v>
      </c>
      <c r="AF221" s="106">
        <v>0</v>
      </c>
      <c r="AG221" s="106">
        <f>479/773</f>
        <v>0.6196636481241915</v>
      </c>
      <c r="AH221" s="106">
        <f>5/773</f>
        <v>6.4683053040103496E-3</v>
      </c>
      <c r="AI221" s="106">
        <f>294/773</f>
        <v>0.38033635187580855</v>
      </c>
      <c r="AJ221" s="105">
        <v>0.58214747736093142</v>
      </c>
      <c r="AK221" s="105">
        <v>1.2E-2</v>
      </c>
      <c r="AL221" s="12">
        <v>0</v>
      </c>
      <c r="AM221" s="12">
        <v>21</v>
      </c>
      <c r="AN221" s="12">
        <v>7</v>
      </c>
      <c r="AO221" s="12">
        <v>219</v>
      </c>
      <c r="AP221" s="12">
        <v>170</v>
      </c>
      <c r="AQ221" s="12">
        <v>202</v>
      </c>
      <c r="AR221" s="12">
        <v>154</v>
      </c>
      <c r="AS221" s="59">
        <v>3.0973451327433628E-2</v>
      </c>
      <c r="AT221" s="3">
        <v>8</v>
      </c>
      <c r="AU221" s="3">
        <v>6</v>
      </c>
      <c r="AV221" s="54">
        <v>56.69291338582677</v>
      </c>
      <c r="AW221" s="54">
        <v>19.160104986876643</v>
      </c>
      <c r="AX221" s="54">
        <v>22.309711286089239</v>
      </c>
      <c r="AY221" s="68">
        <v>1.837270341207349</v>
      </c>
      <c r="AZ221" s="59">
        <v>0.11056126039886358</v>
      </c>
      <c r="BA221" s="59">
        <v>0.18347509113001215</v>
      </c>
      <c r="BB221" s="77">
        <v>92.9845460829508</v>
      </c>
      <c r="BC221" s="49">
        <v>16.646415552855402</v>
      </c>
      <c r="BD221" s="90" t="s">
        <v>83</v>
      </c>
      <c r="BE221" s="93">
        <v>0</v>
      </c>
      <c r="BF221" s="49">
        <v>2.8</v>
      </c>
      <c r="BG221" s="49">
        <v>1.8</v>
      </c>
      <c r="BH221" s="49">
        <v>1.5</v>
      </c>
      <c r="BI221" s="49">
        <v>0</v>
      </c>
      <c r="BJ221" s="85">
        <v>18.3</v>
      </c>
      <c r="BK221" s="129">
        <v>8655</v>
      </c>
      <c r="BL221" s="129">
        <v>48592</v>
      </c>
      <c r="BM221" s="129">
        <v>51909</v>
      </c>
      <c r="BN221" s="129">
        <v>43056</v>
      </c>
      <c r="BO221" s="59">
        <v>3.7699999999999997E-2</v>
      </c>
      <c r="BP221" s="59">
        <v>0.45029999999999998</v>
      </c>
      <c r="BQ221" s="59">
        <v>0.1208</v>
      </c>
      <c r="BR221" s="59">
        <v>1.5100000000000001E-2</v>
      </c>
      <c r="BS221" s="59">
        <v>0</v>
      </c>
      <c r="BT221" s="49">
        <v>12.9</v>
      </c>
      <c r="BU221" s="59">
        <f t="shared" si="16"/>
        <v>0.62390000000000001</v>
      </c>
      <c r="BV221" s="59">
        <v>3.0200000000000001E-2</v>
      </c>
      <c r="BW221" s="59">
        <v>0</v>
      </c>
      <c r="BX221" s="59">
        <v>4.53E-2</v>
      </c>
      <c r="BY221" s="59">
        <v>0</v>
      </c>
      <c r="BZ221" s="59">
        <v>0</v>
      </c>
      <c r="CA221" s="49">
        <v>18</v>
      </c>
      <c r="CB221" s="59">
        <f t="shared" si="17"/>
        <v>7.5499999999999998E-2</v>
      </c>
      <c r="CC221" s="59">
        <v>0.308</v>
      </c>
      <c r="CD221" s="125">
        <v>0.46539999999999998</v>
      </c>
      <c r="CE221" s="125">
        <v>0.21149999999999999</v>
      </c>
      <c r="CF221" s="125">
        <v>1.5100000000000001E-2</v>
      </c>
      <c r="CG221" s="125">
        <v>0</v>
      </c>
      <c r="CH221" s="85">
        <v>12.7</v>
      </c>
      <c r="CI221" s="39" t="s">
        <v>346</v>
      </c>
      <c r="CJ221" s="18" t="s">
        <v>80</v>
      </c>
      <c r="CK221" s="20"/>
    </row>
    <row r="222" spans="1:89" x14ac:dyDescent="0.25">
      <c r="A222" s="18" t="s">
        <v>80</v>
      </c>
      <c r="B222" s="19" t="s">
        <v>344</v>
      </c>
      <c r="C222" s="39" t="s">
        <v>347</v>
      </c>
      <c r="D222" s="40">
        <v>47</v>
      </c>
      <c r="E222" s="40">
        <v>1</v>
      </c>
      <c r="F222" s="40">
        <v>46</v>
      </c>
      <c r="G222" s="162" t="s">
        <v>83</v>
      </c>
      <c r="H222" s="166">
        <v>1</v>
      </c>
      <c r="I222" s="166">
        <v>0</v>
      </c>
      <c r="J222" s="166">
        <v>18</v>
      </c>
      <c r="K222" s="166">
        <v>12</v>
      </c>
      <c r="L222" s="166">
        <v>11</v>
      </c>
      <c r="M222" s="166">
        <v>5</v>
      </c>
      <c r="N222" s="119">
        <v>5.83850931677019E-2</v>
      </c>
      <c r="O222" s="119">
        <v>5.9050064184852397E-2</v>
      </c>
      <c r="P222" s="116" t="s">
        <v>83</v>
      </c>
      <c r="Q222" s="119">
        <v>3.8461538461538498E-2</v>
      </c>
      <c r="R222" s="119">
        <v>0</v>
      </c>
      <c r="S222" s="119">
        <v>7.2289156626505993E-2</v>
      </c>
      <c r="T222" s="119">
        <v>7.0588235294117604E-2</v>
      </c>
      <c r="U222" s="119">
        <v>5.7291666666666699E-2</v>
      </c>
      <c r="V222" s="119">
        <v>3.0864197530864199E-2</v>
      </c>
      <c r="W222" s="40">
        <v>755</v>
      </c>
      <c r="X222" s="40">
        <f t="shared" si="14"/>
        <v>729</v>
      </c>
      <c r="Y222" s="40">
        <f t="shared" si="15"/>
        <v>755</v>
      </c>
      <c r="Z222" s="105">
        <v>0.46400000000000002</v>
      </c>
      <c r="AA222" s="105">
        <v>0.53600000000000003</v>
      </c>
      <c r="AB222" s="106">
        <v>0</v>
      </c>
      <c r="AC222" s="106">
        <f>11/755</f>
        <v>1.456953642384106E-2</v>
      </c>
      <c r="AD222" s="106">
        <f>418/755</f>
        <v>0.55364238410596023</v>
      </c>
      <c r="AE222" s="106">
        <f>8/755</f>
        <v>1.0596026490066225E-2</v>
      </c>
      <c r="AF222" s="106">
        <v>0</v>
      </c>
      <c r="AG222" s="106">
        <f>299/755</f>
        <v>0.39602649006622515</v>
      </c>
      <c r="AH222" s="106">
        <f>19/755</f>
        <v>2.5165562913907286E-2</v>
      </c>
      <c r="AI222" s="106">
        <f>456/755</f>
        <v>0.60397350993377485</v>
      </c>
      <c r="AJ222" s="105">
        <v>0.70860927152317876</v>
      </c>
      <c r="AK222" s="105">
        <v>1.2999999999999999E-2</v>
      </c>
      <c r="AL222" s="12">
        <v>0</v>
      </c>
      <c r="AM222" s="12">
        <v>26</v>
      </c>
      <c r="AN222" s="12">
        <v>5</v>
      </c>
      <c r="AO222" s="12">
        <v>231</v>
      </c>
      <c r="AP222" s="12">
        <v>155</v>
      </c>
      <c r="AQ222" s="12">
        <v>180</v>
      </c>
      <c r="AR222" s="12">
        <v>158</v>
      </c>
      <c r="AS222" s="59">
        <v>2.1186440677966101E-2</v>
      </c>
      <c r="AT222" s="3">
        <v>8</v>
      </c>
      <c r="AU222" s="3">
        <v>6</v>
      </c>
      <c r="AV222" s="54">
        <v>59.114583333333336</v>
      </c>
      <c r="AW222" s="54">
        <v>17.708333333333336</v>
      </c>
      <c r="AX222" s="54">
        <v>22.395833333333336</v>
      </c>
      <c r="AY222" s="68">
        <v>0.78125</v>
      </c>
      <c r="AZ222" s="59">
        <v>9.8873591989987478E-2</v>
      </c>
      <c r="BA222" s="59">
        <v>0.1902377972465582</v>
      </c>
      <c r="BB222" s="76">
        <v>92.642474906659899</v>
      </c>
      <c r="BC222" s="49">
        <v>19.101123595505602</v>
      </c>
      <c r="BD222" s="90" t="s">
        <v>83</v>
      </c>
      <c r="BE222" s="93">
        <v>0</v>
      </c>
      <c r="BF222" s="49">
        <v>12.2</v>
      </c>
      <c r="BG222" s="49">
        <v>6.5</v>
      </c>
      <c r="BH222" s="49">
        <v>2.4</v>
      </c>
      <c r="BI222" s="49">
        <v>1.3</v>
      </c>
      <c r="BJ222" s="85">
        <v>17.399999999999999</v>
      </c>
      <c r="BK222" s="129">
        <v>9870</v>
      </c>
      <c r="BL222" s="129">
        <v>50489</v>
      </c>
      <c r="BM222" s="129">
        <v>50306</v>
      </c>
      <c r="BN222" s="129">
        <v>43740</v>
      </c>
      <c r="BO222" s="59">
        <v>1.3299999999999999E-2</v>
      </c>
      <c r="BP222" s="59">
        <v>0.39639999999999997</v>
      </c>
      <c r="BQ222" s="59">
        <v>0.17249999999999999</v>
      </c>
      <c r="BR222" s="59">
        <v>0</v>
      </c>
      <c r="BS222" s="59">
        <v>0</v>
      </c>
      <c r="BT222" s="49">
        <v>12.6</v>
      </c>
      <c r="BU222" s="59">
        <f t="shared" si="16"/>
        <v>0.58219999999999994</v>
      </c>
      <c r="BV222" s="59">
        <v>3.9800000000000002E-2</v>
      </c>
      <c r="BW222" s="59">
        <v>1.3299999999999999E-2</v>
      </c>
      <c r="BX222" s="59">
        <v>3.9800000000000002E-2</v>
      </c>
      <c r="BY222" s="59">
        <v>0</v>
      </c>
      <c r="BZ222" s="59">
        <v>0</v>
      </c>
      <c r="CA222" s="49">
        <v>20.3</v>
      </c>
      <c r="CB222" s="59">
        <f t="shared" si="17"/>
        <v>9.290000000000001E-2</v>
      </c>
      <c r="CC222" s="59">
        <v>0.32490000000000002</v>
      </c>
      <c r="CD222" s="125">
        <v>0.43619999999999998</v>
      </c>
      <c r="CE222" s="125">
        <v>0.2389</v>
      </c>
      <c r="CF222" s="125">
        <v>0</v>
      </c>
      <c r="CG222" s="125">
        <v>0</v>
      </c>
      <c r="CH222" s="85">
        <v>13.8</v>
      </c>
      <c r="CI222" s="39" t="s">
        <v>347</v>
      </c>
      <c r="CJ222" s="18" t="s">
        <v>80</v>
      </c>
      <c r="CK222" s="20"/>
    </row>
    <row r="223" spans="1:89" x14ac:dyDescent="0.25">
      <c r="A223" s="18" t="s">
        <v>80</v>
      </c>
      <c r="B223" s="19" t="s">
        <v>348</v>
      </c>
      <c r="C223" s="39" t="s">
        <v>349</v>
      </c>
      <c r="D223" s="40">
        <v>6</v>
      </c>
      <c r="E223" s="40" t="s">
        <v>83</v>
      </c>
      <c r="F223" s="40">
        <v>6</v>
      </c>
      <c r="G223" s="162" t="s">
        <v>83</v>
      </c>
      <c r="H223" s="162" t="s">
        <v>83</v>
      </c>
      <c r="I223" s="166">
        <v>0</v>
      </c>
      <c r="J223" s="166">
        <v>0</v>
      </c>
      <c r="K223" s="166">
        <v>2</v>
      </c>
      <c r="L223" s="166">
        <v>1</v>
      </c>
      <c r="M223" s="166">
        <v>3</v>
      </c>
      <c r="N223" s="119">
        <v>1.0135135135135099E-2</v>
      </c>
      <c r="O223" s="119">
        <v>1.0135135135135099E-2</v>
      </c>
      <c r="P223" s="116" t="s">
        <v>83</v>
      </c>
      <c r="Q223" s="116" t="s">
        <v>83</v>
      </c>
      <c r="R223" s="119">
        <v>0</v>
      </c>
      <c r="S223" s="119">
        <v>0</v>
      </c>
      <c r="T223" s="119">
        <v>1.22699386503067E-2</v>
      </c>
      <c r="U223" s="119">
        <v>6.8027210884353704E-3</v>
      </c>
      <c r="V223" s="119">
        <v>2.4793388429752101E-2</v>
      </c>
      <c r="W223" s="40">
        <v>554</v>
      </c>
      <c r="X223" s="40">
        <f t="shared" si="14"/>
        <v>554</v>
      </c>
      <c r="Y223" s="40">
        <f t="shared" si="15"/>
        <v>554</v>
      </c>
      <c r="Z223" s="105">
        <v>0.502</v>
      </c>
      <c r="AA223" s="105">
        <v>0.498</v>
      </c>
      <c r="AB223" s="106">
        <f>4/554</f>
        <v>7.2202166064981952E-3</v>
      </c>
      <c r="AC223" s="106">
        <f>3/554</f>
        <v>5.415162454873646E-3</v>
      </c>
      <c r="AD223" s="106">
        <f>49/554</f>
        <v>8.8447653429602882E-2</v>
      </c>
      <c r="AE223" s="106">
        <f>44/554</f>
        <v>7.9422382671480149E-2</v>
      </c>
      <c r="AF223" s="106">
        <v>0</v>
      </c>
      <c r="AG223" s="106">
        <f>435/554</f>
        <v>0.78519855595667865</v>
      </c>
      <c r="AH223" s="106">
        <f>19/554</f>
        <v>3.4296028880866428E-2</v>
      </c>
      <c r="AI223" s="106">
        <f>119/554</f>
        <v>0.2148014440433213</v>
      </c>
      <c r="AJ223" s="105">
        <v>0.44765342960288806</v>
      </c>
      <c r="AK223" s="105">
        <v>2.9000000000000001E-2</v>
      </c>
      <c r="AL223" s="12">
        <v>0</v>
      </c>
      <c r="AM223" s="12">
        <v>0</v>
      </c>
      <c r="AN223" s="12">
        <v>1</v>
      </c>
      <c r="AO223" s="12">
        <v>145</v>
      </c>
      <c r="AP223" s="12">
        <v>152</v>
      </c>
      <c r="AQ223" s="12">
        <v>140</v>
      </c>
      <c r="AR223" s="12">
        <v>116</v>
      </c>
      <c r="AS223" s="59">
        <v>6.8493150684931503E-3</v>
      </c>
      <c r="AT223" s="3">
        <v>9</v>
      </c>
      <c r="AU223" s="3">
        <v>6</v>
      </c>
      <c r="AV223" s="54">
        <v>51.851851851851848</v>
      </c>
      <c r="AW223" s="54">
        <v>29.629629629629626</v>
      </c>
      <c r="AX223" s="54">
        <v>17.283950617283949</v>
      </c>
      <c r="AY223" s="68">
        <v>1.2345679012345678</v>
      </c>
      <c r="AZ223" s="59">
        <v>7.694381262627438E-2</v>
      </c>
      <c r="BA223" s="59">
        <v>6.1547620468478653E-3</v>
      </c>
      <c r="BB223" s="77">
        <v>93.928291624721695</v>
      </c>
      <c r="BC223" s="49">
        <v>14.309764309764301</v>
      </c>
      <c r="BD223" s="90" t="s">
        <v>83</v>
      </c>
      <c r="BE223" s="90" t="s">
        <v>83</v>
      </c>
      <c r="BF223" s="49">
        <v>2.9</v>
      </c>
      <c r="BG223" s="49">
        <v>0</v>
      </c>
      <c r="BH223" s="49">
        <v>0</v>
      </c>
      <c r="BI223" s="49">
        <v>1.7</v>
      </c>
      <c r="BJ223" s="85">
        <v>21</v>
      </c>
      <c r="BK223" s="129">
        <v>9967</v>
      </c>
      <c r="BL223" s="129">
        <v>50810</v>
      </c>
      <c r="BM223" s="129">
        <v>46476</v>
      </c>
      <c r="BN223" s="129">
        <v>42376</v>
      </c>
      <c r="BO223" s="59">
        <v>1.8200000000000001E-2</v>
      </c>
      <c r="BP223" s="59">
        <v>0.36180000000000001</v>
      </c>
      <c r="BQ223" s="59">
        <v>0.19889999999999999</v>
      </c>
      <c r="BR223" s="59">
        <v>0</v>
      </c>
      <c r="BS223" s="59">
        <v>0</v>
      </c>
      <c r="BT223" s="49">
        <v>14</v>
      </c>
      <c r="BU223" s="59">
        <f t="shared" si="16"/>
        <v>0.57889999999999997</v>
      </c>
      <c r="BV223" s="59">
        <v>5.4699999999999999E-2</v>
      </c>
      <c r="BW223" s="59">
        <v>0</v>
      </c>
      <c r="BX223" s="59">
        <v>1.8200000000000001E-2</v>
      </c>
      <c r="BY223" s="59">
        <v>0</v>
      </c>
      <c r="BZ223" s="59">
        <v>1.8200000000000001E-2</v>
      </c>
      <c r="CA223" s="49">
        <v>10.199999999999999</v>
      </c>
      <c r="CB223" s="59">
        <f t="shared" si="17"/>
        <v>9.1099999999999987E-2</v>
      </c>
      <c r="CC223" s="59">
        <v>0.34060000000000001</v>
      </c>
      <c r="CD223" s="125">
        <v>0.38279999999999997</v>
      </c>
      <c r="CE223" s="125">
        <v>0.25840000000000002</v>
      </c>
      <c r="CF223" s="125">
        <v>0</v>
      </c>
      <c r="CG223" s="125">
        <v>1.8200000000000001E-2</v>
      </c>
      <c r="CH223" s="85">
        <v>12.8</v>
      </c>
      <c r="CI223" s="39" t="s">
        <v>349</v>
      </c>
      <c r="CJ223" s="18" t="s">
        <v>80</v>
      </c>
      <c r="CK223" s="20"/>
    </row>
    <row r="224" spans="1:89" x14ac:dyDescent="0.25">
      <c r="A224" s="18" t="s">
        <v>80</v>
      </c>
      <c r="B224" s="19" t="s">
        <v>348</v>
      </c>
      <c r="C224" s="39" t="s">
        <v>350</v>
      </c>
      <c r="D224" s="40">
        <v>0</v>
      </c>
      <c r="E224" s="40">
        <v>0</v>
      </c>
      <c r="F224" s="40">
        <v>0</v>
      </c>
      <c r="G224" s="166">
        <v>0</v>
      </c>
      <c r="H224" s="166">
        <v>0</v>
      </c>
      <c r="I224" s="166">
        <v>0</v>
      </c>
      <c r="J224" s="166">
        <v>0</v>
      </c>
      <c r="K224" s="166">
        <v>0</v>
      </c>
      <c r="L224" s="166">
        <v>0</v>
      </c>
      <c r="M224" s="166">
        <v>0</v>
      </c>
      <c r="N224" s="119">
        <v>0</v>
      </c>
      <c r="O224" s="119">
        <v>0</v>
      </c>
      <c r="P224" s="119">
        <v>0</v>
      </c>
      <c r="Q224" s="119">
        <v>0</v>
      </c>
      <c r="R224" s="119">
        <v>0</v>
      </c>
      <c r="S224" s="119">
        <v>0</v>
      </c>
      <c r="T224" s="119">
        <v>0</v>
      </c>
      <c r="U224" s="119">
        <v>0</v>
      </c>
      <c r="V224" s="119">
        <v>0</v>
      </c>
      <c r="W224" s="40">
        <v>596</v>
      </c>
      <c r="X224" s="40">
        <f t="shared" si="14"/>
        <v>185</v>
      </c>
      <c r="Y224" s="40">
        <f t="shared" si="15"/>
        <v>278</v>
      </c>
      <c r="Z224" s="105">
        <v>0.50800000000000001</v>
      </c>
      <c r="AA224" s="105">
        <v>0.49199999999999999</v>
      </c>
      <c r="AB224" s="106">
        <f>10/596</f>
        <v>1.6778523489932886E-2</v>
      </c>
      <c r="AC224" s="106">
        <v>0</v>
      </c>
      <c r="AD224" s="106">
        <f>190/596</f>
        <v>0.31879194630872482</v>
      </c>
      <c r="AE224" s="106">
        <f>12/596</f>
        <v>2.0134228187919462E-2</v>
      </c>
      <c r="AF224" s="106">
        <v>0</v>
      </c>
      <c r="AG224" s="106">
        <f>343/596</f>
        <v>0.57550335570469802</v>
      </c>
      <c r="AH224" s="106">
        <f>41/596</f>
        <v>6.879194630872483E-2</v>
      </c>
      <c r="AI224" s="106">
        <f>253/596</f>
        <v>0.42449664429530204</v>
      </c>
      <c r="AJ224" s="105">
        <v>0.69295302013422821</v>
      </c>
      <c r="AK224" s="105">
        <v>8.0000000000000002E-3</v>
      </c>
      <c r="AL224" s="12">
        <v>45</v>
      </c>
      <c r="AM224" s="12">
        <v>48</v>
      </c>
      <c r="AN224" s="12">
        <v>2</v>
      </c>
      <c r="AO224" s="12">
        <v>41</v>
      </c>
      <c r="AP224" s="12">
        <v>54</v>
      </c>
      <c r="AQ224" s="12">
        <v>57</v>
      </c>
      <c r="AR224" s="12">
        <v>31</v>
      </c>
      <c r="AS224" s="59">
        <v>4.6511627906976744E-2</v>
      </c>
      <c r="AT224" s="3">
        <v>1</v>
      </c>
      <c r="AU224" s="3">
        <v>6</v>
      </c>
      <c r="AV224" s="54">
        <v>68.181818181818173</v>
      </c>
      <c r="AW224" s="54">
        <v>24.380165289256198</v>
      </c>
      <c r="AX224" s="54">
        <v>7.4380165289256199</v>
      </c>
      <c r="AY224" s="68">
        <v>0</v>
      </c>
      <c r="AZ224" s="59">
        <v>0.12868217054263567</v>
      </c>
      <c r="BA224" s="59">
        <v>1.9378441283506364E-2</v>
      </c>
      <c r="BB224" s="76">
        <v>92.9624221854463</v>
      </c>
      <c r="BC224" s="49">
        <v>34.1894060995185</v>
      </c>
      <c r="BD224" s="93">
        <v>0</v>
      </c>
      <c r="BE224" s="49">
        <v>2.2000000000000002</v>
      </c>
      <c r="BF224" s="49">
        <v>2.6</v>
      </c>
      <c r="BG224" s="49">
        <v>0</v>
      </c>
      <c r="BH224" s="49">
        <v>0</v>
      </c>
      <c r="BI224" s="49">
        <v>0</v>
      </c>
      <c r="BJ224" s="85">
        <v>18.5</v>
      </c>
      <c r="BK224" s="129">
        <v>11998</v>
      </c>
      <c r="BL224" s="129">
        <v>48963</v>
      </c>
      <c r="BM224" s="129">
        <v>48890</v>
      </c>
      <c r="BN224" s="129">
        <v>40375</v>
      </c>
      <c r="BO224" s="59">
        <v>0</v>
      </c>
      <c r="BP224" s="59">
        <v>0.43730000000000002</v>
      </c>
      <c r="BQ224" s="59">
        <v>9.6600000000000005E-2</v>
      </c>
      <c r="BR224" s="59">
        <v>1.2500000000000001E-2</v>
      </c>
      <c r="BS224" s="59">
        <v>0</v>
      </c>
      <c r="BT224" s="49">
        <v>16.600000000000001</v>
      </c>
      <c r="BU224" s="59">
        <f t="shared" si="16"/>
        <v>0.5464</v>
      </c>
      <c r="BV224" s="59">
        <v>2.4899999999999999E-2</v>
      </c>
      <c r="BW224" s="59">
        <v>0</v>
      </c>
      <c r="BX224" s="59">
        <v>2.4400000000000002E-2</v>
      </c>
      <c r="BY224" s="59">
        <v>0</v>
      </c>
      <c r="BZ224" s="59">
        <v>0</v>
      </c>
      <c r="CA224" s="49">
        <v>26.5</v>
      </c>
      <c r="CB224" s="59">
        <f t="shared" si="17"/>
        <v>4.9299999999999997E-2</v>
      </c>
      <c r="CC224" s="59">
        <v>0.35620000000000002</v>
      </c>
      <c r="CD224" s="125">
        <v>0.46839999999999998</v>
      </c>
      <c r="CE224" s="125">
        <v>0.16300000000000001</v>
      </c>
      <c r="CF224" s="125">
        <v>1.2500000000000001E-2</v>
      </c>
      <c r="CG224" s="125">
        <v>0</v>
      </c>
      <c r="CH224" s="85">
        <v>15.6</v>
      </c>
      <c r="CI224" s="39" t="s">
        <v>350</v>
      </c>
      <c r="CJ224" s="18" t="s">
        <v>80</v>
      </c>
      <c r="CK224" s="20"/>
    </row>
    <row r="225" spans="1:99" x14ac:dyDescent="0.25">
      <c r="A225" s="18" t="s">
        <v>80</v>
      </c>
      <c r="B225" s="19" t="s">
        <v>348</v>
      </c>
      <c r="C225" s="39" t="s">
        <v>351</v>
      </c>
      <c r="D225" s="40">
        <v>16</v>
      </c>
      <c r="E225" s="40" t="s">
        <v>83</v>
      </c>
      <c r="F225" s="40">
        <v>16</v>
      </c>
      <c r="G225" s="162" t="s">
        <v>83</v>
      </c>
      <c r="H225" s="162" t="s">
        <v>83</v>
      </c>
      <c r="I225" s="166">
        <v>1</v>
      </c>
      <c r="J225" s="166">
        <v>5</v>
      </c>
      <c r="K225" s="166">
        <v>4</v>
      </c>
      <c r="L225" s="166">
        <v>1</v>
      </c>
      <c r="M225" s="166">
        <v>5</v>
      </c>
      <c r="N225" s="119">
        <v>3.2653061224489799E-2</v>
      </c>
      <c r="O225" s="119">
        <v>3.2653061224489799E-2</v>
      </c>
      <c r="P225" s="116" t="s">
        <v>83</v>
      </c>
      <c r="Q225" s="116" t="s">
        <v>83</v>
      </c>
      <c r="R225" s="119">
        <v>6.6666666666666693E-2</v>
      </c>
      <c r="S225" s="119">
        <v>3.9370078740157501E-2</v>
      </c>
      <c r="T225" s="119">
        <v>3.2000000000000001E-2</v>
      </c>
      <c r="U225" s="119">
        <v>8.7719298245613996E-3</v>
      </c>
      <c r="V225" s="119">
        <v>4.5871559633027498E-2</v>
      </c>
      <c r="W225" s="40">
        <v>449</v>
      </c>
      <c r="X225" s="40">
        <f t="shared" si="14"/>
        <v>449</v>
      </c>
      <c r="Y225" s="40">
        <f t="shared" si="15"/>
        <v>449</v>
      </c>
      <c r="Z225" s="105">
        <v>0.48599999999999999</v>
      </c>
      <c r="AA225" s="105">
        <v>0.51500000000000001</v>
      </c>
      <c r="AB225" s="106">
        <f>3/449</f>
        <v>6.6815144766146995E-3</v>
      </c>
      <c r="AC225" s="106">
        <v>0</v>
      </c>
      <c r="AD225" s="106">
        <f>342/449</f>
        <v>0.76169265033407574</v>
      </c>
      <c r="AE225" s="106">
        <f>20/449</f>
        <v>4.4543429844097995E-2</v>
      </c>
      <c r="AF225" s="106">
        <v>0</v>
      </c>
      <c r="AG225" s="106">
        <f>81/449</f>
        <v>0.18040089086859687</v>
      </c>
      <c r="AH225" s="106">
        <f>3/449</f>
        <v>6.6815144766146995E-3</v>
      </c>
      <c r="AI225" s="106">
        <f>368/449</f>
        <v>0.8195991091314031</v>
      </c>
      <c r="AJ225" s="105">
        <v>0.80400890868596886</v>
      </c>
      <c r="AK225" s="105">
        <v>0.02</v>
      </c>
      <c r="AL225" s="12">
        <v>0</v>
      </c>
      <c r="AM225" s="12">
        <v>0</v>
      </c>
      <c r="AN225" s="12">
        <v>10</v>
      </c>
      <c r="AO225" s="12">
        <v>133</v>
      </c>
      <c r="AP225" s="12">
        <v>106</v>
      </c>
      <c r="AQ225" s="12">
        <v>103</v>
      </c>
      <c r="AR225" s="12">
        <v>97</v>
      </c>
      <c r="AS225" s="59">
        <v>6.9930069930069935E-2</v>
      </c>
      <c r="AT225" s="3">
        <v>9</v>
      </c>
      <c r="AU225" s="3">
        <v>6</v>
      </c>
      <c r="AV225" s="54">
        <v>70.606060606060609</v>
      </c>
      <c r="AW225" s="54">
        <v>14.242424242424242</v>
      </c>
      <c r="AX225" s="54">
        <v>15.151515151515152</v>
      </c>
      <c r="AY225" s="68">
        <v>0</v>
      </c>
      <c r="AZ225" s="59">
        <v>0.40618556701030928</v>
      </c>
      <c r="BA225" s="59">
        <v>2.9267471808553751E-2</v>
      </c>
      <c r="BB225" s="77">
        <v>92.160831265411801</v>
      </c>
      <c r="BC225" s="49">
        <v>34.226804123711297</v>
      </c>
      <c r="BD225" s="90" t="s">
        <v>83</v>
      </c>
      <c r="BE225" s="90" t="s">
        <v>83</v>
      </c>
      <c r="BF225" s="49">
        <v>30.6</v>
      </c>
      <c r="BG225" s="49">
        <v>18.600000000000001</v>
      </c>
      <c r="BH225" s="49">
        <v>12.6</v>
      </c>
      <c r="BI225" s="49">
        <v>5.2</v>
      </c>
      <c r="BJ225" s="85">
        <v>17</v>
      </c>
      <c r="BK225" s="129">
        <v>11824</v>
      </c>
      <c r="BL225" s="129">
        <v>50734</v>
      </c>
      <c r="BM225" s="129">
        <v>46299</v>
      </c>
      <c r="BN225" s="129">
        <v>42189</v>
      </c>
      <c r="BO225" s="59">
        <v>1.8200000000000001E-2</v>
      </c>
      <c r="BP225" s="59">
        <v>0.35699999999999998</v>
      </c>
      <c r="BQ225" s="59">
        <v>0.17780000000000001</v>
      </c>
      <c r="BR225" s="59">
        <v>0</v>
      </c>
      <c r="BS225" s="59">
        <v>0</v>
      </c>
      <c r="BT225" s="49">
        <v>15</v>
      </c>
      <c r="BU225" s="59">
        <f t="shared" si="16"/>
        <v>0.55299999999999994</v>
      </c>
      <c r="BV225" s="59">
        <v>4.9500000000000002E-2</v>
      </c>
      <c r="BW225" s="59">
        <v>0</v>
      </c>
      <c r="BX225" s="59">
        <v>3.6499999999999998E-2</v>
      </c>
      <c r="BY225" s="59">
        <v>0</v>
      </c>
      <c r="BZ225" s="59">
        <v>0</v>
      </c>
      <c r="CA225" s="49">
        <v>23.5</v>
      </c>
      <c r="CB225" s="59">
        <f t="shared" si="17"/>
        <v>8.5999999999999993E-2</v>
      </c>
      <c r="CC225" s="59">
        <v>0.33889999999999998</v>
      </c>
      <c r="CD225" s="125">
        <v>0.40110000000000001</v>
      </c>
      <c r="CE225" s="125">
        <v>0.25990000000000002</v>
      </c>
      <c r="CF225" s="125">
        <v>0</v>
      </c>
      <c r="CG225" s="125">
        <v>0</v>
      </c>
      <c r="CH225" s="85">
        <v>15.2</v>
      </c>
      <c r="CI225" s="39" t="s">
        <v>351</v>
      </c>
      <c r="CJ225" s="18" t="s">
        <v>80</v>
      </c>
      <c r="CK225" s="20"/>
    </row>
    <row r="226" spans="1:99" x14ac:dyDescent="0.25">
      <c r="A226" s="18" t="s">
        <v>80</v>
      </c>
      <c r="B226" s="19" t="s">
        <v>348</v>
      </c>
      <c r="C226" s="39" t="s">
        <v>352</v>
      </c>
      <c r="D226" s="40">
        <v>23</v>
      </c>
      <c r="E226" s="40" t="s">
        <v>83</v>
      </c>
      <c r="F226" s="40">
        <v>23</v>
      </c>
      <c r="G226" s="162" t="s">
        <v>83</v>
      </c>
      <c r="H226" s="162" t="s">
        <v>83</v>
      </c>
      <c r="I226" s="166">
        <v>1</v>
      </c>
      <c r="J226" s="166">
        <v>3</v>
      </c>
      <c r="K226" s="166">
        <v>12</v>
      </c>
      <c r="L226" s="166">
        <v>5</v>
      </c>
      <c r="M226" s="166">
        <v>2</v>
      </c>
      <c r="N226" s="119">
        <v>2.6900584795321598E-2</v>
      </c>
      <c r="O226" s="119">
        <v>2.6900584795321598E-2</v>
      </c>
      <c r="P226" s="116" t="s">
        <v>83</v>
      </c>
      <c r="Q226" s="116" t="s">
        <v>83</v>
      </c>
      <c r="R226" s="119">
        <v>4.7619047619047603E-2</v>
      </c>
      <c r="S226" s="119">
        <v>1.1194029850746299E-2</v>
      </c>
      <c r="T226" s="119">
        <v>5.9701492537313397E-2</v>
      </c>
      <c r="U226" s="119">
        <v>2.5510204081632699E-2</v>
      </c>
      <c r="V226" s="119">
        <v>1.18343195266272E-2</v>
      </c>
      <c r="W226" s="40">
        <v>789</v>
      </c>
      <c r="X226" s="40">
        <f t="shared" si="14"/>
        <v>789</v>
      </c>
      <c r="Y226" s="40">
        <f t="shared" si="15"/>
        <v>789</v>
      </c>
      <c r="Z226" s="105">
        <v>0.51800000000000002</v>
      </c>
      <c r="AA226" s="105">
        <v>0.48199999999999998</v>
      </c>
      <c r="AB226" s="106">
        <f>5/789</f>
        <v>6.3371356147021544E-3</v>
      </c>
      <c r="AC226" s="106">
        <f>43/789</f>
        <v>5.4499366286438533E-2</v>
      </c>
      <c r="AD226" s="106">
        <f>186/789</f>
        <v>0.23574144486692014</v>
      </c>
      <c r="AE226" s="106">
        <f>124/789</f>
        <v>0.15716096324461343</v>
      </c>
      <c r="AF226" s="106">
        <v>0</v>
      </c>
      <c r="AG226" s="106">
        <f>408/789</f>
        <v>0.5171102661596958</v>
      </c>
      <c r="AH226" s="106">
        <f>23/789</f>
        <v>2.9150823827629912E-2</v>
      </c>
      <c r="AI226" s="106">
        <f>381/789</f>
        <v>0.4828897338403042</v>
      </c>
      <c r="AJ226" s="105">
        <v>0.56273764258555137</v>
      </c>
      <c r="AK226" s="105">
        <v>7.4999999999999997E-2</v>
      </c>
      <c r="AL226" s="12">
        <v>0</v>
      </c>
      <c r="AM226" s="12">
        <v>0</v>
      </c>
      <c r="AN226" s="12">
        <v>18</v>
      </c>
      <c r="AO226" s="12">
        <v>246</v>
      </c>
      <c r="AP226" s="12">
        <v>182</v>
      </c>
      <c r="AQ226" s="12">
        <v>180</v>
      </c>
      <c r="AR226" s="12">
        <v>163</v>
      </c>
      <c r="AS226" s="59">
        <v>6.8181818181818177E-2</v>
      </c>
      <c r="AT226" s="3">
        <v>9</v>
      </c>
      <c r="AU226" s="3">
        <v>6</v>
      </c>
      <c r="AV226" s="54">
        <v>64.587973273942083</v>
      </c>
      <c r="AW226" s="54">
        <v>22.048997772828507</v>
      </c>
      <c r="AX226" s="54">
        <v>12.472160356347439</v>
      </c>
      <c r="AY226" s="68">
        <v>0.89086859688195985</v>
      </c>
      <c r="AZ226" s="59">
        <v>0.17119244391971664</v>
      </c>
      <c r="BA226" s="59">
        <v>6.2698906876989006E-4</v>
      </c>
      <c r="BB226" s="76">
        <v>93.737293925968103</v>
      </c>
      <c r="BC226" s="49">
        <v>17.355371900826398</v>
      </c>
      <c r="BD226" s="90" t="s">
        <v>83</v>
      </c>
      <c r="BE226" s="90" t="s">
        <v>83</v>
      </c>
      <c r="BF226" s="49">
        <v>10.8</v>
      </c>
      <c r="BG226" s="49">
        <v>7.7</v>
      </c>
      <c r="BH226" s="49">
        <v>0.6</v>
      </c>
      <c r="BI226" s="49">
        <v>1.8</v>
      </c>
      <c r="BJ226" s="85">
        <v>19.8</v>
      </c>
      <c r="BK226" s="129">
        <v>9783</v>
      </c>
      <c r="BL226" s="129">
        <v>47866</v>
      </c>
      <c r="BM226" s="129">
        <v>47016</v>
      </c>
      <c r="BN226" s="129">
        <v>41880</v>
      </c>
      <c r="BO226" s="59">
        <v>2.7300000000000001E-2</v>
      </c>
      <c r="BP226" s="59">
        <v>0.4904</v>
      </c>
      <c r="BQ226" s="59">
        <v>0.1086</v>
      </c>
      <c r="BR226" s="59">
        <v>0</v>
      </c>
      <c r="BS226" s="59">
        <v>0</v>
      </c>
      <c r="BT226" s="49">
        <v>12.9</v>
      </c>
      <c r="BU226" s="59">
        <f t="shared" si="16"/>
        <v>0.62630000000000008</v>
      </c>
      <c r="BV226" s="59">
        <v>4.0899999999999999E-2</v>
      </c>
      <c r="BW226" s="59">
        <v>0</v>
      </c>
      <c r="BX226" s="59">
        <v>5.45E-2</v>
      </c>
      <c r="BY226" s="59">
        <v>0</v>
      </c>
      <c r="BZ226" s="59">
        <v>0</v>
      </c>
      <c r="CA226" s="49">
        <v>13.3</v>
      </c>
      <c r="CB226" s="59">
        <f t="shared" si="17"/>
        <v>9.5399999999999999E-2</v>
      </c>
      <c r="CC226" s="59">
        <v>0.2913</v>
      </c>
      <c r="CD226" s="125">
        <v>0.50360000000000005</v>
      </c>
      <c r="CE226" s="125">
        <v>0.2051</v>
      </c>
      <c r="CF226" s="125">
        <v>0</v>
      </c>
      <c r="CG226" s="125">
        <v>0</v>
      </c>
      <c r="CH226" s="85">
        <v>12.9</v>
      </c>
      <c r="CI226" s="39" t="s">
        <v>352</v>
      </c>
      <c r="CJ226" s="18" t="s">
        <v>80</v>
      </c>
      <c r="CK226" s="20"/>
    </row>
    <row r="227" spans="1:99" x14ac:dyDescent="0.25">
      <c r="A227" s="18" t="s">
        <v>80</v>
      </c>
      <c r="B227" s="19" t="s">
        <v>348</v>
      </c>
      <c r="C227" s="39" t="s">
        <v>353</v>
      </c>
      <c r="D227" s="40">
        <v>7</v>
      </c>
      <c r="E227" s="40" t="s">
        <v>83</v>
      </c>
      <c r="F227" s="40">
        <v>7</v>
      </c>
      <c r="G227" s="162" t="s">
        <v>83</v>
      </c>
      <c r="H227" s="162" t="s">
        <v>83</v>
      </c>
      <c r="I227" s="166">
        <v>0</v>
      </c>
      <c r="J227" s="166">
        <v>1</v>
      </c>
      <c r="K227" s="166">
        <v>2</v>
      </c>
      <c r="L227" s="166">
        <v>3</v>
      </c>
      <c r="M227" s="166">
        <v>1</v>
      </c>
      <c r="N227" s="119">
        <v>1.4403292181070001E-2</v>
      </c>
      <c r="O227" s="119">
        <v>1.4403292181070001E-2</v>
      </c>
      <c r="P227" s="116" t="s">
        <v>83</v>
      </c>
      <c r="Q227" s="116" t="s">
        <v>83</v>
      </c>
      <c r="R227" s="119">
        <v>0</v>
      </c>
      <c r="S227" s="119">
        <v>7.5757575757575803E-3</v>
      </c>
      <c r="T227" s="119">
        <v>1.6949152542372899E-2</v>
      </c>
      <c r="U227" s="119">
        <v>2.6785714285714302E-2</v>
      </c>
      <c r="V227" s="119">
        <v>9.1743119266055103E-3</v>
      </c>
      <c r="W227" s="40">
        <v>447</v>
      </c>
      <c r="X227" s="40">
        <f t="shared" si="14"/>
        <v>447</v>
      </c>
      <c r="Y227" s="40">
        <f t="shared" si="15"/>
        <v>447</v>
      </c>
      <c r="Z227" s="105">
        <v>0.441</v>
      </c>
      <c r="AA227" s="105">
        <v>0.55900000000000005</v>
      </c>
      <c r="AB227" s="106">
        <f>5/447</f>
        <v>1.1185682326621925E-2</v>
      </c>
      <c r="AC227" s="106">
        <f>1/447</f>
        <v>2.2371364653243847E-3</v>
      </c>
      <c r="AD227" s="106">
        <f>201/447</f>
        <v>0.44966442953020136</v>
      </c>
      <c r="AE227" s="106">
        <f>20/447</f>
        <v>4.4742729306487698E-2</v>
      </c>
      <c r="AF227" s="106">
        <v>0</v>
      </c>
      <c r="AG227" s="106">
        <f>215/447</f>
        <v>0.48098434004474272</v>
      </c>
      <c r="AH227" s="106">
        <f>5/447</f>
        <v>1.1185682326621925E-2</v>
      </c>
      <c r="AI227" s="106">
        <f>232/447</f>
        <v>0.51901565995525722</v>
      </c>
      <c r="AJ227" s="105">
        <v>0.6465324384787472</v>
      </c>
      <c r="AK227" s="105">
        <v>1.2999999999999999E-2</v>
      </c>
      <c r="AL227" s="12">
        <v>0</v>
      </c>
      <c r="AM227" s="12">
        <v>0</v>
      </c>
      <c r="AN227" s="12">
        <v>14</v>
      </c>
      <c r="AO227" s="12">
        <v>116</v>
      </c>
      <c r="AP227" s="12">
        <v>107</v>
      </c>
      <c r="AQ227" s="12">
        <v>110</v>
      </c>
      <c r="AR227" s="12">
        <v>100</v>
      </c>
      <c r="AS227" s="59">
        <v>0.1076923076923077</v>
      </c>
      <c r="AT227" s="3">
        <v>9</v>
      </c>
      <c r="AU227" s="3">
        <v>6</v>
      </c>
      <c r="AV227" s="54">
        <v>69.469026548672559</v>
      </c>
      <c r="AW227" s="54">
        <v>16.371681415929203</v>
      </c>
      <c r="AX227" s="54">
        <v>14.159292035398231</v>
      </c>
      <c r="AY227" s="68">
        <v>0</v>
      </c>
      <c r="AZ227" s="59">
        <v>0.25567010309278349</v>
      </c>
      <c r="BA227" s="59">
        <v>9.2470453190702656E-3</v>
      </c>
      <c r="BB227" s="77">
        <v>92.687770361535996</v>
      </c>
      <c r="BC227" s="49">
        <v>25.979381443299001</v>
      </c>
      <c r="BD227" s="90" t="s">
        <v>83</v>
      </c>
      <c r="BE227" s="90" t="s">
        <v>83</v>
      </c>
      <c r="BF227" s="49">
        <v>8.6999999999999993</v>
      </c>
      <c r="BG227" s="49">
        <v>2.1</v>
      </c>
      <c r="BH227" s="49">
        <v>1</v>
      </c>
      <c r="BI227" s="49">
        <v>1</v>
      </c>
      <c r="BJ227" s="85">
        <v>17.3</v>
      </c>
      <c r="BK227" s="129">
        <v>10227</v>
      </c>
      <c r="BL227" s="129">
        <v>47287</v>
      </c>
      <c r="BM227" s="129">
        <v>46819</v>
      </c>
      <c r="BN227" s="129">
        <v>41546</v>
      </c>
      <c r="BO227" s="59">
        <v>0</v>
      </c>
      <c r="BP227" s="59">
        <v>0.43640000000000001</v>
      </c>
      <c r="BQ227" s="59">
        <v>0.18640000000000001</v>
      </c>
      <c r="BR227" s="59">
        <v>0</v>
      </c>
      <c r="BS227" s="59">
        <v>0</v>
      </c>
      <c r="BT227" s="49">
        <v>11</v>
      </c>
      <c r="BU227" s="59">
        <f t="shared" si="16"/>
        <v>0.62280000000000002</v>
      </c>
      <c r="BV227" s="59">
        <v>4.5499999999999999E-2</v>
      </c>
      <c r="BW227" s="59">
        <v>0</v>
      </c>
      <c r="BX227" s="59">
        <v>4.5499999999999999E-2</v>
      </c>
      <c r="BY227" s="59">
        <v>0</v>
      </c>
      <c r="BZ227" s="59">
        <v>0</v>
      </c>
      <c r="CA227" s="49">
        <v>9.5</v>
      </c>
      <c r="CB227" s="59">
        <f t="shared" si="17"/>
        <v>9.0999999999999998E-2</v>
      </c>
      <c r="CC227" s="59">
        <v>0.2046</v>
      </c>
      <c r="CD227" s="125">
        <v>0.52280000000000004</v>
      </c>
      <c r="CE227" s="125">
        <v>0.2616</v>
      </c>
      <c r="CF227" s="125">
        <v>1.0999999999999999E-2</v>
      </c>
      <c r="CG227" s="125">
        <v>0</v>
      </c>
      <c r="CH227" s="85">
        <v>11.1</v>
      </c>
      <c r="CI227" s="39" t="s">
        <v>353</v>
      </c>
      <c r="CJ227" s="18" t="s">
        <v>80</v>
      </c>
      <c r="CK227" s="20"/>
    </row>
    <row r="228" spans="1:99" ht="15.75" thickBot="1" x14ac:dyDescent="0.3">
      <c r="A228" s="18" t="s">
        <v>80</v>
      </c>
      <c r="B228" s="19" t="s">
        <v>348</v>
      </c>
      <c r="C228" s="39" t="s">
        <v>354</v>
      </c>
      <c r="D228" s="40">
        <v>15</v>
      </c>
      <c r="E228" s="40" t="s">
        <v>83</v>
      </c>
      <c r="F228" s="40">
        <v>15</v>
      </c>
      <c r="G228" s="162" t="s">
        <v>83</v>
      </c>
      <c r="H228" s="162" t="s">
        <v>83</v>
      </c>
      <c r="I228" s="166">
        <v>0</v>
      </c>
      <c r="J228" s="166">
        <v>3</v>
      </c>
      <c r="K228" s="166">
        <v>3</v>
      </c>
      <c r="L228" s="166">
        <v>3</v>
      </c>
      <c r="M228" s="166">
        <v>6</v>
      </c>
      <c r="N228" s="119">
        <v>3.7499999999999999E-2</v>
      </c>
      <c r="O228" s="119">
        <v>3.7499999999999999E-2</v>
      </c>
      <c r="P228" s="116" t="s">
        <v>83</v>
      </c>
      <c r="Q228" s="116" t="s">
        <v>83</v>
      </c>
      <c r="R228" s="119">
        <v>0</v>
      </c>
      <c r="S228" s="119">
        <v>2.83018867924528E-2</v>
      </c>
      <c r="T228" s="119">
        <v>3.4482758620689703E-2</v>
      </c>
      <c r="U228" s="119">
        <v>2.9411764705882401E-2</v>
      </c>
      <c r="V228" s="119">
        <v>6.1224489795918401E-2</v>
      </c>
      <c r="W228" s="40">
        <v>353</v>
      </c>
      <c r="X228" s="40">
        <f t="shared" si="14"/>
        <v>353</v>
      </c>
      <c r="Y228" s="40">
        <f t="shared" si="15"/>
        <v>353</v>
      </c>
      <c r="Z228" s="105">
        <v>0.501</v>
      </c>
      <c r="AA228" s="105">
        <v>0.499</v>
      </c>
      <c r="AB228" s="106">
        <f>10/353</f>
        <v>2.8328611898016998E-2</v>
      </c>
      <c r="AC228" s="106">
        <f>2/353</f>
        <v>5.6657223796033997E-3</v>
      </c>
      <c r="AD228" s="106">
        <f>258/353</f>
        <v>0.73087818696883855</v>
      </c>
      <c r="AE228" s="106">
        <f>5/353</f>
        <v>1.4164305949008499E-2</v>
      </c>
      <c r="AF228" s="106">
        <v>0</v>
      </c>
      <c r="AG228" s="106">
        <f>60/353</f>
        <v>0.16997167138810199</v>
      </c>
      <c r="AH228" s="106">
        <f>18/353</f>
        <v>5.0991501416430593E-2</v>
      </c>
      <c r="AI228" s="106">
        <f>293/353</f>
        <v>0.83002832861189801</v>
      </c>
      <c r="AJ228" s="105">
        <v>0.80736543909348446</v>
      </c>
      <c r="AK228" s="105">
        <v>3.0000000000000001E-3</v>
      </c>
      <c r="AL228" s="12">
        <v>0</v>
      </c>
      <c r="AM228" s="12">
        <v>0</v>
      </c>
      <c r="AN228" s="12">
        <v>3</v>
      </c>
      <c r="AO228" s="12">
        <v>95</v>
      </c>
      <c r="AP228" s="12">
        <v>79</v>
      </c>
      <c r="AQ228" s="12">
        <v>93</v>
      </c>
      <c r="AR228" s="12">
        <v>83</v>
      </c>
      <c r="AS228" s="59">
        <v>3.0612244897959183E-2</v>
      </c>
      <c r="AT228" s="3">
        <v>9</v>
      </c>
      <c r="AU228" s="3">
        <v>6</v>
      </c>
      <c r="AV228" s="54">
        <v>81.52610441767068</v>
      </c>
      <c r="AW228" s="54">
        <v>13.253012048192772</v>
      </c>
      <c r="AX228" s="54">
        <v>5.2208835341365463</v>
      </c>
      <c r="AY228" s="68">
        <v>0</v>
      </c>
      <c r="AZ228" s="59">
        <v>0.29743589743589743</v>
      </c>
      <c r="BA228" s="59">
        <v>3.6521854589292496E-2</v>
      </c>
      <c r="BB228" s="76">
        <v>92.3274973096118</v>
      </c>
      <c r="BC228" s="49">
        <v>29.4871794871795</v>
      </c>
      <c r="BD228" s="90" t="s">
        <v>83</v>
      </c>
      <c r="BE228" s="90" t="s">
        <v>83</v>
      </c>
      <c r="BF228" s="49">
        <v>6</v>
      </c>
      <c r="BG228" s="49">
        <v>8.6</v>
      </c>
      <c r="BH228" s="49">
        <v>11.5</v>
      </c>
      <c r="BI228" s="49">
        <v>9.9</v>
      </c>
      <c r="BJ228" s="85">
        <v>17.5</v>
      </c>
      <c r="BK228" s="129">
        <v>12218</v>
      </c>
      <c r="BL228" s="129">
        <v>51755</v>
      </c>
      <c r="BM228" s="129">
        <v>49044</v>
      </c>
      <c r="BN228" s="129">
        <v>41043</v>
      </c>
      <c r="BO228" s="59">
        <v>0</v>
      </c>
      <c r="BP228" s="59">
        <v>0.30059999999999998</v>
      </c>
      <c r="BQ228" s="59">
        <v>0.1996</v>
      </c>
      <c r="BR228" s="59">
        <v>2.1000000000000001E-2</v>
      </c>
      <c r="BS228" s="59">
        <v>0</v>
      </c>
      <c r="BT228" s="49">
        <v>16.399999999999999</v>
      </c>
      <c r="BU228" s="59">
        <f t="shared" si="16"/>
        <v>0.5212</v>
      </c>
      <c r="BV228" s="59">
        <v>4.19E-2</v>
      </c>
      <c r="BW228" s="59">
        <v>0</v>
      </c>
      <c r="BX228" s="59">
        <v>2.1000000000000001E-2</v>
      </c>
      <c r="BY228" s="59">
        <v>0</v>
      </c>
      <c r="BZ228" s="59">
        <v>2.1000000000000001E-2</v>
      </c>
      <c r="CA228" s="49">
        <v>15.8</v>
      </c>
      <c r="CB228" s="59">
        <f t="shared" si="17"/>
        <v>8.3900000000000002E-2</v>
      </c>
      <c r="CC228" s="59">
        <v>0.37709999999999999</v>
      </c>
      <c r="CD228" s="125">
        <v>0.32679999999999998</v>
      </c>
      <c r="CE228" s="125">
        <v>0.25419999999999998</v>
      </c>
      <c r="CF228" s="125">
        <v>2.1000000000000001E-2</v>
      </c>
      <c r="CG228" s="125">
        <v>2.1000000000000001E-2</v>
      </c>
      <c r="CH228" s="85">
        <v>15.7</v>
      </c>
      <c r="CI228" s="39" t="s">
        <v>354</v>
      </c>
      <c r="CJ228" s="18" t="s">
        <v>80</v>
      </c>
      <c r="CK228" s="20"/>
    </row>
    <row r="229" spans="1:99" s="1" customFormat="1" ht="21" customHeight="1" x14ac:dyDescent="0.25">
      <c r="A229" s="21" t="s">
        <v>0</v>
      </c>
      <c r="B229" s="22" t="s">
        <v>1</v>
      </c>
      <c r="C229" s="22" t="s">
        <v>2</v>
      </c>
      <c r="D229" s="9" t="s">
        <v>3</v>
      </c>
      <c r="E229" s="9" t="s">
        <v>4</v>
      </c>
      <c r="F229" s="9" t="s">
        <v>5</v>
      </c>
      <c r="G229" s="161" t="s">
        <v>565</v>
      </c>
      <c r="H229" s="161" t="s">
        <v>566</v>
      </c>
      <c r="I229" s="161" t="s">
        <v>567</v>
      </c>
      <c r="J229" s="161" t="s">
        <v>568</v>
      </c>
      <c r="K229" s="161" t="s">
        <v>569</v>
      </c>
      <c r="L229" s="161" t="s">
        <v>570</v>
      </c>
      <c r="M229" s="161" t="s">
        <v>571</v>
      </c>
      <c r="N229" s="120" t="s">
        <v>6</v>
      </c>
      <c r="O229" s="120" t="s">
        <v>7</v>
      </c>
      <c r="P229" s="120" t="s">
        <v>8</v>
      </c>
      <c r="Q229" s="120" t="s">
        <v>9</v>
      </c>
      <c r="R229" s="120" t="s">
        <v>10</v>
      </c>
      <c r="S229" s="120" t="s">
        <v>11</v>
      </c>
      <c r="T229" s="120" t="s">
        <v>12</v>
      </c>
      <c r="U229" s="120" t="s">
        <v>13</v>
      </c>
      <c r="V229" s="120" t="s">
        <v>14</v>
      </c>
      <c r="W229" s="41" t="s">
        <v>15</v>
      </c>
      <c r="X229" s="41" t="s">
        <v>16</v>
      </c>
      <c r="Y229" s="41" t="s">
        <v>17</v>
      </c>
      <c r="Z229" s="107" t="s">
        <v>18</v>
      </c>
      <c r="AA229" s="107" t="s">
        <v>19</v>
      </c>
      <c r="AB229" s="95" t="s">
        <v>20</v>
      </c>
      <c r="AC229" s="95" t="s">
        <v>21</v>
      </c>
      <c r="AD229" s="95" t="s">
        <v>22</v>
      </c>
      <c r="AE229" s="95" t="s">
        <v>23</v>
      </c>
      <c r="AF229" s="95" t="s">
        <v>24</v>
      </c>
      <c r="AG229" s="95" t="s">
        <v>25</v>
      </c>
      <c r="AH229" s="95" t="s">
        <v>26</v>
      </c>
      <c r="AI229" s="95" t="s">
        <v>27</v>
      </c>
      <c r="AJ229" s="95" t="s">
        <v>28</v>
      </c>
      <c r="AK229" s="107" t="s">
        <v>29</v>
      </c>
      <c r="AL229" s="42" t="s">
        <v>30</v>
      </c>
      <c r="AM229" s="42" t="s">
        <v>31</v>
      </c>
      <c r="AN229" s="42" t="s">
        <v>32</v>
      </c>
      <c r="AO229" s="42" t="s">
        <v>33</v>
      </c>
      <c r="AP229" s="42" t="s">
        <v>34</v>
      </c>
      <c r="AQ229" s="42" t="s">
        <v>35</v>
      </c>
      <c r="AR229" s="42" t="s">
        <v>36</v>
      </c>
      <c r="AS229" s="100" t="s">
        <v>37</v>
      </c>
      <c r="AT229" s="41" t="s">
        <v>38</v>
      </c>
      <c r="AU229" s="23" t="s">
        <v>39</v>
      </c>
      <c r="AV229" s="51" t="s">
        <v>40</v>
      </c>
      <c r="AW229" s="51" t="s">
        <v>41</v>
      </c>
      <c r="AX229" s="51" t="s">
        <v>42</v>
      </c>
      <c r="AY229" s="66" t="s">
        <v>43</v>
      </c>
      <c r="AZ229" s="58" t="s">
        <v>44</v>
      </c>
      <c r="BA229" s="58" t="s">
        <v>45</v>
      </c>
      <c r="BB229" s="75" t="s">
        <v>46</v>
      </c>
      <c r="BC229" s="83" t="s">
        <v>47</v>
      </c>
      <c r="BD229" s="92" t="s">
        <v>48</v>
      </c>
      <c r="BE229" s="92" t="s">
        <v>49</v>
      </c>
      <c r="BF229" s="92" t="s">
        <v>50</v>
      </c>
      <c r="BG229" s="92" t="s">
        <v>51</v>
      </c>
      <c r="BH229" s="92" t="s">
        <v>52</v>
      </c>
      <c r="BI229" s="92" t="s">
        <v>53</v>
      </c>
      <c r="BJ229" s="86" t="s">
        <v>54</v>
      </c>
      <c r="BK229" s="123" t="s">
        <v>55</v>
      </c>
      <c r="BL229" s="123" t="s">
        <v>56</v>
      </c>
      <c r="BM229" s="123" t="s">
        <v>57</v>
      </c>
      <c r="BN229" s="123" t="s">
        <v>58</v>
      </c>
      <c r="BO229" s="131" t="s">
        <v>59</v>
      </c>
      <c r="BP229" s="131" t="s">
        <v>60</v>
      </c>
      <c r="BQ229" s="131" t="s">
        <v>61</v>
      </c>
      <c r="BR229" s="131" t="s">
        <v>62</v>
      </c>
      <c r="BS229" s="131" t="s">
        <v>63</v>
      </c>
      <c r="BT229" s="131" t="s">
        <v>64</v>
      </c>
      <c r="BU229" s="131" t="s">
        <v>65</v>
      </c>
      <c r="BV229" s="132" t="s">
        <v>66</v>
      </c>
      <c r="BW229" s="132" t="s">
        <v>67</v>
      </c>
      <c r="BX229" s="132" t="s">
        <v>68</v>
      </c>
      <c r="BY229" s="132" t="s">
        <v>69</v>
      </c>
      <c r="BZ229" s="132" t="s">
        <v>70</v>
      </c>
      <c r="CA229" s="132" t="s">
        <v>71</v>
      </c>
      <c r="CB229" s="132" t="s">
        <v>72</v>
      </c>
      <c r="CC229" s="123" t="s">
        <v>73</v>
      </c>
      <c r="CD229" s="123" t="s">
        <v>74</v>
      </c>
      <c r="CE229" s="123" t="s">
        <v>75</v>
      </c>
      <c r="CF229" s="123" t="s">
        <v>76</v>
      </c>
      <c r="CG229" s="123" t="s">
        <v>77</v>
      </c>
      <c r="CH229" s="123" t="s">
        <v>78</v>
      </c>
      <c r="CI229" s="22" t="s">
        <v>2</v>
      </c>
      <c r="CJ229" s="21" t="s">
        <v>0</v>
      </c>
      <c r="CK229" s="24" t="s">
        <v>79</v>
      </c>
      <c r="CL229"/>
      <c r="CM229"/>
      <c r="CN229"/>
      <c r="CO229"/>
      <c r="CP229"/>
      <c r="CQ229"/>
      <c r="CR229"/>
      <c r="CS229"/>
      <c r="CT229"/>
      <c r="CU229"/>
    </row>
    <row r="230" spans="1:99" x14ac:dyDescent="0.25">
      <c r="A230" s="18" t="s">
        <v>80</v>
      </c>
      <c r="B230" s="19" t="s">
        <v>355</v>
      </c>
      <c r="C230" s="39" t="s">
        <v>356</v>
      </c>
      <c r="D230" s="40">
        <v>28</v>
      </c>
      <c r="E230" s="40" t="s">
        <v>83</v>
      </c>
      <c r="F230" s="40">
        <v>28</v>
      </c>
      <c r="G230" s="162" t="s">
        <v>83</v>
      </c>
      <c r="H230" s="162" t="s">
        <v>83</v>
      </c>
      <c r="I230" s="166">
        <v>0</v>
      </c>
      <c r="J230" s="166">
        <v>9</v>
      </c>
      <c r="K230" s="166">
        <v>5</v>
      </c>
      <c r="L230" s="166">
        <v>5</v>
      </c>
      <c r="M230" s="166">
        <v>9</v>
      </c>
      <c r="N230" s="119">
        <v>1.6990291262135901E-2</v>
      </c>
      <c r="O230" s="119">
        <v>1.6990291262135901E-2</v>
      </c>
      <c r="P230" s="116" t="s">
        <v>83</v>
      </c>
      <c r="Q230" s="116" t="s">
        <v>83</v>
      </c>
      <c r="R230" s="119">
        <v>0</v>
      </c>
      <c r="S230" s="119">
        <v>1.9108280254777101E-2</v>
      </c>
      <c r="T230" s="119">
        <v>1.20481927710843E-2</v>
      </c>
      <c r="U230" s="119">
        <v>1.24378109452736E-2</v>
      </c>
      <c r="V230" s="119">
        <v>2.6239067055393601E-2</v>
      </c>
      <c r="W230" s="40">
        <v>1561</v>
      </c>
      <c r="X230" s="40">
        <f t="shared" ref="X230:X284" si="18">SUM(AN230:AR230)</f>
        <v>1561</v>
      </c>
      <c r="Y230" s="40">
        <f t="shared" ref="Y230:Y284" si="19">SUM(AL230:AR230)</f>
        <v>1561</v>
      </c>
      <c r="Z230" s="105">
        <v>0.505</v>
      </c>
      <c r="AA230" s="105">
        <v>0.495</v>
      </c>
      <c r="AB230" s="106">
        <f>1/1561</f>
        <v>6.406149903907751E-4</v>
      </c>
      <c r="AC230" s="106">
        <f>6/1561</f>
        <v>3.8436899423446511E-3</v>
      </c>
      <c r="AD230" s="106">
        <f>297/1561</f>
        <v>0.19026265214606022</v>
      </c>
      <c r="AE230" s="106">
        <f>61/1561</f>
        <v>3.9077514413837285E-2</v>
      </c>
      <c r="AF230" s="106">
        <v>0</v>
      </c>
      <c r="AG230" s="106">
        <f>1192/1561</f>
        <v>0.76361306854580402</v>
      </c>
      <c r="AH230" s="106">
        <f>4/1561</f>
        <v>2.5624599615631004E-3</v>
      </c>
      <c r="AI230" s="106">
        <f>369/1561</f>
        <v>0.23638693145419604</v>
      </c>
      <c r="AJ230" s="105">
        <v>0.52786675208199874</v>
      </c>
      <c r="AK230" s="105">
        <v>1.7000000000000001E-2</v>
      </c>
      <c r="AL230" s="12">
        <v>0</v>
      </c>
      <c r="AM230" s="12">
        <v>0</v>
      </c>
      <c r="AN230" s="12">
        <v>15</v>
      </c>
      <c r="AO230" s="12">
        <v>428</v>
      </c>
      <c r="AP230" s="12">
        <v>398</v>
      </c>
      <c r="AQ230" s="12">
        <v>392</v>
      </c>
      <c r="AR230" s="12">
        <v>328</v>
      </c>
      <c r="AS230" s="59">
        <v>3.3860045146726865E-2</v>
      </c>
      <c r="AT230" s="3">
        <v>9</v>
      </c>
      <c r="AU230" s="3">
        <v>6</v>
      </c>
      <c r="AV230" s="54">
        <v>55.91836734693878</v>
      </c>
      <c r="AW230" s="54">
        <v>17.387755102040817</v>
      </c>
      <c r="AX230" s="54">
        <v>24.897959183673468</v>
      </c>
      <c r="AY230" s="68">
        <v>1.7959183673469388</v>
      </c>
      <c r="AZ230" s="59">
        <v>0.19524100061012814</v>
      </c>
      <c r="BA230" s="59">
        <v>0.10860280658938377</v>
      </c>
      <c r="BB230" s="76">
        <v>94.087156488524101</v>
      </c>
      <c r="BC230" s="49">
        <v>37.037037037037003</v>
      </c>
      <c r="BD230" s="90" t="s">
        <v>83</v>
      </c>
      <c r="BE230" s="90" t="s">
        <v>83</v>
      </c>
      <c r="BF230" s="49">
        <v>3.2</v>
      </c>
      <c r="BG230" s="49">
        <v>5.8</v>
      </c>
      <c r="BH230" s="49">
        <v>2.4</v>
      </c>
      <c r="BI230" s="49">
        <v>3.7</v>
      </c>
      <c r="BJ230" s="85">
        <v>19.7</v>
      </c>
      <c r="BK230" s="129">
        <v>11048</v>
      </c>
      <c r="BL230" s="129">
        <v>55378</v>
      </c>
      <c r="BM230" s="129">
        <v>53997</v>
      </c>
      <c r="BN230" s="129">
        <v>47564</v>
      </c>
      <c r="BO230" s="59">
        <v>0</v>
      </c>
      <c r="BP230" s="59">
        <v>0.39910000000000001</v>
      </c>
      <c r="BQ230" s="59">
        <v>0.2341</v>
      </c>
      <c r="BR230" s="59">
        <v>0</v>
      </c>
      <c r="BS230" s="59">
        <v>1.3299999999999999E-2</v>
      </c>
      <c r="BT230" s="49">
        <v>16.5</v>
      </c>
      <c r="BU230" s="59">
        <f t="shared" si="16"/>
        <v>0.64649999999999996</v>
      </c>
      <c r="BV230" s="59">
        <v>3.3300000000000003E-2</v>
      </c>
      <c r="BW230" s="59">
        <v>0</v>
      </c>
      <c r="BX230" s="59">
        <v>2.6599999999999999E-2</v>
      </c>
      <c r="BY230" s="59">
        <v>0</v>
      </c>
      <c r="BZ230" s="59">
        <v>6.7000000000000002E-3</v>
      </c>
      <c r="CA230" s="49">
        <v>17</v>
      </c>
      <c r="CB230" s="59">
        <f t="shared" si="17"/>
        <v>6.6600000000000006E-2</v>
      </c>
      <c r="CC230" s="59">
        <v>0.2732</v>
      </c>
      <c r="CD230" s="125">
        <v>0.41880000000000001</v>
      </c>
      <c r="CE230" s="125">
        <v>0.28810000000000002</v>
      </c>
      <c r="CF230" s="125">
        <v>0</v>
      </c>
      <c r="CG230" s="125">
        <v>0.02</v>
      </c>
      <c r="CH230" s="85">
        <v>15.2</v>
      </c>
      <c r="CI230" s="39" t="s">
        <v>356</v>
      </c>
      <c r="CJ230" s="18" t="s">
        <v>80</v>
      </c>
      <c r="CK230" s="20"/>
    </row>
    <row r="231" spans="1:99" x14ac:dyDescent="0.25">
      <c r="A231" s="18" t="s">
        <v>80</v>
      </c>
      <c r="B231" s="19" t="s">
        <v>355</v>
      </c>
      <c r="C231" s="39" t="s">
        <v>357</v>
      </c>
      <c r="D231" s="40">
        <v>24</v>
      </c>
      <c r="E231" s="40" t="s">
        <v>83</v>
      </c>
      <c r="F231" s="40">
        <v>24</v>
      </c>
      <c r="G231" s="162" t="s">
        <v>83</v>
      </c>
      <c r="H231" s="162" t="s">
        <v>83</v>
      </c>
      <c r="I231" s="166">
        <v>0</v>
      </c>
      <c r="J231" s="166">
        <v>4</v>
      </c>
      <c r="K231" s="166">
        <v>10</v>
      </c>
      <c r="L231" s="166">
        <v>3</v>
      </c>
      <c r="M231" s="166">
        <v>7</v>
      </c>
      <c r="N231" s="119">
        <v>1.25984251968504E-2</v>
      </c>
      <c r="O231" s="119">
        <v>1.25984251968504E-2</v>
      </c>
      <c r="P231" s="116" t="s">
        <v>83</v>
      </c>
      <c r="Q231" s="116" t="s">
        <v>83</v>
      </c>
      <c r="R231" s="119">
        <v>0</v>
      </c>
      <c r="S231" s="119">
        <v>8.0482897384305807E-3</v>
      </c>
      <c r="T231" s="119">
        <v>1.9801980198019799E-2</v>
      </c>
      <c r="U231" s="119">
        <v>6.6815144766147003E-3</v>
      </c>
      <c r="V231" s="119">
        <v>1.5659955257270701E-2</v>
      </c>
      <c r="W231" s="40">
        <v>1824</v>
      </c>
      <c r="X231" s="40">
        <f t="shared" si="18"/>
        <v>1824</v>
      </c>
      <c r="Y231" s="40">
        <f t="shared" si="19"/>
        <v>1824</v>
      </c>
      <c r="Z231" s="105">
        <v>0.50600000000000001</v>
      </c>
      <c r="AA231" s="105">
        <v>0.49399999999999999</v>
      </c>
      <c r="AB231" s="106">
        <f>7/1824</f>
        <v>3.8377192982456138E-3</v>
      </c>
      <c r="AC231" s="106">
        <f>47/1824</f>
        <v>2.5767543859649123E-2</v>
      </c>
      <c r="AD231" s="106">
        <f>135/1824</f>
        <v>7.4013157894736836E-2</v>
      </c>
      <c r="AE231" s="106">
        <f>63/1824</f>
        <v>3.453947368421053E-2</v>
      </c>
      <c r="AF231" s="106">
        <v>0</v>
      </c>
      <c r="AG231" s="106">
        <f>1561/1824</f>
        <v>0.85581140350877194</v>
      </c>
      <c r="AH231" s="106">
        <f>11/1824</f>
        <v>6.0307017543859646E-3</v>
      </c>
      <c r="AI231" s="106">
        <f>263/1824</f>
        <v>0.14418859649122806</v>
      </c>
      <c r="AJ231" s="105">
        <v>0.25219298245614036</v>
      </c>
      <c r="AK231" s="105">
        <v>8.9999999999999993E-3</v>
      </c>
      <c r="AL231" s="12">
        <v>0</v>
      </c>
      <c r="AM231" s="12">
        <v>0</v>
      </c>
      <c r="AN231" s="12">
        <v>7</v>
      </c>
      <c r="AO231" s="12">
        <v>473</v>
      </c>
      <c r="AP231" s="12">
        <v>476</v>
      </c>
      <c r="AQ231" s="12">
        <v>437</v>
      </c>
      <c r="AR231" s="12">
        <v>431</v>
      </c>
      <c r="AS231" s="59">
        <v>1.4583333333333334E-2</v>
      </c>
      <c r="AT231" s="3">
        <v>9</v>
      </c>
      <c r="AU231" s="3">
        <v>6</v>
      </c>
      <c r="AV231" s="54">
        <v>60.553633217993074</v>
      </c>
      <c r="AW231" s="54">
        <v>25.536332179930799</v>
      </c>
      <c r="AX231" s="54">
        <v>12.387543252595155</v>
      </c>
      <c r="AY231" s="68">
        <v>1.5224913494809689</v>
      </c>
      <c r="AZ231" s="59">
        <v>4.3069306930693101E-2</v>
      </c>
      <c r="BA231" s="59">
        <v>0.05</v>
      </c>
      <c r="BB231" s="81">
        <v>96</v>
      </c>
      <c r="BC231" s="49">
        <v>19.747235387045802</v>
      </c>
      <c r="BD231" s="90" t="s">
        <v>83</v>
      </c>
      <c r="BE231" s="90" t="s">
        <v>83</v>
      </c>
      <c r="BF231" s="49">
        <v>5.4</v>
      </c>
      <c r="BG231" s="49">
        <v>3.9</v>
      </c>
      <c r="BH231" s="49">
        <v>2.8</v>
      </c>
      <c r="BI231" s="49">
        <v>2.8</v>
      </c>
      <c r="BJ231" s="85">
        <v>23.3</v>
      </c>
      <c r="BK231" s="129">
        <v>10681</v>
      </c>
      <c r="BL231" s="129">
        <v>55141</v>
      </c>
      <c r="BM231" s="129">
        <v>57920</v>
      </c>
      <c r="BN231" s="129">
        <v>48263</v>
      </c>
      <c r="BO231" s="59">
        <v>6.0000000000000001E-3</v>
      </c>
      <c r="BP231" s="59">
        <v>0.3604</v>
      </c>
      <c r="BQ231" s="59">
        <v>0.31059999999999999</v>
      </c>
      <c r="BR231" s="59">
        <v>0</v>
      </c>
      <c r="BS231" s="59">
        <v>6.0000000000000001E-3</v>
      </c>
      <c r="BT231" s="49">
        <v>15.5</v>
      </c>
      <c r="BU231" s="59">
        <f t="shared" si="16"/>
        <v>0.68300000000000005</v>
      </c>
      <c r="BV231" s="59">
        <v>2.4899999999999999E-2</v>
      </c>
      <c r="BW231" s="59">
        <v>1.1299999999999999E-2</v>
      </c>
      <c r="BX231" s="59">
        <v>1.7899999999999999E-2</v>
      </c>
      <c r="BY231" s="59">
        <v>6.0000000000000001E-3</v>
      </c>
      <c r="BZ231" s="59">
        <v>0</v>
      </c>
      <c r="CA231" s="49">
        <v>22.6</v>
      </c>
      <c r="CB231" s="59">
        <f t="shared" si="17"/>
        <v>6.0099999999999994E-2</v>
      </c>
      <c r="CC231" s="59">
        <v>0.2354</v>
      </c>
      <c r="CD231" s="125">
        <v>0.39419999999999999</v>
      </c>
      <c r="CE231" s="125">
        <v>0.35239999999999999</v>
      </c>
      <c r="CF231" s="125">
        <v>1.1900000000000001E-2</v>
      </c>
      <c r="CG231" s="125">
        <v>6.0000000000000001E-3</v>
      </c>
      <c r="CH231" s="85">
        <v>14.4</v>
      </c>
      <c r="CI231" s="39" t="s">
        <v>357</v>
      </c>
      <c r="CJ231" s="18" t="s">
        <v>80</v>
      </c>
      <c r="CK231" s="20"/>
    </row>
    <row r="232" spans="1:99" x14ac:dyDescent="0.25">
      <c r="A232" s="18" t="s">
        <v>80</v>
      </c>
      <c r="B232" s="19" t="s">
        <v>355</v>
      </c>
      <c r="C232" s="39" t="s">
        <v>358</v>
      </c>
      <c r="D232" s="40">
        <v>7</v>
      </c>
      <c r="E232" s="40" t="s">
        <v>83</v>
      </c>
      <c r="F232" s="40">
        <v>7</v>
      </c>
      <c r="G232" s="162" t="s">
        <v>83</v>
      </c>
      <c r="H232" s="162" t="s">
        <v>83</v>
      </c>
      <c r="I232" s="166">
        <v>1</v>
      </c>
      <c r="J232" s="166">
        <v>1</v>
      </c>
      <c r="K232" s="166">
        <v>2</v>
      </c>
      <c r="L232" s="166">
        <v>0</v>
      </c>
      <c r="M232" s="166">
        <v>3</v>
      </c>
      <c r="N232" s="119">
        <v>9.1145833333333304E-3</v>
      </c>
      <c r="O232" s="119">
        <v>9.1145833333333304E-3</v>
      </c>
      <c r="P232" s="116" t="s">
        <v>83</v>
      </c>
      <c r="Q232" s="116" t="s">
        <v>83</v>
      </c>
      <c r="R232" s="119">
        <v>5.5555555555555601E-2</v>
      </c>
      <c r="S232" s="119">
        <v>4.6728971962616802E-3</v>
      </c>
      <c r="T232" s="119">
        <v>1.00502512562814E-2</v>
      </c>
      <c r="U232" s="119">
        <v>0</v>
      </c>
      <c r="V232" s="119">
        <v>1.72413793103448E-2</v>
      </c>
      <c r="W232" s="40">
        <v>710</v>
      </c>
      <c r="X232" s="40">
        <f t="shared" si="18"/>
        <v>710</v>
      </c>
      <c r="Y232" s="40">
        <f t="shared" si="19"/>
        <v>710</v>
      </c>
      <c r="Z232" s="105">
        <v>0.47199999999999998</v>
      </c>
      <c r="AA232" s="105">
        <v>0.52800000000000002</v>
      </c>
      <c r="AB232" s="106">
        <f>2/710</f>
        <v>2.8169014084507044E-3</v>
      </c>
      <c r="AC232" s="106">
        <f>1/710</f>
        <v>1.4084507042253522E-3</v>
      </c>
      <c r="AD232" s="106">
        <f>47/710</f>
        <v>6.6197183098591544E-2</v>
      </c>
      <c r="AE232" s="106">
        <f>17/710</f>
        <v>2.3943661971830985E-2</v>
      </c>
      <c r="AF232" s="106">
        <v>0</v>
      </c>
      <c r="AG232" s="106">
        <f>642/710</f>
        <v>0.90422535211267607</v>
      </c>
      <c r="AH232" s="106">
        <f>1/710</f>
        <v>1.4084507042253522E-3</v>
      </c>
      <c r="AI232" s="106">
        <f>68/710</f>
        <v>9.5774647887323941E-2</v>
      </c>
      <c r="AJ232" s="105">
        <v>0.60281690140845068</v>
      </c>
      <c r="AK232" s="105">
        <v>3.0000000000000001E-3</v>
      </c>
      <c r="AL232" s="12">
        <v>0</v>
      </c>
      <c r="AM232" s="12">
        <v>0</v>
      </c>
      <c r="AN232" s="12">
        <v>20</v>
      </c>
      <c r="AO232" s="12">
        <v>187</v>
      </c>
      <c r="AP232" s="12">
        <v>184</v>
      </c>
      <c r="AQ232" s="12">
        <v>154</v>
      </c>
      <c r="AR232" s="12">
        <v>165</v>
      </c>
      <c r="AS232" s="59">
        <v>9.6618357487922704E-2</v>
      </c>
      <c r="AT232" s="3">
        <v>9</v>
      </c>
      <c r="AU232" s="3">
        <v>6</v>
      </c>
      <c r="AV232" s="54">
        <v>81.32832080200501</v>
      </c>
      <c r="AW232" s="54">
        <v>15.538847117794486</v>
      </c>
      <c r="AX232" s="54">
        <v>3.007518796992481</v>
      </c>
      <c r="AY232" s="68">
        <v>0.12531328320802004</v>
      </c>
      <c r="AZ232" s="59">
        <v>6.6666666666666666E-2</v>
      </c>
      <c r="BA232" s="59">
        <v>0.10849673202614379</v>
      </c>
      <c r="BB232" s="76">
        <v>93.142789623206099</v>
      </c>
      <c r="BC232" s="49">
        <v>36.363636363636402</v>
      </c>
      <c r="BD232" s="90" t="s">
        <v>83</v>
      </c>
      <c r="BE232" s="90" t="s">
        <v>83</v>
      </c>
      <c r="BF232" s="49">
        <v>8</v>
      </c>
      <c r="BG232" s="49">
        <v>2.9</v>
      </c>
      <c r="BH232" s="49">
        <v>2.1</v>
      </c>
      <c r="BI232" s="49">
        <v>2.5</v>
      </c>
      <c r="BJ232" s="85">
        <v>19.600000000000001</v>
      </c>
      <c r="BK232" s="129">
        <v>12962</v>
      </c>
      <c r="BL232" s="129">
        <v>56417</v>
      </c>
      <c r="BM232" s="129">
        <v>59107</v>
      </c>
      <c r="BN232" s="129">
        <v>47158</v>
      </c>
      <c r="BO232" s="59">
        <v>0</v>
      </c>
      <c r="BP232" s="59">
        <v>0.35489999999999999</v>
      </c>
      <c r="BQ232" s="59">
        <v>0.25430000000000003</v>
      </c>
      <c r="BR232" s="59">
        <v>0</v>
      </c>
      <c r="BS232" s="59">
        <v>0</v>
      </c>
      <c r="BT232" s="49">
        <v>16.3</v>
      </c>
      <c r="BU232" s="59">
        <f t="shared" si="16"/>
        <v>0.60919999999999996</v>
      </c>
      <c r="BV232" s="59">
        <v>3.5099999999999999E-2</v>
      </c>
      <c r="BW232" s="59">
        <v>0</v>
      </c>
      <c r="BX232" s="59">
        <v>3.9199999999999999E-2</v>
      </c>
      <c r="BY232" s="59">
        <v>0</v>
      </c>
      <c r="BZ232" s="59">
        <v>0</v>
      </c>
      <c r="CA232" s="49">
        <v>21.9</v>
      </c>
      <c r="CB232" s="59">
        <f t="shared" si="17"/>
        <v>7.4300000000000005E-2</v>
      </c>
      <c r="CC232" s="59">
        <v>0.29149999999999998</v>
      </c>
      <c r="CD232" s="125">
        <v>0.3679</v>
      </c>
      <c r="CE232" s="125">
        <v>0.34060000000000001</v>
      </c>
      <c r="CF232" s="125">
        <v>0</v>
      </c>
      <c r="CG232" s="125">
        <v>0</v>
      </c>
      <c r="CH232" s="85">
        <v>14.1</v>
      </c>
      <c r="CI232" s="39" t="s">
        <v>358</v>
      </c>
      <c r="CJ232" s="18" t="s">
        <v>80</v>
      </c>
      <c r="CK232" s="20"/>
    </row>
    <row r="233" spans="1:99" x14ac:dyDescent="0.25">
      <c r="A233" s="18" t="s">
        <v>80</v>
      </c>
      <c r="B233" s="19" t="s">
        <v>355</v>
      </c>
      <c r="C233" s="39" t="s">
        <v>359</v>
      </c>
      <c r="D233" s="40">
        <v>34</v>
      </c>
      <c r="E233" s="40" t="s">
        <v>83</v>
      </c>
      <c r="F233" s="40">
        <v>34</v>
      </c>
      <c r="G233" s="162" t="s">
        <v>83</v>
      </c>
      <c r="H233" s="162" t="s">
        <v>83</v>
      </c>
      <c r="I233" s="170">
        <v>1</v>
      </c>
      <c r="J233" s="170">
        <v>13</v>
      </c>
      <c r="K233" s="170">
        <v>10</v>
      </c>
      <c r="L233" s="170">
        <v>5</v>
      </c>
      <c r="M233" s="170">
        <v>5</v>
      </c>
      <c r="N233" s="119">
        <v>3.1539888682745799E-2</v>
      </c>
      <c r="O233" s="119">
        <v>3.1539888682745799E-2</v>
      </c>
      <c r="P233" s="116" t="s">
        <v>83</v>
      </c>
      <c r="Q233" s="116" t="s">
        <v>83</v>
      </c>
      <c r="R233" s="119">
        <v>0.04</v>
      </c>
      <c r="S233" s="119">
        <v>4.5614035087719301E-2</v>
      </c>
      <c r="T233" s="119">
        <v>3.6630036630036597E-2</v>
      </c>
      <c r="U233" s="119">
        <v>1.9230769230769201E-2</v>
      </c>
      <c r="V233" s="119">
        <v>2.1276595744680899E-2</v>
      </c>
      <c r="W233" s="40">
        <v>978</v>
      </c>
      <c r="X233" s="40">
        <f t="shared" si="18"/>
        <v>978</v>
      </c>
      <c r="Y233" s="40">
        <f t="shared" si="19"/>
        <v>978</v>
      </c>
      <c r="Z233" s="105">
        <v>0.47399999999999998</v>
      </c>
      <c r="AA233" s="105">
        <v>0.52600000000000002</v>
      </c>
      <c r="AB233" s="106">
        <f>3/978</f>
        <v>3.0674846625766872E-3</v>
      </c>
      <c r="AC233" s="106">
        <f>22/978</f>
        <v>2.2494887525562373E-2</v>
      </c>
      <c r="AD233" s="106">
        <f>556/978</f>
        <v>0.56850715746421265</v>
      </c>
      <c r="AE233" s="106">
        <f>46/978</f>
        <v>4.7034764826175871E-2</v>
      </c>
      <c r="AF233" s="106">
        <f>1/978</f>
        <v>1.0224948875255625E-3</v>
      </c>
      <c r="AG233" s="106">
        <f>334/978</f>
        <v>0.34151329243353784</v>
      </c>
      <c r="AH233" s="106">
        <f>16/978</f>
        <v>1.6359918200408999E-2</v>
      </c>
      <c r="AI233" s="106">
        <f>644/978</f>
        <v>0.65848670756646221</v>
      </c>
      <c r="AJ233" s="105">
        <v>0.61860940695296529</v>
      </c>
      <c r="AK233" s="105">
        <v>0.01</v>
      </c>
      <c r="AL233" s="12">
        <v>0</v>
      </c>
      <c r="AM233" s="12">
        <v>0</v>
      </c>
      <c r="AN233" s="12">
        <v>20</v>
      </c>
      <c r="AO233" s="12">
        <v>253</v>
      </c>
      <c r="AP233" s="12">
        <v>249</v>
      </c>
      <c r="AQ233" s="12">
        <v>233</v>
      </c>
      <c r="AR233" s="12">
        <v>223</v>
      </c>
      <c r="AS233" s="59">
        <v>7.3260073260073263E-2</v>
      </c>
      <c r="AT233" s="3">
        <v>9</v>
      </c>
      <c r="AU233" s="3">
        <v>6</v>
      </c>
      <c r="AV233" s="54">
        <v>59.530026109660575</v>
      </c>
      <c r="AW233" s="54">
        <v>23.629242819843341</v>
      </c>
      <c r="AX233" s="54">
        <v>16.057441253263708</v>
      </c>
      <c r="AY233" s="68">
        <v>0.7832898172323759</v>
      </c>
      <c r="AZ233" s="59">
        <v>0.17636022514071295</v>
      </c>
      <c r="BA233" s="59">
        <v>0.21013133208255161</v>
      </c>
      <c r="BB233" s="77">
        <v>94.064120018488296</v>
      </c>
      <c r="BC233" s="49">
        <v>37.662337662337698</v>
      </c>
      <c r="BD233" s="90" t="s">
        <v>83</v>
      </c>
      <c r="BE233" s="90" t="s">
        <v>83</v>
      </c>
      <c r="BF233" s="49">
        <v>9.8000000000000007</v>
      </c>
      <c r="BG233" s="49">
        <v>8.6</v>
      </c>
      <c r="BH233" s="49">
        <v>4.3</v>
      </c>
      <c r="BI233" s="49">
        <v>4.5</v>
      </c>
      <c r="BJ233" s="85">
        <v>19.100000000000001</v>
      </c>
      <c r="BK233" s="129">
        <v>11910</v>
      </c>
      <c r="BL233" s="129">
        <v>52562</v>
      </c>
      <c r="BM233" s="128">
        <v>57386</v>
      </c>
      <c r="BN233" s="129">
        <v>45367</v>
      </c>
      <c r="BO233" s="59">
        <v>0</v>
      </c>
      <c r="BP233" s="59">
        <v>0.41839999999999999</v>
      </c>
      <c r="BQ233" s="59">
        <v>0.17960000000000001</v>
      </c>
      <c r="BR233" s="59">
        <v>0</v>
      </c>
      <c r="BS233" s="59">
        <v>0</v>
      </c>
      <c r="BT233" s="49">
        <v>11.6</v>
      </c>
      <c r="BU233" s="59">
        <f t="shared" si="16"/>
        <v>0.59799999999999998</v>
      </c>
      <c r="BV233" s="59">
        <v>3.6499999999999998E-2</v>
      </c>
      <c r="BW233" s="59">
        <v>0</v>
      </c>
      <c r="BX233" s="59">
        <v>4.2099999999999999E-2</v>
      </c>
      <c r="BY233" s="59">
        <v>0</v>
      </c>
      <c r="BZ233" s="59">
        <v>0</v>
      </c>
      <c r="CA233" s="49">
        <v>13.2</v>
      </c>
      <c r="CB233" s="59">
        <f t="shared" si="17"/>
        <v>7.8600000000000003E-2</v>
      </c>
      <c r="CC233" s="59">
        <v>0.2777</v>
      </c>
      <c r="CD233" s="125">
        <v>0.46410000000000001</v>
      </c>
      <c r="CE233" s="125">
        <v>0.25819999999999999</v>
      </c>
      <c r="CF233" s="125">
        <v>0</v>
      </c>
      <c r="CG233" s="125">
        <v>0</v>
      </c>
      <c r="CH233" s="85">
        <v>11.2</v>
      </c>
      <c r="CI233" s="39" t="s">
        <v>359</v>
      </c>
      <c r="CJ233" s="18" t="s">
        <v>80</v>
      </c>
      <c r="CK233" s="20"/>
    </row>
    <row r="234" spans="1:99" x14ac:dyDescent="0.25">
      <c r="A234" s="18" t="s">
        <v>80</v>
      </c>
      <c r="B234" s="19" t="s">
        <v>355</v>
      </c>
      <c r="C234" s="39" t="s">
        <v>360</v>
      </c>
      <c r="D234" s="40">
        <v>42</v>
      </c>
      <c r="E234" s="40" t="s">
        <v>83</v>
      </c>
      <c r="F234" s="40">
        <v>42</v>
      </c>
      <c r="G234" s="162" t="s">
        <v>83</v>
      </c>
      <c r="H234" s="162" t="s">
        <v>83</v>
      </c>
      <c r="I234" s="166">
        <v>0</v>
      </c>
      <c r="J234" s="170">
        <v>17</v>
      </c>
      <c r="K234" s="170">
        <v>9</v>
      </c>
      <c r="L234" s="170">
        <v>8</v>
      </c>
      <c r="M234" s="170">
        <v>8</v>
      </c>
      <c r="N234" s="119">
        <v>2.4896265560166001E-2</v>
      </c>
      <c r="O234" s="119">
        <v>2.4896265560166001E-2</v>
      </c>
      <c r="P234" s="116" t="s">
        <v>83</v>
      </c>
      <c r="Q234" s="116" t="s">
        <v>83</v>
      </c>
      <c r="R234" s="119">
        <v>0</v>
      </c>
      <c r="S234" s="119">
        <v>3.1716417910447797E-2</v>
      </c>
      <c r="T234" s="119">
        <v>2.1739130434782601E-2</v>
      </c>
      <c r="U234" s="119">
        <v>2.07792207792208E-2</v>
      </c>
      <c r="V234" s="119">
        <v>2.3188405797101502E-2</v>
      </c>
      <c r="W234" s="40">
        <v>1556</v>
      </c>
      <c r="X234" s="40">
        <f t="shared" si="18"/>
        <v>1556</v>
      </c>
      <c r="Y234" s="40">
        <f t="shared" si="19"/>
        <v>1556</v>
      </c>
      <c r="Z234" s="105">
        <v>0.505</v>
      </c>
      <c r="AA234" s="105">
        <v>0.496</v>
      </c>
      <c r="AB234" s="106">
        <f>4/1556</f>
        <v>2.5706940874035988E-3</v>
      </c>
      <c r="AC234" s="106">
        <f>26/1556</f>
        <v>1.6709511568123392E-2</v>
      </c>
      <c r="AD234" s="106">
        <f>483/1556</f>
        <v>0.31041131105398456</v>
      </c>
      <c r="AE234" s="106">
        <f>86/1556</f>
        <v>5.5269922879177376E-2</v>
      </c>
      <c r="AF234" s="106">
        <f>1/1556</f>
        <v>6.426735218508997E-4</v>
      </c>
      <c r="AG234" s="106">
        <f>943/1556</f>
        <v>0.60604113110539848</v>
      </c>
      <c r="AH234" s="106">
        <f>13/1556</f>
        <v>8.3547557840616959E-3</v>
      </c>
      <c r="AI234" s="106">
        <f>613/1556</f>
        <v>0.39395886889460152</v>
      </c>
      <c r="AJ234" s="105">
        <v>0.51156812339331614</v>
      </c>
      <c r="AK234" s="105">
        <v>1.4999999999999999E-2</v>
      </c>
      <c r="AL234" s="12">
        <v>0</v>
      </c>
      <c r="AM234" s="12">
        <v>0</v>
      </c>
      <c r="AN234" s="12">
        <v>10</v>
      </c>
      <c r="AO234" s="12">
        <v>483</v>
      </c>
      <c r="AP234" s="12">
        <v>380</v>
      </c>
      <c r="AQ234" s="12">
        <v>368</v>
      </c>
      <c r="AR234" s="12">
        <v>315</v>
      </c>
      <c r="AS234" s="59">
        <v>2.0283975659229209E-2</v>
      </c>
      <c r="AT234" s="3">
        <v>9</v>
      </c>
      <c r="AU234" s="3">
        <v>6</v>
      </c>
      <c r="AV234" s="54">
        <v>52.606255012028868</v>
      </c>
      <c r="AW234" s="54">
        <v>34.723336006415394</v>
      </c>
      <c r="AX234" s="54">
        <v>11.387329591018444</v>
      </c>
      <c r="AY234" s="68">
        <v>1.2830793905372895</v>
      </c>
      <c r="AZ234" s="59">
        <v>0.10665068903535051</v>
      </c>
      <c r="BA234" s="59">
        <v>0.13361294188136608</v>
      </c>
      <c r="BB234" s="76">
        <v>94.693088862340701</v>
      </c>
      <c r="BC234" s="49">
        <v>17.4404761904762</v>
      </c>
      <c r="BD234" s="90" t="s">
        <v>83</v>
      </c>
      <c r="BE234" s="90" t="s">
        <v>83</v>
      </c>
      <c r="BF234" s="49">
        <v>13.4</v>
      </c>
      <c r="BG234" s="49">
        <v>5.8</v>
      </c>
      <c r="BH234" s="49">
        <v>2.6</v>
      </c>
      <c r="BI234" s="49">
        <v>2.5</v>
      </c>
      <c r="BJ234" s="85">
        <v>20.7</v>
      </c>
      <c r="BK234" s="129">
        <v>11441</v>
      </c>
      <c r="BL234" s="129">
        <v>54647</v>
      </c>
      <c r="BM234" s="129">
        <v>52718</v>
      </c>
      <c r="BN234" s="129">
        <v>47495</v>
      </c>
      <c r="BO234" s="59">
        <v>6.4000000000000003E-3</v>
      </c>
      <c r="BP234" s="59">
        <v>0.40029999999999999</v>
      </c>
      <c r="BQ234" s="59">
        <v>0.22850000000000001</v>
      </c>
      <c r="BR234" s="59">
        <v>6.4000000000000003E-3</v>
      </c>
      <c r="BS234" s="59">
        <v>6.4000000000000003E-3</v>
      </c>
      <c r="BT234" s="49">
        <v>15.6</v>
      </c>
      <c r="BU234" s="59">
        <f t="shared" si="16"/>
        <v>0.64799999999999991</v>
      </c>
      <c r="BV234" s="59">
        <v>3.1800000000000002E-2</v>
      </c>
      <c r="BW234" s="59">
        <v>0</v>
      </c>
      <c r="BX234" s="59">
        <v>2.7900000000000001E-2</v>
      </c>
      <c r="BY234" s="59">
        <v>0</v>
      </c>
      <c r="BZ234" s="59">
        <v>6.4000000000000003E-3</v>
      </c>
      <c r="CA234" s="49">
        <v>22.5</v>
      </c>
      <c r="CB234" s="59">
        <f t="shared" si="17"/>
        <v>6.6100000000000006E-2</v>
      </c>
      <c r="CC234" s="59">
        <v>0.27279999999999999</v>
      </c>
      <c r="CD234" s="125">
        <v>0.40029999999999999</v>
      </c>
      <c r="CE234" s="125">
        <v>0.30780000000000002</v>
      </c>
      <c r="CF234" s="125">
        <v>6.4000000000000003E-3</v>
      </c>
      <c r="CG234" s="125">
        <v>1.2699999999999999E-2</v>
      </c>
      <c r="CH234" s="85">
        <v>15.1</v>
      </c>
      <c r="CI234" s="39" t="s">
        <v>360</v>
      </c>
      <c r="CJ234" s="18" t="s">
        <v>80</v>
      </c>
      <c r="CK234" s="20"/>
    </row>
    <row r="235" spans="1:99" x14ac:dyDescent="0.25">
      <c r="A235" s="18" t="s">
        <v>80</v>
      </c>
      <c r="B235" s="19" t="s">
        <v>355</v>
      </c>
      <c r="C235" s="39" t="s">
        <v>361</v>
      </c>
      <c r="D235" s="40">
        <v>28</v>
      </c>
      <c r="E235" s="40" t="s">
        <v>83</v>
      </c>
      <c r="F235" s="40">
        <v>28</v>
      </c>
      <c r="G235" s="162" t="s">
        <v>83</v>
      </c>
      <c r="H235" s="162" t="s">
        <v>83</v>
      </c>
      <c r="I235" s="170">
        <v>1</v>
      </c>
      <c r="J235" s="170">
        <v>14</v>
      </c>
      <c r="K235" s="170">
        <v>5</v>
      </c>
      <c r="L235" s="170">
        <v>1</v>
      </c>
      <c r="M235" s="170">
        <v>7</v>
      </c>
      <c r="N235" s="119">
        <v>1.7220172201721999E-2</v>
      </c>
      <c r="O235" s="119">
        <v>1.7220172201721999E-2</v>
      </c>
      <c r="P235" s="116" t="s">
        <v>83</v>
      </c>
      <c r="Q235" s="116" t="s">
        <v>83</v>
      </c>
      <c r="R235" s="119">
        <v>7.69230769230769E-2</v>
      </c>
      <c r="S235" s="119">
        <v>2.88659793814433E-2</v>
      </c>
      <c r="T235" s="119">
        <v>1.2019230769230799E-2</v>
      </c>
      <c r="U235" s="119">
        <v>2.5906735751295299E-3</v>
      </c>
      <c r="V235" s="119">
        <v>2.14723926380368E-2</v>
      </c>
      <c r="W235" s="40">
        <v>1532</v>
      </c>
      <c r="X235" s="40">
        <f t="shared" si="18"/>
        <v>1532</v>
      </c>
      <c r="Y235" s="40">
        <f t="shared" si="19"/>
        <v>1532</v>
      </c>
      <c r="Z235" s="105">
        <v>0.48099999999999998</v>
      </c>
      <c r="AA235" s="105">
        <v>0.51900000000000002</v>
      </c>
      <c r="AB235" s="106">
        <f>4/1532</f>
        <v>2.6109660574412533E-3</v>
      </c>
      <c r="AC235" s="106">
        <f>47/1532</f>
        <v>3.0678851174934726E-2</v>
      </c>
      <c r="AD235" s="106">
        <f>238/1532</f>
        <v>0.15535248041775457</v>
      </c>
      <c r="AE235" s="106">
        <f>72/1532</f>
        <v>4.6997389033942558E-2</v>
      </c>
      <c r="AF235" s="106">
        <f>5/1532</f>
        <v>3.2637075718015664E-3</v>
      </c>
      <c r="AG235" s="106">
        <f>1158/1532</f>
        <v>0.75587467362924277</v>
      </c>
      <c r="AH235" s="106">
        <f>8/1532</f>
        <v>5.2219321148825066E-3</v>
      </c>
      <c r="AI235" s="106">
        <f>374/1532</f>
        <v>0.24412532637075718</v>
      </c>
      <c r="AJ235" s="105">
        <v>0.29634464751958223</v>
      </c>
      <c r="AK235" s="105">
        <v>4.0000000000000001E-3</v>
      </c>
      <c r="AL235" s="12">
        <v>0</v>
      </c>
      <c r="AM235" s="12">
        <v>0</v>
      </c>
      <c r="AN235" s="12">
        <v>11</v>
      </c>
      <c r="AO235" s="12">
        <v>449</v>
      </c>
      <c r="AP235" s="12">
        <v>397</v>
      </c>
      <c r="AQ235" s="12">
        <v>373</v>
      </c>
      <c r="AR235" s="12">
        <v>302</v>
      </c>
      <c r="AS235" s="59">
        <v>2.391304347826087E-2</v>
      </c>
      <c r="AT235" s="3">
        <v>9</v>
      </c>
      <c r="AU235" s="3">
        <v>6</v>
      </c>
      <c r="AV235" s="54">
        <v>44.444444444444443</v>
      </c>
      <c r="AW235" s="54">
        <v>32.116788321167881</v>
      </c>
      <c r="AX235" s="54">
        <v>20.03244120032441</v>
      </c>
      <c r="AY235" s="68">
        <v>3.4063260340632602</v>
      </c>
      <c r="AZ235" s="59">
        <v>7.7881619937694699E-2</v>
      </c>
      <c r="BA235" s="59">
        <v>8.4735202492211836E-2</v>
      </c>
      <c r="BB235" s="81">
        <v>96</v>
      </c>
      <c r="BC235" s="49">
        <v>18.587360594795499</v>
      </c>
      <c r="BD235" s="90" t="s">
        <v>83</v>
      </c>
      <c r="BE235" s="90" t="s">
        <v>83</v>
      </c>
      <c r="BF235" s="49">
        <v>3.7</v>
      </c>
      <c r="BG235" s="49">
        <v>2.6</v>
      </c>
      <c r="BH235" s="49">
        <v>3.7</v>
      </c>
      <c r="BI235" s="49">
        <v>1.3</v>
      </c>
      <c r="BJ235" s="85">
        <v>22.2</v>
      </c>
      <c r="BK235" s="129">
        <v>10541</v>
      </c>
      <c r="BL235" s="129">
        <v>55800</v>
      </c>
      <c r="BM235" s="129">
        <v>52419</v>
      </c>
      <c r="BN235" s="129">
        <v>48496</v>
      </c>
      <c r="BO235" s="59">
        <v>0</v>
      </c>
      <c r="BP235" s="59">
        <v>0.34129999999999999</v>
      </c>
      <c r="BQ235" s="59">
        <v>0.307</v>
      </c>
      <c r="BR235" s="59">
        <v>7.1999999999999998E-3</v>
      </c>
      <c r="BS235" s="59">
        <v>1.4500000000000001E-2</v>
      </c>
      <c r="BT235" s="49">
        <v>16.8</v>
      </c>
      <c r="BU235" s="59">
        <f t="shared" si="16"/>
        <v>0.66999999999999993</v>
      </c>
      <c r="BV235" s="59">
        <v>3.49E-2</v>
      </c>
      <c r="BW235" s="59">
        <v>0</v>
      </c>
      <c r="BX235" s="59">
        <v>2.9000000000000001E-2</v>
      </c>
      <c r="BY235" s="59">
        <v>0</v>
      </c>
      <c r="BZ235" s="59">
        <v>0</v>
      </c>
      <c r="CA235" s="49">
        <v>15.2</v>
      </c>
      <c r="CB235" s="59">
        <f t="shared" si="17"/>
        <v>6.3899999999999998E-2</v>
      </c>
      <c r="CC235" s="59">
        <v>0.23100000000000001</v>
      </c>
      <c r="CD235" s="125">
        <v>0.36890000000000001</v>
      </c>
      <c r="CE235" s="125">
        <v>0.37830000000000003</v>
      </c>
      <c r="CF235" s="125">
        <v>7.1999999999999998E-3</v>
      </c>
      <c r="CG235" s="125">
        <v>1.4500000000000001E-2</v>
      </c>
      <c r="CH235" s="85">
        <v>14.8</v>
      </c>
      <c r="CI235" s="39" t="s">
        <v>361</v>
      </c>
      <c r="CJ235" s="18" t="s">
        <v>80</v>
      </c>
      <c r="CK235" s="20"/>
    </row>
    <row r="236" spans="1:99" x14ac:dyDescent="0.25">
      <c r="A236" s="18" t="s">
        <v>80</v>
      </c>
      <c r="B236" s="19" t="s">
        <v>355</v>
      </c>
      <c r="C236" s="39" t="s">
        <v>362</v>
      </c>
      <c r="D236" s="40">
        <v>34</v>
      </c>
      <c r="E236" s="40" t="s">
        <v>83</v>
      </c>
      <c r="F236" s="40">
        <v>34</v>
      </c>
      <c r="G236" s="162" t="s">
        <v>83</v>
      </c>
      <c r="H236" s="162" t="s">
        <v>83</v>
      </c>
      <c r="I236" s="166">
        <v>0</v>
      </c>
      <c r="J236" s="170">
        <v>11</v>
      </c>
      <c r="K236" s="170">
        <v>13</v>
      </c>
      <c r="L236" s="170">
        <v>5</v>
      </c>
      <c r="M236" s="170">
        <v>5</v>
      </c>
      <c r="N236" s="119">
        <v>1.8899388549193999E-2</v>
      </c>
      <c r="O236" s="119">
        <v>1.8899388549193999E-2</v>
      </c>
      <c r="P236" s="116" t="s">
        <v>83</v>
      </c>
      <c r="Q236" s="116" t="s">
        <v>83</v>
      </c>
      <c r="R236" s="119">
        <v>0</v>
      </c>
      <c r="S236" s="119">
        <v>2.26337448559671E-2</v>
      </c>
      <c r="T236" s="119">
        <v>2.96127562642369E-2</v>
      </c>
      <c r="U236" s="119">
        <v>1.1764705882352899E-2</v>
      </c>
      <c r="V236" s="119">
        <v>1.12866817155756E-2</v>
      </c>
      <c r="W236" s="40">
        <v>1706</v>
      </c>
      <c r="X236" s="40">
        <f t="shared" si="18"/>
        <v>1706</v>
      </c>
      <c r="Y236" s="40">
        <f t="shared" si="19"/>
        <v>1706</v>
      </c>
      <c r="Z236" s="105">
        <v>0.52</v>
      </c>
      <c r="AA236" s="105">
        <v>0.48</v>
      </c>
      <c r="AB236" s="106">
        <f>7/1706</f>
        <v>4.1031652989449007E-3</v>
      </c>
      <c r="AC236" s="106">
        <f>39/1706</f>
        <v>2.2860492379835874E-2</v>
      </c>
      <c r="AD236" s="106">
        <f>131/1706</f>
        <v>7.678780773739742E-2</v>
      </c>
      <c r="AE236" s="106">
        <f>68/1706</f>
        <v>3.9859320046893319E-2</v>
      </c>
      <c r="AF236" s="106">
        <v>0</v>
      </c>
      <c r="AG236" s="106">
        <f>1455/1706</f>
        <v>0.85287221570926142</v>
      </c>
      <c r="AH236" s="106">
        <f>6/1706</f>
        <v>3.5169988276670576E-3</v>
      </c>
      <c r="AI236" s="106">
        <f>251/1706</f>
        <v>0.14712778429073858</v>
      </c>
      <c r="AJ236" s="105">
        <v>0.32825322391559203</v>
      </c>
      <c r="AK236" s="105">
        <v>1.2E-2</v>
      </c>
      <c r="AL236" s="12">
        <v>0</v>
      </c>
      <c r="AM236" s="12">
        <v>0</v>
      </c>
      <c r="AN236" s="12">
        <v>5</v>
      </c>
      <c r="AO236" s="12">
        <v>452</v>
      </c>
      <c r="AP236" s="12">
        <v>418</v>
      </c>
      <c r="AQ236" s="12">
        <v>399</v>
      </c>
      <c r="AR236" s="12">
        <v>432</v>
      </c>
      <c r="AS236" s="59">
        <v>1.0940919037199124E-2</v>
      </c>
      <c r="AT236" s="3">
        <v>9</v>
      </c>
      <c r="AU236" s="3">
        <v>6</v>
      </c>
      <c r="AV236" s="54">
        <v>56.370370370370374</v>
      </c>
      <c r="AW236" s="54">
        <v>26.814814814814813</v>
      </c>
      <c r="AX236" s="54">
        <v>15.185185185185185</v>
      </c>
      <c r="AY236" s="68">
        <v>1.6296296296296295</v>
      </c>
      <c r="AZ236" s="59">
        <v>0.10980392156862745</v>
      </c>
      <c r="BA236" s="59">
        <v>5.9383753501400557E-2</v>
      </c>
      <c r="BB236" s="81">
        <v>96</v>
      </c>
      <c r="BC236" s="49">
        <v>18.4709821428571</v>
      </c>
      <c r="BD236" s="90" t="s">
        <v>83</v>
      </c>
      <c r="BE236" s="90" t="s">
        <v>83</v>
      </c>
      <c r="BF236" s="49">
        <v>3.8</v>
      </c>
      <c r="BG236" s="49">
        <v>3</v>
      </c>
      <c r="BH236" s="49">
        <v>0.5</v>
      </c>
      <c r="BI236" s="49">
        <v>1.4</v>
      </c>
      <c r="BJ236" s="85">
        <v>22.6</v>
      </c>
      <c r="BK236" s="129">
        <v>10946</v>
      </c>
      <c r="BL236" s="129">
        <v>55822</v>
      </c>
      <c r="BM236" s="129">
        <v>53099</v>
      </c>
      <c r="BN236" s="129">
        <v>48848</v>
      </c>
      <c r="BO236" s="59">
        <v>6.3E-3</v>
      </c>
      <c r="BP236" s="59">
        <v>0.35730000000000001</v>
      </c>
      <c r="BQ236" s="59">
        <v>0.30590000000000001</v>
      </c>
      <c r="BR236" s="59">
        <v>6.3E-3</v>
      </c>
      <c r="BS236" s="59">
        <v>6.3E-3</v>
      </c>
      <c r="BT236" s="49">
        <v>15.3</v>
      </c>
      <c r="BU236" s="59">
        <f t="shared" si="16"/>
        <v>0.68209999999999993</v>
      </c>
      <c r="BV236" s="59">
        <v>3.7499999999999999E-2</v>
      </c>
      <c r="BW236" s="59">
        <v>0</v>
      </c>
      <c r="BX236" s="59">
        <v>2.5000000000000001E-2</v>
      </c>
      <c r="BY236" s="59">
        <v>0</v>
      </c>
      <c r="BZ236" s="59">
        <v>0</v>
      </c>
      <c r="CA236" s="49">
        <v>21</v>
      </c>
      <c r="CB236" s="59">
        <f t="shared" si="17"/>
        <v>6.25E-2</v>
      </c>
      <c r="CC236" s="59">
        <v>0.25430000000000003</v>
      </c>
      <c r="CD236" s="125">
        <v>0.36349999999999999</v>
      </c>
      <c r="CE236" s="125">
        <v>0.3634</v>
      </c>
      <c r="CF236" s="125">
        <v>6.3E-3</v>
      </c>
      <c r="CG236" s="125">
        <v>1.2500000000000001E-2</v>
      </c>
      <c r="CH236" s="85">
        <v>15.1</v>
      </c>
      <c r="CI236" s="39" t="s">
        <v>362</v>
      </c>
      <c r="CJ236" s="18" t="s">
        <v>80</v>
      </c>
      <c r="CK236" s="20"/>
    </row>
    <row r="237" spans="1:99" x14ac:dyDescent="0.25">
      <c r="A237" s="18" t="s">
        <v>80</v>
      </c>
      <c r="B237" s="19" t="s">
        <v>355</v>
      </c>
      <c r="C237" s="39" t="s">
        <v>363</v>
      </c>
      <c r="D237" s="40">
        <v>31</v>
      </c>
      <c r="E237" s="40" t="s">
        <v>83</v>
      </c>
      <c r="F237" s="40">
        <v>31</v>
      </c>
      <c r="G237" s="162" t="s">
        <v>83</v>
      </c>
      <c r="H237" s="162" t="s">
        <v>83</v>
      </c>
      <c r="I237" s="166">
        <v>0</v>
      </c>
      <c r="J237" s="170">
        <v>11</v>
      </c>
      <c r="K237" s="170">
        <v>8</v>
      </c>
      <c r="L237" s="170">
        <v>5</v>
      </c>
      <c r="M237" s="170">
        <v>7</v>
      </c>
      <c r="N237" s="119">
        <v>2.76785714285714E-2</v>
      </c>
      <c r="O237" s="119">
        <v>2.77033065236819E-2</v>
      </c>
      <c r="P237" s="116" t="s">
        <v>83</v>
      </c>
      <c r="Q237" s="116" t="s">
        <v>83</v>
      </c>
      <c r="R237" s="119">
        <v>0</v>
      </c>
      <c r="S237" s="119">
        <v>3.48101265822785E-2</v>
      </c>
      <c r="T237" s="119">
        <v>2.7210884353741499E-2</v>
      </c>
      <c r="U237" s="119">
        <v>1.85185185185185E-2</v>
      </c>
      <c r="V237" s="119">
        <v>3.07017543859649E-2</v>
      </c>
      <c r="W237" s="40">
        <v>1063</v>
      </c>
      <c r="X237" s="40">
        <f t="shared" si="18"/>
        <v>1063</v>
      </c>
      <c r="Y237" s="40">
        <f t="shared" si="19"/>
        <v>1063</v>
      </c>
      <c r="Z237" s="105">
        <v>0.49299999999999999</v>
      </c>
      <c r="AA237" s="105">
        <v>0.50700000000000001</v>
      </c>
      <c r="AB237" s="106">
        <f>2/1063</f>
        <v>1.8814675446848542E-3</v>
      </c>
      <c r="AC237" s="106">
        <f>10/1063</f>
        <v>9.4073377234242701E-3</v>
      </c>
      <c r="AD237" s="106">
        <f>189/1063</f>
        <v>0.17779868297271872</v>
      </c>
      <c r="AE237" s="106">
        <f>36/1063</f>
        <v>3.3866415804327372E-2</v>
      </c>
      <c r="AF237" s="106">
        <f>1/1063</f>
        <v>9.4073377234242712E-4</v>
      </c>
      <c r="AG237" s="106">
        <f>812/1063</f>
        <v>0.76387582314205082</v>
      </c>
      <c r="AH237" s="106">
        <f>13/1063</f>
        <v>1.2229539040451553E-2</v>
      </c>
      <c r="AI237" s="106">
        <f>251/1063</f>
        <v>0.2361241768579492</v>
      </c>
      <c r="AJ237" s="105">
        <v>0.34901222953904043</v>
      </c>
      <c r="AK237" s="105">
        <v>8.9999999999999993E-3</v>
      </c>
      <c r="AL237" s="12">
        <v>0</v>
      </c>
      <c r="AM237" s="12">
        <v>0</v>
      </c>
      <c r="AN237" s="12">
        <v>10</v>
      </c>
      <c r="AO237" s="12">
        <v>299</v>
      </c>
      <c r="AP237" s="12">
        <v>274</v>
      </c>
      <c r="AQ237" s="12">
        <v>260</v>
      </c>
      <c r="AR237" s="12">
        <v>220</v>
      </c>
      <c r="AS237" s="59">
        <v>3.2362459546925564E-2</v>
      </c>
      <c r="AT237" s="3">
        <v>9</v>
      </c>
      <c r="AU237" s="3">
        <v>6</v>
      </c>
      <c r="AV237" s="54">
        <v>58.556461001164138</v>
      </c>
      <c r="AW237" s="54">
        <v>18.742724097788127</v>
      </c>
      <c r="AX237" s="54">
        <v>22.002328288707801</v>
      </c>
      <c r="AY237" s="68">
        <v>0.69848661233993015</v>
      </c>
      <c r="AZ237" s="59">
        <v>9.6745027124773966E-2</v>
      </c>
      <c r="BA237" s="59">
        <v>6.7811934900542492E-2</v>
      </c>
      <c r="BB237" s="81">
        <v>96</v>
      </c>
      <c r="BC237" s="49">
        <v>15.0044923629829</v>
      </c>
      <c r="BD237" s="90" t="s">
        <v>83</v>
      </c>
      <c r="BE237" s="90" t="s">
        <v>83</v>
      </c>
      <c r="BF237" s="49">
        <v>8.4</v>
      </c>
      <c r="BG237" s="49">
        <v>3.1</v>
      </c>
      <c r="BH237" s="49">
        <v>3.6</v>
      </c>
      <c r="BI237" s="49">
        <v>0.5</v>
      </c>
      <c r="BJ237" s="85">
        <v>22.1</v>
      </c>
      <c r="BK237" s="129">
        <v>10726</v>
      </c>
      <c r="BL237" s="129">
        <v>53954</v>
      </c>
      <c r="BM237" s="129">
        <v>50170</v>
      </c>
      <c r="BN237" s="129">
        <v>46185</v>
      </c>
      <c r="BO237" s="59">
        <v>0</v>
      </c>
      <c r="BP237" s="59">
        <v>0.41070000000000001</v>
      </c>
      <c r="BQ237" s="59">
        <v>0.2044</v>
      </c>
      <c r="BR237" s="59">
        <v>0</v>
      </c>
      <c r="BS237" s="59">
        <v>1.9599999999999999E-2</v>
      </c>
      <c r="BT237" s="49">
        <v>12</v>
      </c>
      <c r="BU237" s="59">
        <f t="shared" si="16"/>
        <v>0.63469999999999993</v>
      </c>
      <c r="BV237" s="59">
        <v>1.9599999999999999E-2</v>
      </c>
      <c r="BW237" s="59">
        <v>1.9599999999999999E-2</v>
      </c>
      <c r="BX237" s="59">
        <v>1.9599999999999999E-2</v>
      </c>
      <c r="BY237" s="59">
        <v>0</v>
      </c>
      <c r="BZ237" s="59">
        <v>9.7999999999999997E-3</v>
      </c>
      <c r="CA237" s="49">
        <v>14.3</v>
      </c>
      <c r="CB237" s="59">
        <f t="shared" si="17"/>
        <v>6.8599999999999994E-2</v>
      </c>
      <c r="CC237" s="59">
        <v>0.25609999999999999</v>
      </c>
      <c r="CD237" s="125">
        <v>0.44919999999999999</v>
      </c>
      <c r="CE237" s="125">
        <v>0.26529999999999998</v>
      </c>
      <c r="CF237" s="125">
        <v>0</v>
      </c>
      <c r="CG237" s="125">
        <v>2.9499999999999998E-2</v>
      </c>
      <c r="CH237" s="85">
        <v>11.3</v>
      </c>
      <c r="CI237" s="39" t="s">
        <v>363</v>
      </c>
      <c r="CJ237" s="18" t="s">
        <v>80</v>
      </c>
      <c r="CK237" s="20"/>
    </row>
    <row r="238" spans="1:99" x14ac:dyDescent="0.25">
      <c r="A238" s="18" t="s">
        <v>80</v>
      </c>
      <c r="B238" s="19" t="s">
        <v>364</v>
      </c>
      <c r="C238" s="39" t="s">
        <v>365</v>
      </c>
      <c r="D238" s="40">
        <v>32</v>
      </c>
      <c r="E238" s="40" t="s">
        <v>83</v>
      </c>
      <c r="F238" s="40">
        <v>32</v>
      </c>
      <c r="G238" s="162" t="s">
        <v>83</v>
      </c>
      <c r="H238" s="162" t="s">
        <v>83</v>
      </c>
      <c r="I238" s="166">
        <v>0</v>
      </c>
      <c r="J238" s="166">
        <v>2</v>
      </c>
      <c r="K238" s="166">
        <v>13</v>
      </c>
      <c r="L238" s="166">
        <v>6</v>
      </c>
      <c r="M238" s="166">
        <v>11</v>
      </c>
      <c r="N238" s="119">
        <v>5.76576576576577E-2</v>
      </c>
      <c r="O238" s="119">
        <v>5.76576576576577E-2</v>
      </c>
      <c r="P238" s="116" t="s">
        <v>83</v>
      </c>
      <c r="Q238" s="116" t="s">
        <v>83</v>
      </c>
      <c r="R238" s="119">
        <v>0</v>
      </c>
      <c r="S238" s="119">
        <v>1.5625E-2</v>
      </c>
      <c r="T238" s="119">
        <v>7.5144508670520194E-2</v>
      </c>
      <c r="U238" s="119">
        <v>6.4516129032258104E-2</v>
      </c>
      <c r="V238" s="119">
        <v>7.5342465753424695E-2</v>
      </c>
      <c r="W238" s="40">
        <v>485</v>
      </c>
      <c r="X238" s="40">
        <f t="shared" si="18"/>
        <v>485</v>
      </c>
      <c r="Y238" s="40">
        <f t="shared" si="19"/>
        <v>485</v>
      </c>
      <c r="Z238" s="105">
        <v>0.499</v>
      </c>
      <c r="AA238" s="105">
        <v>0.501</v>
      </c>
      <c r="AB238" s="106">
        <v>0</v>
      </c>
      <c r="AC238" s="106">
        <f>1/485</f>
        <v>2.0618556701030928E-3</v>
      </c>
      <c r="AD238" s="106">
        <f>398/485</f>
        <v>0.8206185567010309</v>
      </c>
      <c r="AE238" s="106">
        <f>5/485</f>
        <v>1.0309278350515464E-2</v>
      </c>
      <c r="AF238" s="106">
        <v>0</v>
      </c>
      <c r="AG238" s="106">
        <f>78/485</f>
        <v>0.16082474226804125</v>
      </c>
      <c r="AH238" s="106">
        <f>3/485</f>
        <v>6.1855670103092781E-3</v>
      </c>
      <c r="AI238" s="106">
        <f>407/485</f>
        <v>0.83917525773195878</v>
      </c>
      <c r="AJ238" s="105">
        <v>0.88247422680412368</v>
      </c>
      <c r="AK238" s="105">
        <v>0</v>
      </c>
      <c r="AL238" s="12">
        <v>0</v>
      </c>
      <c r="AM238" s="12">
        <v>0</v>
      </c>
      <c r="AN238" s="12">
        <v>21</v>
      </c>
      <c r="AO238" s="12">
        <v>103</v>
      </c>
      <c r="AP238" s="12">
        <v>157</v>
      </c>
      <c r="AQ238" s="12">
        <v>91</v>
      </c>
      <c r="AR238" s="12">
        <v>113</v>
      </c>
      <c r="AS238" s="59">
        <v>0.16935483870967741</v>
      </c>
      <c r="AT238" s="3">
        <v>9</v>
      </c>
      <c r="AU238" s="3">
        <v>6</v>
      </c>
      <c r="AV238" s="54">
        <v>59.259259259259252</v>
      </c>
      <c r="AW238" s="54">
        <v>30.092592592592592</v>
      </c>
      <c r="AX238" s="54">
        <v>10.648148148148149</v>
      </c>
      <c r="AY238" s="68">
        <v>0</v>
      </c>
      <c r="AZ238" s="59">
        <v>0.18047882136279927</v>
      </c>
      <c r="BA238" s="59">
        <v>0.31860036832412525</v>
      </c>
      <c r="BB238" s="76">
        <v>88.6141591538684</v>
      </c>
      <c r="BC238" s="49">
        <v>48.256880733945003</v>
      </c>
      <c r="BD238" s="90" t="s">
        <v>83</v>
      </c>
      <c r="BE238" s="90" t="s">
        <v>83</v>
      </c>
      <c r="BF238" s="49">
        <v>28.2</v>
      </c>
      <c r="BG238" s="49">
        <v>16</v>
      </c>
      <c r="BH238" s="49">
        <v>2.6</v>
      </c>
      <c r="BI238" s="49">
        <v>4.8</v>
      </c>
      <c r="BJ238" s="85">
        <v>15.9</v>
      </c>
      <c r="BK238" s="129">
        <v>11607</v>
      </c>
      <c r="BL238" s="129">
        <v>50150</v>
      </c>
      <c r="BM238" s="129">
        <v>69400</v>
      </c>
      <c r="BN238" s="129">
        <v>36678</v>
      </c>
      <c r="BO238" s="59">
        <v>1.4800000000000001E-2</v>
      </c>
      <c r="BP238" s="59">
        <v>0.30320000000000003</v>
      </c>
      <c r="BQ238" s="59">
        <v>0.16209999999999999</v>
      </c>
      <c r="BR238" s="59">
        <v>0</v>
      </c>
      <c r="BS238" s="59">
        <v>0</v>
      </c>
      <c r="BT238" s="49">
        <v>9.6</v>
      </c>
      <c r="BU238" s="59">
        <f t="shared" si="16"/>
        <v>0.48009999999999997</v>
      </c>
      <c r="BV238" s="59">
        <v>2.5000000000000001E-3</v>
      </c>
      <c r="BW238" s="59">
        <v>0</v>
      </c>
      <c r="BX238" s="59">
        <v>2.92E-2</v>
      </c>
      <c r="BY238" s="59">
        <v>0</v>
      </c>
      <c r="BZ238" s="59">
        <v>0</v>
      </c>
      <c r="CA238" s="49">
        <v>14.9</v>
      </c>
      <c r="CB238" s="59">
        <f t="shared" si="17"/>
        <v>3.1699999999999999E-2</v>
      </c>
      <c r="CC238" s="59">
        <v>0.43840000000000001</v>
      </c>
      <c r="CD238" s="125">
        <v>0.3614</v>
      </c>
      <c r="CE238" s="125">
        <v>0.20019999999999999</v>
      </c>
      <c r="CF238" s="125">
        <v>0</v>
      </c>
      <c r="CG238" s="125">
        <v>0</v>
      </c>
      <c r="CH238" s="85">
        <v>10.199999999999999</v>
      </c>
      <c r="CI238" s="39" t="s">
        <v>365</v>
      </c>
      <c r="CJ238" s="18" t="s">
        <v>80</v>
      </c>
      <c r="CK238" s="20"/>
    </row>
    <row r="239" spans="1:99" x14ac:dyDescent="0.25">
      <c r="A239" s="18" t="s">
        <v>80</v>
      </c>
      <c r="B239" s="19" t="s">
        <v>364</v>
      </c>
      <c r="C239" s="39" t="s">
        <v>366</v>
      </c>
      <c r="D239" s="40">
        <v>70</v>
      </c>
      <c r="E239" s="40" t="s">
        <v>83</v>
      </c>
      <c r="F239" s="40">
        <v>70</v>
      </c>
      <c r="G239" s="162" t="s">
        <v>83</v>
      </c>
      <c r="H239" s="162" t="s">
        <v>83</v>
      </c>
      <c r="I239" s="166">
        <v>1</v>
      </c>
      <c r="J239" s="166">
        <v>33</v>
      </c>
      <c r="K239" s="166">
        <v>17</v>
      </c>
      <c r="L239" s="166">
        <v>6</v>
      </c>
      <c r="M239" s="166">
        <v>13</v>
      </c>
      <c r="N239" s="119">
        <v>4.3777360850531598E-2</v>
      </c>
      <c r="O239" s="119">
        <v>4.3777360850531598E-2</v>
      </c>
      <c r="P239" s="116" t="s">
        <v>83</v>
      </c>
      <c r="Q239" s="116" t="s">
        <v>83</v>
      </c>
      <c r="R239" s="119">
        <v>1.63934426229508E-2</v>
      </c>
      <c r="S239" s="119">
        <v>6.0885608856088597E-2</v>
      </c>
      <c r="T239" s="119">
        <v>4.4155844155844198E-2</v>
      </c>
      <c r="U239" s="119">
        <v>2.0066889632107E-2</v>
      </c>
      <c r="V239" s="119">
        <v>4.1666666666666699E-2</v>
      </c>
      <c r="W239" s="40">
        <v>1418</v>
      </c>
      <c r="X239" s="40">
        <f t="shared" si="18"/>
        <v>1418</v>
      </c>
      <c r="Y239" s="40">
        <f t="shared" si="19"/>
        <v>1418</v>
      </c>
      <c r="Z239" s="105">
        <v>0.50900000000000001</v>
      </c>
      <c r="AA239" s="105">
        <v>0.49099999999999999</v>
      </c>
      <c r="AB239" s="106">
        <f>2/1418</f>
        <v>1.4104372355430183E-3</v>
      </c>
      <c r="AC239" s="106">
        <f>24/1418</f>
        <v>1.6925246826516221E-2</v>
      </c>
      <c r="AD239" s="106">
        <f>762/1418</f>
        <v>0.53737658674189004</v>
      </c>
      <c r="AE239" s="106">
        <f>65/1418</f>
        <v>4.5839210155148094E-2</v>
      </c>
      <c r="AF239" s="106">
        <f>1/1418</f>
        <v>7.0521861777150916E-4</v>
      </c>
      <c r="AG239" s="106">
        <f>548/1418</f>
        <v>0.38645980253878703</v>
      </c>
      <c r="AH239" s="106">
        <f>16/1418</f>
        <v>1.1283497884344146E-2</v>
      </c>
      <c r="AI239" s="106">
        <f>870/1418</f>
        <v>0.61354019746121302</v>
      </c>
      <c r="AJ239" s="105">
        <v>0.69040902679830751</v>
      </c>
      <c r="AK239" s="105">
        <v>1.7999999999999999E-2</v>
      </c>
      <c r="AL239" s="12">
        <v>0</v>
      </c>
      <c r="AM239" s="12">
        <v>0</v>
      </c>
      <c r="AN239" s="12">
        <v>54</v>
      </c>
      <c r="AO239" s="12">
        <v>460</v>
      </c>
      <c r="AP239" s="12">
        <v>344</v>
      </c>
      <c r="AQ239" s="12">
        <v>290</v>
      </c>
      <c r="AR239" s="12">
        <v>270</v>
      </c>
      <c r="AS239" s="59">
        <v>0.10505836575875487</v>
      </c>
      <c r="AT239" s="3">
        <v>9</v>
      </c>
      <c r="AU239" s="3">
        <v>6</v>
      </c>
      <c r="AV239" s="54">
        <v>45.655877342419082</v>
      </c>
      <c r="AW239" s="54">
        <v>27.257240204429301</v>
      </c>
      <c r="AX239" s="54">
        <v>25.724020442930151</v>
      </c>
      <c r="AY239" s="68">
        <v>1.362862010221465</v>
      </c>
      <c r="AZ239" s="59">
        <v>0.26534526854219948</v>
      </c>
      <c r="BA239" s="59">
        <v>0.21227621483375958</v>
      </c>
      <c r="BB239" s="77">
        <v>92.418481271108107</v>
      </c>
      <c r="BC239" s="49">
        <v>43.203573707721802</v>
      </c>
      <c r="BD239" s="90" t="s">
        <v>83</v>
      </c>
      <c r="BE239" s="90" t="s">
        <v>83</v>
      </c>
      <c r="BF239" s="49">
        <v>16.899999999999999</v>
      </c>
      <c r="BG239" s="49">
        <v>4.5</v>
      </c>
      <c r="BH239" s="49">
        <v>1.6</v>
      </c>
      <c r="BI239" s="49">
        <v>3.7</v>
      </c>
      <c r="BJ239" s="85">
        <v>18.399999999999999</v>
      </c>
      <c r="BK239" s="129">
        <v>9233</v>
      </c>
      <c r="BL239" s="129">
        <v>47269</v>
      </c>
      <c r="BM239" s="129">
        <v>59439</v>
      </c>
      <c r="BN239" s="129">
        <v>38365</v>
      </c>
      <c r="BO239" s="59">
        <v>1.01E-2</v>
      </c>
      <c r="BP239" s="59">
        <v>0.37290000000000001</v>
      </c>
      <c r="BQ239" s="59">
        <v>0.21010000000000001</v>
      </c>
      <c r="BR239" s="59">
        <v>0</v>
      </c>
      <c r="BS239" s="59">
        <v>1.35E-2</v>
      </c>
      <c r="BT239" s="49">
        <v>8.6</v>
      </c>
      <c r="BU239" s="59">
        <f t="shared" si="16"/>
        <v>0.60659999999999992</v>
      </c>
      <c r="BV239" s="59">
        <v>1.1999999999999999E-3</v>
      </c>
      <c r="BW239" s="59">
        <v>0</v>
      </c>
      <c r="BX239" s="59">
        <v>1.52E-2</v>
      </c>
      <c r="BY239" s="59">
        <v>5.9999999999999995E-4</v>
      </c>
      <c r="BZ239" s="59">
        <v>0</v>
      </c>
      <c r="CA239" s="49">
        <v>16.399999999999999</v>
      </c>
      <c r="CB239" s="59">
        <f t="shared" si="17"/>
        <v>1.7000000000000001E-2</v>
      </c>
      <c r="CC239" s="59">
        <v>0.31830000000000003</v>
      </c>
      <c r="CD239" s="125">
        <v>0.38740000000000002</v>
      </c>
      <c r="CE239" s="125">
        <v>0.2732</v>
      </c>
      <c r="CF239" s="125">
        <v>5.9999999999999995E-4</v>
      </c>
      <c r="CG239" s="125">
        <v>2.0500000000000001E-2</v>
      </c>
      <c r="CH239" s="85">
        <v>9.3000000000000007</v>
      </c>
      <c r="CI239" s="39" t="s">
        <v>366</v>
      </c>
      <c r="CJ239" s="18" t="s">
        <v>80</v>
      </c>
      <c r="CK239" s="20"/>
    </row>
    <row r="240" spans="1:99" x14ac:dyDescent="0.25">
      <c r="A240" s="18" t="s">
        <v>80</v>
      </c>
      <c r="B240" s="19" t="s">
        <v>364</v>
      </c>
      <c r="C240" s="39" t="s">
        <v>367</v>
      </c>
      <c r="D240" s="40">
        <v>26</v>
      </c>
      <c r="E240" s="40" t="s">
        <v>83</v>
      </c>
      <c r="F240" s="40">
        <v>26</v>
      </c>
      <c r="G240" s="162" t="s">
        <v>83</v>
      </c>
      <c r="H240" s="162" t="s">
        <v>83</v>
      </c>
      <c r="I240" s="166">
        <v>2</v>
      </c>
      <c r="J240" s="166">
        <v>6</v>
      </c>
      <c r="K240" s="166">
        <v>5</v>
      </c>
      <c r="L240" s="166">
        <v>8</v>
      </c>
      <c r="M240" s="166">
        <v>5</v>
      </c>
      <c r="N240" s="119">
        <v>4.99040307101727E-2</v>
      </c>
      <c r="O240" s="119">
        <v>4.99040307101727E-2</v>
      </c>
      <c r="P240" s="116" t="s">
        <v>83</v>
      </c>
      <c r="Q240" s="116" t="s">
        <v>83</v>
      </c>
      <c r="R240" s="119">
        <v>6.8965517241379296E-2</v>
      </c>
      <c r="S240" s="119">
        <v>4.2253521126760597E-2</v>
      </c>
      <c r="T240" s="119">
        <v>3.7037037037037E-2</v>
      </c>
      <c r="U240" s="119">
        <v>6.5573770491803296E-2</v>
      </c>
      <c r="V240" s="119">
        <v>5.3763440860215103E-2</v>
      </c>
      <c r="W240" s="40">
        <v>440</v>
      </c>
      <c r="X240" s="40">
        <f t="shared" si="18"/>
        <v>440</v>
      </c>
      <c r="Y240" s="40">
        <f t="shared" si="19"/>
        <v>440</v>
      </c>
      <c r="Z240" s="105">
        <v>0.45700000000000002</v>
      </c>
      <c r="AA240" s="105">
        <v>0.54300000000000004</v>
      </c>
      <c r="AB240" s="106">
        <v>0</v>
      </c>
      <c r="AC240" s="106">
        <v>0</v>
      </c>
      <c r="AD240" s="106">
        <f>253/440</f>
        <v>0.57499999999999996</v>
      </c>
      <c r="AE240" s="106">
        <f>47/440</f>
        <v>0.10681818181818181</v>
      </c>
      <c r="AF240" s="106">
        <v>0</v>
      </c>
      <c r="AG240" s="106">
        <f>138/440</f>
        <v>0.31363636363636366</v>
      </c>
      <c r="AH240" s="106">
        <f>2/440</f>
        <v>4.5454545454545452E-3</v>
      </c>
      <c r="AI240" s="106">
        <f>302/440</f>
        <v>0.6863636363636364</v>
      </c>
      <c r="AJ240" s="105">
        <v>0.90454545454545454</v>
      </c>
      <c r="AK240" s="105">
        <v>4.8000000000000001E-2</v>
      </c>
      <c r="AL240" s="12">
        <v>0</v>
      </c>
      <c r="AM240" s="12">
        <v>0</v>
      </c>
      <c r="AN240" s="12">
        <v>23</v>
      </c>
      <c r="AO240" s="12">
        <v>115</v>
      </c>
      <c r="AP240" s="12">
        <v>108</v>
      </c>
      <c r="AQ240" s="12">
        <v>108</v>
      </c>
      <c r="AR240" s="12">
        <v>86</v>
      </c>
      <c r="AS240" s="59">
        <v>0.16666666666666666</v>
      </c>
      <c r="AT240" s="3">
        <v>9</v>
      </c>
      <c r="AU240" s="3">
        <v>6</v>
      </c>
      <c r="AV240" s="54">
        <v>82.899628252788105</v>
      </c>
      <c r="AW240" s="54">
        <v>15.985130111524162</v>
      </c>
      <c r="AX240" s="54">
        <v>0.74349442379182151</v>
      </c>
      <c r="AY240" s="68">
        <v>0.37174721189591076</v>
      </c>
      <c r="AZ240" s="59">
        <v>8.0392156862745104E-2</v>
      </c>
      <c r="BA240" s="59">
        <v>0.21176470588235294</v>
      </c>
      <c r="BB240" s="76">
        <v>89.040829253885903</v>
      </c>
      <c r="BC240" s="49">
        <v>49.317738791422997</v>
      </c>
      <c r="BD240" s="90" t="s">
        <v>83</v>
      </c>
      <c r="BE240" s="90" t="s">
        <v>83</v>
      </c>
      <c r="BF240" s="49">
        <v>13</v>
      </c>
      <c r="BG240" s="49">
        <v>6.1</v>
      </c>
      <c r="BH240" s="49">
        <v>3</v>
      </c>
      <c r="BI240" s="49">
        <v>2.4</v>
      </c>
      <c r="BJ240" s="85">
        <v>15.7</v>
      </c>
      <c r="BK240" s="129">
        <v>12240</v>
      </c>
      <c r="BL240" s="129">
        <v>48439</v>
      </c>
      <c r="BM240" s="129">
        <v>69508</v>
      </c>
      <c r="BN240" s="129">
        <v>41443</v>
      </c>
      <c r="BO240" s="59">
        <v>0</v>
      </c>
      <c r="BP240" s="59">
        <v>0.4461</v>
      </c>
      <c r="BQ240" s="59">
        <v>0.1804</v>
      </c>
      <c r="BR240" s="59">
        <v>1.61E-2</v>
      </c>
      <c r="BS240" s="59">
        <v>1.5E-3</v>
      </c>
      <c r="BT240" s="49">
        <v>7.4</v>
      </c>
      <c r="BU240" s="59">
        <f t="shared" si="16"/>
        <v>0.64410000000000001</v>
      </c>
      <c r="BV240" s="59">
        <v>1.5E-3</v>
      </c>
      <c r="BW240" s="59">
        <v>1.5E-3</v>
      </c>
      <c r="BX240" s="59">
        <v>4.9700000000000001E-2</v>
      </c>
      <c r="BY240" s="59">
        <v>0</v>
      </c>
      <c r="BZ240" s="59">
        <v>0</v>
      </c>
      <c r="CA240" s="49">
        <v>24.9</v>
      </c>
      <c r="CB240" s="59">
        <f t="shared" si="17"/>
        <v>5.2700000000000004E-2</v>
      </c>
      <c r="CC240" s="59">
        <v>0.2303</v>
      </c>
      <c r="CD240" s="125">
        <v>0.46500000000000002</v>
      </c>
      <c r="CE240" s="125">
        <v>0.26979999999999998</v>
      </c>
      <c r="CF240" s="125">
        <v>3.3500000000000002E-2</v>
      </c>
      <c r="CG240" s="125">
        <v>1.5E-3</v>
      </c>
      <c r="CH240" s="85">
        <v>9.6</v>
      </c>
      <c r="CI240" s="39" t="s">
        <v>367</v>
      </c>
      <c r="CJ240" s="18" t="s">
        <v>80</v>
      </c>
      <c r="CK240" s="20"/>
    </row>
    <row r="241" spans="1:89" x14ac:dyDescent="0.25">
      <c r="A241" s="18" t="s">
        <v>80</v>
      </c>
      <c r="B241" s="19" t="s">
        <v>364</v>
      </c>
      <c r="C241" s="39" t="s">
        <v>368</v>
      </c>
      <c r="D241" s="40">
        <v>6</v>
      </c>
      <c r="E241" s="40">
        <v>0</v>
      </c>
      <c r="F241" s="40">
        <v>6</v>
      </c>
      <c r="G241" s="166">
        <v>0</v>
      </c>
      <c r="H241" s="166">
        <v>0</v>
      </c>
      <c r="I241" s="166">
        <v>0</v>
      </c>
      <c r="J241" s="166">
        <v>2</v>
      </c>
      <c r="K241" s="166">
        <v>3</v>
      </c>
      <c r="L241" s="166">
        <v>1</v>
      </c>
      <c r="M241" s="166">
        <v>0</v>
      </c>
      <c r="N241" s="119">
        <v>1.67130919220056E-2</v>
      </c>
      <c r="O241" s="119">
        <v>2.6548672566371698E-2</v>
      </c>
      <c r="P241" s="119">
        <v>0</v>
      </c>
      <c r="Q241" s="119">
        <v>0</v>
      </c>
      <c r="R241" s="119">
        <v>0</v>
      </c>
      <c r="S241" s="119">
        <v>2.9411764705882401E-2</v>
      </c>
      <c r="T241" s="119">
        <v>5.4545454545454501E-2</v>
      </c>
      <c r="U241" s="119">
        <v>1.88679245283019E-2</v>
      </c>
      <c r="V241" s="119">
        <v>0</v>
      </c>
      <c r="W241" s="40">
        <v>326</v>
      </c>
      <c r="X241" s="40">
        <f t="shared" si="18"/>
        <v>204</v>
      </c>
      <c r="Y241" s="40">
        <f t="shared" si="19"/>
        <v>326</v>
      </c>
      <c r="Z241" s="105">
        <v>0.53100000000000003</v>
      </c>
      <c r="AA241" s="105">
        <v>0.46899999999999997</v>
      </c>
      <c r="AB241" s="106">
        <v>0</v>
      </c>
      <c r="AC241" s="106">
        <v>0</v>
      </c>
      <c r="AD241" s="106">
        <f>307/326</f>
        <v>0.94171779141104295</v>
      </c>
      <c r="AE241" s="106">
        <v>0</v>
      </c>
      <c r="AF241" s="106">
        <v>0</v>
      </c>
      <c r="AG241" s="106">
        <f>16/326</f>
        <v>4.9079754601226995E-2</v>
      </c>
      <c r="AH241" s="106">
        <f>3/326</f>
        <v>9.202453987730062E-3</v>
      </c>
      <c r="AI241" s="106">
        <f>310/326</f>
        <v>0.95092024539877296</v>
      </c>
      <c r="AJ241" s="105">
        <v>0.95092024539877296</v>
      </c>
      <c r="AK241" s="105">
        <v>0</v>
      </c>
      <c r="AL241" s="12">
        <v>58</v>
      </c>
      <c r="AM241" s="12">
        <v>64</v>
      </c>
      <c r="AN241" s="12">
        <v>2</v>
      </c>
      <c r="AO241" s="12">
        <v>57</v>
      </c>
      <c r="AP241" s="12">
        <v>48</v>
      </c>
      <c r="AQ241" s="12">
        <v>58</v>
      </c>
      <c r="AR241" s="12">
        <v>39</v>
      </c>
      <c r="AS241" s="59">
        <v>3.3898305084745763E-2</v>
      </c>
      <c r="AT241" s="3">
        <v>7</v>
      </c>
      <c r="AU241" s="3">
        <v>6</v>
      </c>
      <c r="AV241" s="54">
        <v>85.992217898832692</v>
      </c>
      <c r="AW241" s="54">
        <v>12.840466926070038</v>
      </c>
      <c r="AX241" s="54">
        <v>1.1673151750972763</v>
      </c>
      <c r="AY241" s="68">
        <v>0</v>
      </c>
      <c r="AZ241" s="59">
        <v>0.27374301675977653</v>
      </c>
      <c r="BA241" s="59">
        <v>0.45530726256983239</v>
      </c>
      <c r="BB241" s="77">
        <v>90.966772862019596</v>
      </c>
      <c r="BC241" s="49">
        <v>51.3888888888889</v>
      </c>
      <c r="BD241" s="93">
        <v>0</v>
      </c>
      <c r="BE241" s="93">
        <v>0</v>
      </c>
      <c r="BF241" s="49">
        <v>3.3</v>
      </c>
      <c r="BG241" s="49">
        <v>0</v>
      </c>
      <c r="BH241" s="49">
        <v>2.2000000000000002</v>
      </c>
      <c r="BI241" s="49">
        <v>2.1</v>
      </c>
      <c r="BJ241" s="85">
        <v>15.8</v>
      </c>
      <c r="BK241" s="129">
        <v>12183</v>
      </c>
      <c r="BL241" s="129">
        <v>49714</v>
      </c>
      <c r="BM241" s="129">
        <v>69246</v>
      </c>
      <c r="BN241" s="129">
        <v>43685</v>
      </c>
      <c r="BO241" s="59">
        <v>2.1299999999999999E-2</v>
      </c>
      <c r="BP241" s="59">
        <v>0.43680000000000002</v>
      </c>
      <c r="BQ241" s="59">
        <v>0.1313</v>
      </c>
      <c r="BR241" s="59">
        <v>0</v>
      </c>
      <c r="BS241" s="59">
        <v>2.3300000000000001E-2</v>
      </c>
      <c r="BT241" s="49">
        <v>7.8</v>
      </c>
      <c r="BU241" s="59">
        <f t="shared" si="16"/>
        <v>0.61270000000000002</v>
      </c>
      <c r="BV241" s="59">
        <v>3.8999999999999998E-3</v>
      </c>
      <c r="BW241" s="59">
        <v>0</v>
      </c>
      <c r="BX241" s="59">
        <v>2.3300000000000001E-2</v>
      </c>
      <c r="BY241" s="59">
        <v>0</v>
      </c>
      <c r="BZ241" s="59">
        <v>2.3300000000000001E-2</v>
      </c>
      <c r="CA241" s="49">
        <v>15.5</v>
      </c>
      <c r="CB241" s="59">
        <f t="shared" si="17"/>
        <v>5.0500000000000003E-2</v>
      </c>
      <c r="CC241" s="59">
        <v>0.308</v>
      </c>
      <c r="CD241" s="125">
        <v>0.44240000000000002</v>
      </c>
      <c r="CE241" s="125">
        <v>0.20300000000000001</v>
      </c>
      <c r="CF241" s="125">
        <v>0</v>
      </c>
      <c r="CG241" s="125">
        <v>4.65E-2</v>
      </c>
      <c r="CH241" s="85">
        <v>11.1</v>
      </c>
      <c r="CI241" s="39" t="s">
        <v>368</v>
      </c>
      <c r="CJ241" s="18" t="s">
        <v>80</v>
      </c>
      <c r="CK241" s="20"/>
    </row>
    <row r="242" spans="1:89" x14ac:dyDescent="0.25">
      <c r="A242" s="18" t="s">
        <v>80</v>
      </c>
      <c r="B242" s="19" t="s">
        <v>364</v>
      </c>
      <c r="C242" s="39" t="s">
        <v>369</v>
      </c>
      <c r="D242" s="40">
        <v>18</v>
      </c>
      <c r="E242" s="40" t="s">
        <v>83</v>
      </c>
      <c r="F242" s="40">
        <v>18</v>
      </c>
      <c r="G242" s="162" t="s">
        <v>83</v>
      </c>
      <c r="H242" s="162" t="s">
        <v>83</v>
      </c>
      <c r="I242" s="166">
        <v>1</v>
      </c>
      <c r="J242" s="166">
        <v>4</v>
      </c>
      <c r="K242" s="166">
        <v>1</v>
      </c>
      <c r="L242" s="166">
        <v>7</v>
      </c>
      <c r="M242" s="166">
        <v>5</v>
      </c>
      <c r="N242" s="119">
        <v>2.4965325936199701E-2</v>
      </c>
      <c r="O242" s="119">
        <v>2.4965325936199701E-2</v>
      </c>
      <c r="P242" s="116" t="s">
        <v>83</v>
      </c>
      <c r="Q242" s="116" t="s">
        <v>83</v>
      </c>
      <c r="R242" s="119">
        <v>0.04</v>
      </c>
      <c r="S242" s="119">
        <v>2.1505376344085999E-2</v>
      </c>
      <c r="T242" s="119">
        <v>5.5248618784530402E-3</v>
      </c>
      <c r="U242" s="119">
        <v>4.11764705882353E-2</v>
      </c>
      <c r="V242" s="119">
        <v>3.1446540880503103E-2</v>
      </c>
      <c r="W242" s="40">
        <v>659</v>
      </c>
      <c r="X242" s="40">
        <f t="shared" si="18"/>
        <v>659</v>
      </c>
      <c r="Y242" s="40">
        <f t="shared" si="19"/>
        <v>659</v>
      </c>
      <c r="Z242" s="105">
        <v>0.504</v>
      </c>
      <c r="AA242" s="105">
        <v>0.496</v>
      </c>
      <c r="AB242" s="106">
        <f>3/659</f>
        <v>4.552352048558422E-3</v>
      </c>
      <c r="AC242" s="106">
        <v>0</v>
      </c>
      <c r="AD242" s="106">
        <f>162/659</f>
        <v>0.24582701062215478</v>
      </c>
      <c r="AE242" s="106">
        <f>14/659</f>
        <v>2.1244309559939303E-2</v>
      </c>
      <c r="AF242" s="106">
        <v>0</v>
      </c>
      <c r="AG242" s="106">
        <f>466/659</f>
        <v>0.70713201820940819</v>
      </c>
      <c r="AH242" s="106">
        <f>14/659</f>
        <v>2.1244309559939303E-2</v>
      </c>
      <c r="AI242" s="106">
        <f>193/659</f>
        <v>0.29286798179059181</v>
      </c>
      <c r="AJ242" s="105">
        <v>0.56904400606980277</v>
      </c>
      <c r="AK242" s="105">
        <v>2E-3</v>
      </c>
      <c r="AL242" s="12">
        <v>0</v>
      </c>
      <c r="AM242" s="12">
        <v>0</v>
      </c>
      <c r="AN242" s="12">
        <v>22</v>
      </c>
      <c r="AO242" s="12">
        <v>181</v>
      </c>
      <c r="AP242" s="12">
        <v>158</v>
      </c>
      <c r="AQ242" s="12">
        <v>157</v>
      </c>
      <c r="AR242" s="12">
        <v>141</v>
      </c>
      <c r="AS242" s="59">
        <v>0.10837438423645321</v>
      </c>
      <c r="AT242" s="3">
        <v>9</v>
      </c>
      <c r="AU242" s="3">
        <v>6</v>
      </c>
      <c r="AV242" s="54">
        <v>62.903225806451616</v>
      </c>
      <c r="AW242" s="54">
        <v>17.419354838709676</v>
      </c>
      <c r="AX242" s="54">
        <v>18.387096774193548</v>
      </c>
      <c r="AY242" s="68">
        <v>1.2903225806451613</v>
      </c>
      <c r="AZ242" s="59">
        <v>0.125</v>
      </c>
      <c r="BA242" s="59">
        <v>0.10674157303370786</v>
      </c>
      <c r="BB242" s="76">
        <v>91.763493872832896</v>
      </c>
      <c r="BC242" s="49">
        <v>46.629213483146103</v>
      </c>
      <c r="BD242" s="90" t="s">
        <v>83</v>
      </c>
      <c r="BE242" s="90" t="s">
        <v>83</v>
      </c>
      <c r="BF242" s="49">
        <v>9.4</v>
      </c>
      <c r="BG242" s="49">
        <v>7.6</v>
      </c>
      <c r="BH242" s="49">
        <v>4.5999999999999996</v>
      </c>
      <c r="BI242" s="49">
        <v>4.8</v>
      </c>
      <c r="BJ242" s="85">
        <v>19.100000000000001</v>
      </c>
      <c r="BK242" s="129">
        <v>8720</v>
      </c>
      <c r="BL242" s="129">
        <v>49031</v>
      </c>
      <c r="BM242" s="129">
        <v>65093</v>
      </c>
      <c r="BN242" s="129">
        <v>38842</v>
      </c>
      <c r="BO242" s="59">
        <v>0</v>
      </c>
      <c r="BP242" s="59">
        <v>0.3826</v>
      </c>
      <c r="BQ242" s="59">
        <v>0.1832</v>
      </c>
      <c r="BR242" s="59">
        <v>0</v>
      </c>
      <c r="BS242" s="59">
        <v>0</v>
      </c>
      <c r="BT242" s="49">
        <v>10.1</v>
      </c>
      <c r="BU242" s="59">
        <f t="shared" si="16"/>
        <v>0.56579999999999997</v>
      </c>
      <c r="BV242" s="59">
        <v>2.7000000000000001E-3</v>
      </c>
      <c r="BW242" s="59">
        <v>0</v>
      </c>
      <c r="BX242" s="59">
        <v>3.9100000000000003E-2</v>
      </c>
      <c r="BY242" s="59">
        <v>0</v>
      </c>
      <c r="BZ242" s="59">
        <v>0</v>
      </c>
      <c r="CA242" s="49">
        <v>17.5</v>
      </c>
      <c r="CB242" s="59">
        <f t="shared" si="17"/>
        <v>4.1800000000000004E-2</v>
      </c>
      <c r="CC242" s="59">
        <v>0.34639999999999999</v>
      </c>
      <c r="CD242" s="125">
        <v>0.39889999999999998</v>
      </c>
      <c r="CE242" s="125">
        <v>0.25469999999999998</v>
      </c>
      <c r="CF242" s="125">
        <v>0</v>
      </c>
      <c r="CG242" s="125">
        <v>0</v>
      </c>
      <c r="CH242" s="85">
        <v>10.7</v>
      </c>
      <c r="CI242" s="39" t="s">
        <v>369</v>
      </c>
      <c r="CJ242" s="18" t="s">
        <v>80</v>
      </c>
      <c r="CK242" s="20"/>
    </row>
    <row r="243" spans="1:89" x14ac:dyDescent="0.25">
      <c r="A243" s="18" t="s">
        <v>80</v>
      </c>
      <c r="B243" s="19" t="s">
        <v>364</v>
      </c>
      <c r="C243" s="39" t="s">
        <v>370</v>
      </c>
      <c r="D243" s="40">
        <v>84</v>
      </c>
      <c r="E243" s="40" t="s">
        <v>83</v>
      </c>
      <c r="F243" s="40">
        <v>84</v>
      </c>
      <c r="G243" s="162" t="s">
        <v>83</v>
      </c>
      <c r="H243" s="162" t="s">
        <v>83</v>
      </c>
      <c r="I243" s="166">
        <v>4</v>
      </c>
      <c r="J243" s="166">
        <v>25</v>
      </c>
      <c r="K243" s="166">
        <v>24</v>
      </c>
      <c r="L243" s="166">
        <v>19</v>
      </c>
      <c r="M243" s="166">
        <v>12</v>
      </c>
      <c r="N243" s="119">
        <v>4.3910088865655998E-2</v>
      </c>
      <c r="O243" s="119">
        <v>4.3910088865655998E-2</v>
      </c>
      <c r="P243" s="116" t="s">
        <v>83</v>
      </c>
      <c r="Q243" s="116" t="s">
        <v>83</v>
      </c>
      <c r="R243" s="119">
        <v>0.13793103448275901</v>
      </c>
      <c r="S243" s="119">
        <v>4.56204379562044E-2</v>
      </c>
      <c r="T243" s="119">
        <v>4.7713717693836998E-2</v>
      </c>
      <c r="U243" s="119">
        <v>4.6913580246913597E-2</v>
      </c>
      <c r="V243" s="119">
        <v>2.80373831775701E-2</v>
      </c>
      <c r="W243" s="40">
        <v>1745</v>
      </c>
      <c r="X243" s="40">
        <f t="shared" si="18"/>
        <v>1745</v>
      </c>
      <c r="Y243" s="40">
        <f t="shared" si="19"/>
        <v>1745</v>
      </c>
      <c r="Z243" s="105">
        <v>0.49399999999999999</v>
      </c>
      <c r="AA243" s="105">
        <v>0.50600000000000001</v>
      </c>
      <c r="AB243" s="106">
        <v>0</v>
      </c>
      <c r="AC243" s="106">
        <f>16/1745</f>
        <v>9.1690544412607444E-3</v>
      </c>
      <c r="AD243" s="106">
        <f>485/1745</f>
        <v>0.27793696275071633</v>
      </c>
      <c r="AE243" s="106">
        <f>40/1745</f>
        <v>2.2922636103151862E-2</v>
      </c>
      <c r="AF243" s="106">
        <f>1/1745</f>
        <v>5.7306590257879652E-4</v>
      </c>
      <c r="AG243" s="106">
        <f>1197/1745</f>
        <v>0.68595988538681951</v>
      </c>
      <c r="AH243" s="106">
        <f>6/1745</f>
        <v>3.4383954154727794E-3</v>
      </c>
      <c r="AI243" s="106">
        <f>548/1745</f>
        <v>0.31404011461318054</v>
      </c>
      <c r="AJ243" s="105">
        <v>0.569054441260745</v>
      </c>
      <c r="AK243" s="105">
        <v>6.0000000000000001E-3</v>
      </c>
      <c r="AL243" s="12">
        <v>0</v>
      </c>
      <c r="AM243" s="12">
        <v>0</v>
      </c>
      <c r="AN243" s="12">
        <v>24</v>
      </c>
      <c r="AO243" s="12">
        <v>486</v>
      </c>
      <c r="AP243" s="12">
        <v>452</v>
      </c>
      <c r="AQ243" s="12">
        <v>407</v>
      </c>
      <c r="AR243" s="12">
        <v>376</v>
      </c>
      <c r="AS243" s="59">
        <v>4.7058823529411764E-2</v>
      </c>
      <c r="AT243" s="3">
        <v>9</v>
      </c>
      <c r="AU243" s="3">
        <v>6</v>
      </c>
      <c r="AV243" s="54">
        <v>43.811074918566774</v>
      </c>
      <c r="AW243" s="54">
        <v>23.452768729641694</v>
      </c>
      <c r="AX243" s="54">
        <v>30.293159609120522</v>
      </c>
      <c r="AY243" s="68">
        <v>2.44299674267101</v>
      </c>
      <c r="AZ243" s="59">
        <v>0.25639658848614072</v>
      </c>
      <c r="BA243" s="59">
        <v>0.11513859275053305</v>
      </c>
      <c r="BB243" s="77">
        <v>93.608197558275705</v>
      </c>
      <c r="BC243" s="49">
        <v>37.393617021276597</v>
      </c>
      <c r="BD243" s="90" t="s">
        <v>83</v>
      </c>
      <c r="BE243" s="90" t="s">
        <v>83</v>
      </c>
      <c r="BF243" s="49">
        <v>19.899999999999999</v>
      </c>
      <c r="BG243" s="49">
        <v>8.8000000000000007</v>
      </c>
      <c r="BH243" s="49">
        <v>8.1999999999999993</v>
      </c>
      <c r="BI243" s="49">
        <v>3.5</v>
      </c>
      <c r="BJ243" s="85">
        <v>19.899999999999999</v>
      </c>
      <c r="BK243" s="129">
        <v>8843</v>
      </c>
      <c r="BL243" s="129">
        <v>50726</v>
      </c>
      <c r="BM243" s="129">
        <v>68774</v>
      </c>
      <c r="BN243" s="129">
        <v>38829</v>
      </c>
      <c r="BO243" s="59">
        <v>6.0000000000000001E-3</v>
      </c>
      <c r="BP243" s="59">
        <v>0.38159999999999999</v>
      </c>
      <c r="BQ243" s="59">
        <v>0.1741</v>
      </c>
      <c r="BR243" s="59">
        <v>0</v>
      </c>
      <c r="BS243" s="59">
        <v>5.8999999999999999E-3</v>
      </c>
      <c r="BT243" s="49">
        <v>14.1</v>
      </c>
      <c r="BU243" s="59">
        <f t="shared" si="16"/>
        <v>0.56759999999999999</v>
      </c>
      <c r="BV243" s="59">
        <v>2.5000000000000001E-3</v>
      </c>
      <c r="BW243" s="59">
        <v>0</v>
      </c>
      <c r="BX243" s="59">
        <v>1.17E-2</v>
      </c>
      <c r="BY243" s="59">
        <v>0</v>
      </c>
      <c r="BZ243" s="59">
        <v>5.7000000000000002E-3</v>
      </c>
      <c r="CA243" s="49">
        <v>21.8</v>
      </c>
      <c r="CB243" s="59">
        <f t="shared" si="17"/>
        <v>1.9900000000000001E-2</v>
      </c>
      <c r="CC243" s="59">
        <v>0.37909999999999999</v>
      </c>
      <c r="CD243" s="125">
        <v>0.39389999999999997</v>
      </c>
      <c r="CE243" s="125">
        <v>0.21529999999999999</v>
      </c>
      <c r="CF243" s="125">
        <v>0</v>
      </c>
      <c r="CG243" s="125">
        <v>1.17E-2</v>
      </c>
      <c r="CH243" s="85">
        <v>12.9</v>
      </c>
      <c r="CI243" s="39" t="s">
        <v>370</v>
      </c>
      <c r="CJ243" s="18" t="s">
        <v>80</v>
      </c>
      <c r="CK243" s="20"/>
    </row>
    <row r="244" spans="1:89" x14ac:dyDescent="0.25">
      <c r="A244" s="18" t="s">
        <v>80</v>
      </c>
      <c r="B244" s="19" t="s">
        <v>364</v>
      </c>
      <c r="C244" s="39" t="s">
        <v>371</v>
      </c>
      <c r="D244" s="40">
        <v>22</v>
      </c>
      <c r="E244" s="40" t="s">
        <v>83</v>
      </c>
      <c r="F244" s="40">
        <v>22</v>
      </c>
      <c r="G244" s="162" t="s">
        <v>83</v>
      </c>
      <c r="H244" s="162" t="s">
        <v>83</v>
      </c>
      <c r="I244" s="166">
        <v>0</v>
      </c>
      <c r="J244" s="166">
        <v>1</v>
      </c>
      <c r="K244" s="166">
        <v>5</v>
      </c>
      <c r="L244" s="166">
        <v>11</v>
      </c>
      <c r="M244" s="166">
        <v>5</v>
      </c>
      <c r="N244" s="119">
        <v>3.9568345323740997E-2</v>
      </c>
      <c r="O244" s="119">
        <v>3.9568345323740997E-2</v>
      </c>
      <c r="P244" s="116" t="s">
        <v>83</v>
      </c>
      <c r="Q244" s="116" t="s">
        <v>83</v>
      </c>
      <c r="R244" s="119">
        <v>0</v>
      </c>
      <c r="S244" s="119">
        <v>6.6225165562913899E-3</v>
      </c>
      <c r="T244" s="119">
        <v>3.3112582781456998E-2</v>
      </c>
      <c r="U244" s="119">
        <v>7.9136690647481994E-2</v>
      </c>
      <c r="V244" s="119">
        <v>4.4642857142857102E-2</v>
      </c>
      <c r="W244" s="40">
        <v>520</v>
      </c>
      <c r="X244" s="40">
        <f t="shared" si="18"/>
        <v>520</v>
      </c>
      <c r="Y244" s="40">
        <f t="shared" si="19"/>
        <v>520</v>
      </c>
      <c r="Z244" s="105">
        <v>0.51</v>
      </c>
      <c r="AA244" s="105">
        <v>0.49</v>
      </c>
      <c r="AB244" s="106">
        <f>1/520</f>
        <v>1.9230769230769232E-3</v>
      </c>
      <c r="AC244" s="106">
        <f>1/520</f>
        <v>1.9230769230769232E-3</v>
      </c>
      <c r="AD244" s="106">
        <f>165/520</f>
        <v>0.31730769230769229</v>
      </c>
      <c r="AE244" s="106">
        <f>7/520</f>
        <v>1.3461538461538462E-2</v>
      </c>
      <c r="AF244" s="106">
        <v>0</v>
      </c>
      <c r="AG244" s="106">
        <f>343/520</f>
        <v>0.6596153846153846</v>
      </c>
      <c r="AH244" s="106">
        <f>3/520</f>
        <v>5.7692307692307696E-3</v>
      </c>
      <c r="AI244" s="106">
        <f>177/520</f>
        <v>0.3403846153846154</v>
      </c>
      <c r="AJ244" s="105">
        <v>0.69038461538461537</v>
      </c>
      <c r="AK244" s="105">
        <v>2E-3</v>
      </c>
      <c r="AL244" s="12">
        <v>0</v>
      </c>
      <c r="AM244" s="12">
        <v>0</v>
      </c>
      <c r="AN244" s="12">
        <v>2</v>
      </c>
      <c r="AO244" s="12">
        <v>141</v>
      </c>
      <c r="AP244" s="12">
        <v>140</v>
      </c>
      <c r="AQ244" s="12">
        <v>133</v>
      </c>
      <c r="AR244" s="12">
        <v>104</v>
      </c>
      <c r="AS244" s="59">
        <v>1.3986013986013986E-2</v>
      </c>
      <c r="AT244" s="3">
        <v>9</v>
      </c>
      <c r="AU244" s="3">
        <v>6</v>
      </c>
      <c r="AV244" s="54">
        <v>54.980079681274894</v>
      </c>
      <c r="AW244" s="54">
        <v>28.685258964143429</v>
      </c>
      <c r="AX244" s="54">
        <v>16.334661354581673</v>
      </c>
      <c r="AY244" s="68">
        <v>0</v>
      </c>
      <c r="AZ244" s="59">
        <v>0.40219378427787933</v>
      </c>
      <c r="BA244" s="59">
        <v>0.18647166361974407</v>
      </c>
      <c r="BB244" s="76">
        <v>91.051545239504705</v>
      </c>
      <c r="BC244" s="49">
        <v>50</v>
      </c>
      <c r="BD244" s="90" t="s">
        <v>83</v>
      </c>
      <c r="BE244" s="90" t="s">
        <v>83</v>
      </c>
      <c r="BF244" s="49">
        <v>9.6999999999999993</v>
      </c>
      <c r="BG244" s="49">
        <v>10.5</v>
      </c>
      <c r="BH244" s="49">
        <v>8.4</v>
      </c>
      <c r="BI244" s="49">
        <v>2</v>
      </c>
      <c r="BJ244" s="85">
        <v>19.3</v>
      </c>
      <c r="BK244" s="129">
        <v>10424</v>
      </c>
      <c r="BL244" s="129">
        <v>50695</v>
      </c>
      <c r="BM244" s="129">
        <v>71730</v>
      </c>
      <c r="BN244" s="129">
        <v>39160</v>
      </c>
      <c r="BO244" s="59">
        <v>0</v>
      </c>
      <c r="BP244" s="59">
        <v>0.35070000000000001</v>
      </c>
      <c r="BQ244" s="59">
        <v>0.18679999999999999</v>
      </c>
      <c r="BR244" s="59">
        <v>0</v>
      </c>
      <c r="BS244" s="59">
        <v>0</v>
      </c>
      <c r="BT244" s="49">
        <v>14.2</v>
      </c>
      <c r="BU244" s="59">
        <f t="shared" si="16"/>
        <v>0.53749999999999998</v>
      </c>
      <c r="BV244" s="59">
        <v>2.5999999999999999E-3</v>
      </c>
      <c r="BW244" s="59">
        <v>0</v>
      </c>
      <c r="BX244" s="59">
        <v>1.7299999999999999E-2</v>
      </c>
      <c r="BY244" s="59">
        <v>0</v>
      </c>
      <c r="BZ244" s="59">
        <v>0</v>
      </c>
      <c r="CA244" s="49">
        <v>27.7</v>
      </c>
      <c r="CB244" s="59">
        <f t="shared" si="17"/>
        <v>1.9900000000000001E-2</v>
      </c>
      <c r="CC244" s="59">
        <v>0.36680000000000001</v>
      </c>
      <c r="CD244" s="125">
        <v>0.38469999999999999</v>
      </c>
      <c r="CE244" s="125">
        <v>0.24859999999999999</v>
      </c>
      <c r="CF244" s="125">
        <v>0</v>
      </c>
      <c r="CG244" s="125">
        <v>0</v>
      </c>
      <c r="CH244" s="85">
        <v>13.5</v>
      </c>
      <c r="CI244" s="39" t="s">
        <v>371</v>
      </c>
      <c r="CJ244" s="18" t="s">
        <v>80</v>
      </c>
      <c r="CK244" s="20"/>
    </row>
    <row r="245" spans="1:89" x14ac:dyDescent="0.25">
      <c r="A245" s="18" t="s">
        <v>80</v>
      </c>
      <c r="B245" s="19" t="s">
        <v>372</v>
      </c>
      <c r="C245" s="39" t="s">
        <v>373</v>
      </c>
      <c r="D245" s="40">
        <v>6</v>
      </c>
      <c r="E245" s="40">
        <v>0</v>
      </c>
      <c r="F245" s="40">
        <v>6</v>
      </c>
      <c r="G245" s="166">
        <v>0</v>
      </c>
      <c r="H245" s="166">
        <v>0</v>
      </c>
      <c r="I245" s="166">
        <v>0</v>
      </c>
      <c r="J245" s="166">
        <v>0</v>
      </c>
      <c r="K245" s="166">
        <v>3</v>
      </c>
      <c r="L245" s="166">
        <v>1</v>
      </c>
      <c r="M245" s="166">
        <v>2</v>
      </c>
      <c r="N245" s="119">
        <v>2.18978102189781E-2</v>
      </c>
      <c r="O245" s="119">
        <v>3.20855614973262E-2</v>
      </c>
      <c r="P245" s="119">
        <v>0</v>
      </c>
      <c r="Q245" s="119">
        <v>0</v>
      </c>
      <c r="R245" s="119">
        <v>0</v>
      </c>
      <c r="S245" s="119">
        <v>0</v>
      </c>
      <c r="T245" s="119">
        <v>5.1724137931034503E-2</v>
      </c>
      <c r="U245" s="119">
        <v>2.7777777777777801E-2</v>
      </c>
      <c r="V245" s="119">
        <v>5.4054054054054099E-2</v>
      </c>
      <c r="W245" s="40">
        <v>252</v>
      </c>
      <c r="X245" s="40">
        <f t="shared" si="18"/>
        <v>170</v>
      </c>
      <c r="Y245" s="40">
        <f t="shared" si="19"/>
        <v>252</v>
      </c>
      <c r="Z245" s="105">
        <v>0.42499999999999999</v>
      </c>
      <c r="AA245" s="105">
        <v>0.57499999999999996</v>
      </c>
      <c r="AB245" s="106">
        <v>0</v>
      </c>
      <c r="AC245" s="106">
        <v>0</v>
      </c>
      <c r="AD245" s="106">
        <f>225/252</f>
        <v>0.8928571428571429</v>
      </c>
      <c r="AE245" s="106">
        <f>3/252</f>
        <v>1.1904761904761904E-2</v>
      </c>
      <c r="AF245" s="106">
        <v>0</v>
      </c>
      <c r="AG245" s="106">
        <f>21/252</f>
        <v>8.3333333333333329E-2</v>
      </c>
      <c r="AH245" s="106">
        <f>3/252</f>
        <v>1.1904761904761904E-2</v>
      </c>
      <c r="AI245" s="106">
        <f>231/252</f>
        <v>0.91666666666666663</v>
      </c>
      <c r="AJ245" s="105">
        <v>0.93253968253968256</v>
      </c>
      <c r="AK245" s="105">
        <v>4.0000000000000001E-3</v>
      </c>
      <c r="AL245" s="12">
        <v>40</v>
      </c>
      <c r="AM245" s="12">
        <v>42</v>
      </c>
      <c r="AN245" s="12">
        <v>8</v>
      </c>
      <c r="AO245" s="12">
        <v>47</v>
      </c>
      <c r="AP245" s="12">
        <v>49</v>
      </c>
      <c r="AQ245" s="12">
        <v>35</v>
      </c>
      <c r="AR245" s="12">
        <v>31</v>
      </c>
      <c r="AS245" s="59">
        <v>0.14545454545454545</v>
      </c>
      <c r="AT245" s="3">
        <v>7</v>
      </c>
      <c r="AU245" s="3">
        <v>6</v>
      </c>
      <c r="AV245" s="54">
        <v>92.25352112676056</v>
      </c>
      <c r="AW245" s="54">
        <v>7.7464788732394361</v>
      </c>
      <c r="AX245" s="54">
        <v>0</v>
      </c>
      <c r="AY245" s="68">
        <v>0</v>
      </c>
      <c r="AZ245" s="59">
        <v>0.32592592592592595</v>
      </c>
      <c r="BA245" s="59">
        <v>3.4135719073564927E-2</v>
      </c>
      <c r="BB245" s="81">
        <v>96</v>
      </c>
      <c r="BC245" s="49">
        <v>36.531365313653097</v>
      </c>
      <c r="BD245" s="93">
        <v>0</v>
      </c>
      <c r="BE245" s="49">
        <v>5.0999999999999996</v>
      </c>
      <c r="BF245" s="49">
        <v>0</v>
      </c>
      <c r="BG245" s="49">
        <v>0</v>
      </c>
      <c r="BH245" s="49">
        <v>0</v>
      </c>
      <c r="BI245" s="49">
        <v>0</v>
      </c>
      <c r="BJ245" s="85">
        <v>16.2</v>
      </c>
      <c r="BK245" s="129">
        <v>14128</v>
      </c>
      <c r="BL245" s="129">
        <v>38718</v>
      </c>
      <c r="BM245" s="129">
        <v>31925</v>
      </c>
      <c r="BN245" s="129">
        <v>30839</v>
      </c>
      <c r="BO245" s="59">
        <v>0</v>
      </c>
      <c r="BP245" s="59">
        <v>0.36170000000000002</v>
      </c>
      <c r="BQ245" s="59">
        <v>9.2399999999999996E-2</v>
      </c>
      <c r="BR245" s="59">
        <v>0</v>
      </c>
      <c r="BS245" s="59">
        <v>0</v>
      </c>
      <c r="BT245" s="49">
        <v>14.3</v>
      </c>
      <c r="BU245" s="59">
        <f t="shared" si="16"/>
        <v>0.4541</v>
      </c>
      <c r="BV245" s="59">
        <v>4.3999999999999997E-2</v>
      </c>
      <c r="BW245" s="59">
        <v>0</v>
      </c>
      <c r="BX245" s="59">
        <v>4.4400000000000002E-2</v>
      </c>
      <c r="BY245" s="59">
        <v>0</v>
      </c>
      <c r="BZ245" s="59">
        <v>0</v>
      </c>
      <c r="CA245" s="49">
        <v>23.8</v>
      </c>
      <c r="CB245" s="59">
        <f t="shared" si="17"/>
        <v>8.8400000000000006E-2</v>
      </c>
      <c r="CC245" s="59">
        <v>0.40649999999999997</v>
      </c>
      <c r="CD245" s="125">
        <v>0.41299999999999998</v>
      </c>
      <c r="CE245" s="125">
        <v>0.1658</v>
      </c>
      <c r="CF245" s="125">
        <v>7.3000000000000001E-3</v>
      </c>
      <c r="CG245" s="125">
        <v>7.3000000000000001E-3</v>
      </c>
      <c r="CH245" s="85">
        <v>16.7</v>
      </c>
      <c r="CI245" s="39" t="s">
        <v>373</v>
      </c>
      <c r="CJ245" s="18" t="s">
        <v>80</v>
      </c>
      <c r="CK245" s="20"/>
    </row>
    <row r="246" spans="1:89" x14ac:dyDescent="0.25">
      <c r="A246" s="18" t="s">
        <v>80</v>
      </c>
      <c r="B246" s="19" t="s">
        <v>374</v>
      </c>
      <c r="C246" s="39" t="s">
        <v>375</v>
      </c>
      <c r="D246" s="40">
        <v>84</v>
      </c>
      <c r="E246" s="40">
        <v>1</v>
      </c>
      <c r="F246" s="40">
        <v>83</v>
      </c>
      <c r="G246" s="162" t="s">
        <v>83</v>
      </c>
      <c r="H246" s="166">
        <v>1</v>
      </c>
      <c r="I246" s="166">
        <v>0</v>
      </c>
      <c r="J246" s="166">
        <v>25</v>
      </c>
      <c r="K246" s="166">
        <v>16</v>
      </c>
      <c r="L246" s="166">
        <v>20</v>
      </c>
      <c r="M246" s="166">
        <v>22</v>
      </c>
      <c r="N246" s="119">
        <v>5.1597051597051601E-2</v>
      </c>
      <c r="O246" s="119">
        <v>5.1874999999999998E-2</v>
      </c>
      <c r="P246" s="116" t="s">
        <v>83</v>
      </c>
      <c r="Q246" s="119">
        <v>3.5714285714285698E-2</v>
      </c>
      <c r="R246" s="119">
        <v>0</v>
      </c>
      <c r="S246" s="119">
        <v>4.7528517110266198E-2</v>
      </c>
      <c r="T246" s="119">
        <v>4.1343669250645997E-2</v>
      </c>
      <c r="U246" s="119">
        <v>5.4644808743169397E-2</v>
      </c>
      <c r="V246" s="119">
        <v>7.3333333333333306E-2</v>
      </c>
      <c r="W246" s="40">
        <v>1460</v>
      </c>
      <c r="X246" s="40">
        <f t="shared" si="18"/>
        <v>1441</v>
      </c>
      <c r="Y246" s="40">
        <f t="shared" si="19"/>
        <v>1460</v>
      </c>
      <c r="Z246" s="105">
        <v>0.5</v>
      </c>
      <c r="AA246" s="105">
        <v>0.5</v>
      </c>
      <c r="AB246" s="106">
        <f>60/1460</f>
        <v>4.1095890410958902E-2</v>
      </c>
      <c r="AC246" s="106">
        <f>6/1460</f>
        <v>4.10958904109589E-3</v>
      </c>
      <c r="AD246" s="106">
        <f>500/1460</f>
        <v>0.34246575342465752</v>
      </c>
      <c r="AE246" s="106">
        <f>49/1460</f>
        <v>3.3561643835616439E-2</v>
      </c>
      <c r="AF246" s="106">
        <f>1/1460</f>
        <v>6.8493150684931507E-4</v>
      </c>
      <c r="AG246" s="106">
        <f>834/1460</f>
        <v>0.57123287671232881</v>
      </c>
      <c r="AH246" s="106">
        <f>10/1460</f>
        <v>6.8493150684931503E-3</v>
      </c>
      <c r="AI246" s="106">
        <f>626/1460</f>
        <v>0.42876712328767125</v>
      </c>
      <c r="AJ246" s="105">
        <v>0.58630136986301373</v>
      </c>
      <c r="AK246" s="105">
        <v>5.0000000000000001E-3</v>
      </c>
      <c r="AL246" s="12">
        <v>0</v>
      </c>
      <c r="AM246" s="12">
        <v>19</v>
      </c>
      <c r="AN246" s="12">
        <v>15</v>
      </c>
      <c r="AO246" s="12">
        <v>465</v>
      </c>
      <c r="AP246" s="12">
        <v>353</v>
      </c>
      <c r="AQ246" s="12">
        <v>330</v>
      </c>
      <c r="AR246" s="12">
        <v>278</v>
      </c>
      <c r="AS246" s="59">
        <v>3.125E-2</v>
      </c>
      <c r="AT246" s="3">
        <v>8</v>
      </c>
      <c r="AU246" s="3">
        <v>6</v>
      </c>
      <c r="AV246" s="54">
        <v>58.996539792387551</v>
      </c>
      <c r="AW246" s="54">
        <v>23.52941176470588</v>
      </c>
      <c r="AX246" s="54">
        <v>16.782006920415224</v>
      </c>
      <c r="AY246" s="68">
        <v>0.69204152249134954</v>
      </c>
      <c r="AZ246" s="59">
        <v>0.22695486331849968</v>
      </c>
      <c r="BA246" s="59">
        <v>0.14685314685314685</v>
      </c>
      <c r="BB246" s="77">
        <v>92.294443531609602</v>
      </c>
      <c r="BC246" s="49">
        <v>35.748792270531403</v>
      </c>
      <c r="BD246" s="90" t="s">
        <v>83</v>
      </c>
      <c r="BE246" s="90" t="s">
        <v>83</v>
      </c>
      <c r="BF246" s="49">
        <v>14.3</v>
      </c>
      <c r="BG246" s="49">
        <v>4.0999999999999996</v>
      </c>
      <c r="BH246" s="49">
        <v>3.1</v>
      </c>
      <c r="BI246" s="49">
        <v>3.5</v>
      </c>
      <c r="BJ246" s="85">
        <v>19.2</v>
      </c>
      <c r="BK246" s="129">
        <v>8742</v>
      </c>
      <c r="BL246" s="129">
        <v>46642</v>
      </c>
      <c r="BM246" s="129">
        <v>51256</v>
      </c>
      <c r="BN246" s="129">
        <v>43113</v>
      </c>
      <c r="BO246" s="59">
        <v>0</v>
      </c>
      <c r="BP246" s="59">
        <v>0.48459999999999998</v>
      </c>
      <c r="BQ246" s="59">
        <v>0.17</v>
      </c>
      <c r="BR246" s="59">
        <v>0</v>
      </c>
      <c r="BS246" s="59">
        <v>8.6E-3</v>
      </c>
      <c r="BT246" s="49">
        <v>12.5</v>
      </c>
      <c r="BU246" s="59">
        <f t="shared" si="16"/>
        <v>0.66320000000000001</v>
      </c>
      <c r="BV246" s="59">
        <v>2.5700000000000001E-2</v>
      </c>
      <c r="BW246" s="59">
        <v>0</v>
      </c>
      <c r="BX246" s="59">
        <v>3.4299999999999997E-2</v>
      </c>
      <c r="BY246" s="59">
        <v>0</v>
      </c>
      <c r="BZ246" s="59">
        <v>0</v>
      </c>
      <c r="CA246" s="49">
        <v>16.899999999999999</v>
      </c>
      <c r="CB246" s="59">
        <f t="shared" si="17"/>
        <v>0.06</v>
      </c>
      <c r="CC246" s="59">
        <v>0.22009999999999999</v>
      </c>
      <c r="CD246" s="125">
        <v>0.51049999999999995</v>
      </c>
      <c r="CE246" s="125">
        <v>0.26090000000000002</v>
      </c>
      <c r="CF246" s="125">
        <v>0</v>
      </c>
      <c r="CG246" s="125">
        <v>8.6E-3</v>
      </c>
      <c r="CH246" s="85">
        <v>13.2</v>
      </c>
      <c r="CI246" s="39" t="s">
        <v>375</v>
      </c>
      <c r="CJ246" s="18" t="s">
        <v>80</v>
      </c>
      <c r="CK246" s="20"/>
    </row>
    <row r="247" spans="1:89" x14ac:dyDescent="0.25">
      <c r="A247" s="18" t="s">
        <v>80</v>
      </c>
      <c r="B247" s="19" t="s">
        <v>374</v>
      </c>
      <c r="C247" s="39" t="s">
        <v>376</v>
      </c>
      <c r="D247" s="40">
        <v>80</v>
      </c>
      <c r="E247" s="40">
        <v>1</v>
      </c>
      <c r="F247" s="40">
        <v>79</v>
      </c>
      <c r="G247" s="162" t="s">
        <v>83</v>
      </c>
      <c r="H247" s="166">
        <v>1</v>
      </c>
      <c r="I247" s="166">
        <v>0</v>
      </c>
      <c r="J247" s="166">
        <v>25</v>
      </c>
      <c r="K247" s="166">
        <v>24</v>
      </c>
      <c r="L247" s="166">
        <v>11</v>
      </c>
      <c r="M247" s="166">
        <v>19</v>
      </c>
      <c r="N247" s="119">
        <v>6.8669527896995694E-2</v>
      </c>
      <c r="O247" s="119">
        <v>6.96649029982363E-2</v>
      </c>
      <c r="P247" s="116" t="s">
        <v>83</v>
      </c>
      <c r="Q247" s="119">
        <v>3.2258064516128997E-2</v>
      </c>
      <c r="R247" s="119">
        <v>0</v>
      </c>
      <c r="S247" s="119">
        <v>6.0679611650485403E-2</v>
      </c>
      <c r="T247" s="119">
        <v>8.8560885608856096E-2</v>
      </c>
      <c r="U247" s="119">
        <v>4.7619047619047603E-2</v>
      </c>
      <c r="V247" s="119">
        <v>9.5959595959595995E-2</v>
      </c>
      <c r="W247" s="40">
        <v>987</v>
      </c>
      <c r="X247" s="40">
        <f t="shared" si="18"/>
        <v>969</v>
      </c>
      <c r="Y247" s="40">
        <f t="shared" si="19"/>
        <v>987</v>
      </c>
      <c r="Z247" s="105">
        <v>0.46899999999999997</v>
      </c>
      <c r="AA247" s="105">
        <v>0.53100000000000003</v>
      </c>
      <c r="AB247" s="106">
        <f>169/987</f>
        <v>0.171225937183384</v>
      </c>
      <c r="AC247" s="106">
        <f>29/987</f>
        <v>2.9381965552178316E-2</v>
      </c>
      <c r="AD247" s="106">
        <f>349/987</f>
        <v>0.353596757852077</v>
      </c>
      <c r="AE247" s="106">
        <f>81/987</f>
        <v>8.2066869300911852E-2</v>
      </c>
      <c r="AF247" s="106">
        <f>1/987</f>
        <v>1.0131712259371835E-3</v>
      </c>
      <c r="AG247" s="106">
        <f>352/987</f>
        <v>0.35663627152988853</v>
      </c>
      <c r="AH247" s="106">
        <f>6/987</f>
        <v>6.0790273556231003E-3</v>
      </c>
      <c r="AI247" s="106">
        <f>635/987</f>
        <v>0.64336372847011147</v>
      </c>
      <c r="AJ247" s="105">
        <v>0.71327254305977705</v>
      </c>
      <c r="AK247" s="105">
        <v>3.7999999999999999E-2</v>
      </c>
      <c r="AL247" s="12">
        <v>0</v>
      </c>
      <c r="AM247" s="12">
        <v>18</v>
      </c>
      <c r="AN247" s="12">
        <v>19</v>
      </c>
      <c r="AO247" s="12">
        <v>348</v>
      </c>
      <c r="AP247" s="12">
        <v>227</v>
      </c>
      <c r="AQ247" s="12">
        <v>199</v>
      </c>
      <c r="AR247" s="12">
        <v>176</v>
      </c>
      <c r="AS247" s="59">
        <v>5.1771117166212535E-2</v>
      </c>
      <c r="AT247" s="3">
        <v>8</v>
      </c>
      <c r="AU247" s="3">
        <v>6</v>
      </c>
      <c r="AV247" s="54">
        <v>70.981210855949897</v>
      </c>
      <c r="AW247" s="54">
        <v>23.799582463465555</v>
      </c>
      <c r="AX247" s="54">
        <v>5.010438413361169</v>
      </c>
      <c r="AY247" s="68">
        <v>0.20876826722338201</v>
      </c>
      <c r="AZ247" s="59">
        <v>0.36437613019891502</v>
      </c>
      <c r="BA247" s="59">
        <v>0.30379746835443039</v>
      </c>
      <c r="BB247" s="76">
        <v>90.295443251364105</v>
      </c>
      <c r="BC247" s="49">
        <v>44.366197183098599</v>
      </c>
      <c r="BD247" s="90" t="s">
        <v>83</v>
      </c>
      <c r="BE247" s="90" t="s">
        <v>83</v>
      </c>
      <c r="BF247" s="49">
        <v>9</v>
      </c>
      <c r="BG247" s="49">
        <v>6.7</v>
      </c>
      <c r="BH247" s="49">
        <v>3.8</v>
      </c>
      <c r="BI247" s="49">
        <v>0</v>
      </c>
      <c r="BJ247" s="85">
        <v>17.899999999999999</v>
      </c>
      <c r="BK247" s="129">
        <v>10478</v>
      </c>
      <c r="BL247" s="129">
        <v>46254</v>
      </c>
      <c r="BM247" s="129">
        <v>53456</v>
      </c>
      <c r="BN247" s="129">
        <v>41844</v>
      </c>
      <c r="BO247" s="59">
        <v>0</v>
      </c>
      <c r="BP247" s="59">
        <v>0.40970000000000001</v>
      </c>
      <c r="BQ247" s="59">
        <v>0.22650000000000001</v>
      </c>
      <c r="BR247" s="59">
        <v>0</v>
      </c>
      <c r="BS247" s="59">
        <v>0</v>
      </c>
      <c r="BT247" s="49">
        <v>11.6</v>
      </c>
      <c r="BU247" s="59">
        <f t="shared" si="16"/>
        <v>0.63619999999999999</v>
      </c>
      <c r="BV247" s="59">
        <v>2.8799999999999999E-2</v>
      </c>
      <c r="BW247" s="59">
        <v>0</v>
      </c>
      <c r="BX247" s="59">
        <v>3.9699999999999999E-2</v>
      </c>
      <c r="BY247" s="59">
        <v>0</v>
      </c>
      <c r="BZ247" s="59">
        <v>0</v>
      </c>
      <c r="CA247" s="49">
        <v>19.5</v>
      </c>
      <c r="CB247" s="59">
        <f t="shared" si="17"/>
        <v>6.8500000000000005E-2</v>
      </c>
      <c r="CC247" s="59">
        <v>0.2225</v>
      </c>
      <c r="CD247" s="125">
        <v>0.44840000000000002</v>
      </c>
      <c r="CE247" s="125">
        <v>0.3291</v>
      </c>
      <c r="CF247" s="125">
        <v>0</v>
      </c>
      <c r="CG247" s="125">
        <v>0</v>
      </c>
      <c r="CH247" s="85">
        <v>12.3</v>
      </c>
      <c r="CI247" s="39" t="s">
        <v>376</v>
      </c>
      <c r="CJ247" s="18" t="s">
        <v>80</v>
      </c>
      <c r="CK247" s="20"/>
    </row>
    <row r="248" spans="1:89" x14ac:dyDescent="0.25">
      <c r="A248" s="18" t="s">
        <v>80</v>
      </c>
      <c r="B248" s="19" t="s">
        <v>374</v>
      </c>
      <c r="C248" s="39" t="s">
        <v>377</v>
      </c>
      <c r="D248" s="40">
        <v>51</v>
      </c>
      <c r="E248" s="40">
        <v>0</v>
      </c>
      <c r="F248" s="40">
        <v>51</v>
      </c>
      <c r="G248" s="162" t="s">
        <v>83</v>
      </c>
      <c r="H248" s="166">
        <v>0</v>
      </c>
      <c r="I248" s="166">
        <v>0</v>
      </c>
      <c r="J248" s="166">
        <v>14</v>
      </c>
      <c r="K248" s="166">
        <v>10</v>
      </c>
      <c r="L248" s="166">
        <v>17</v>
      </c>
      <c r="M248" s="166">
        <v>10</v>
      </c>
      <c r="N248" s="119">
        <v>4.6153846153846198E-2</v>
      </c>
      <c r="O248" s="119">
        <v>4.6831955922865001E-2</v>
      </c>
      <c r="P248" s="116" t="s">
        <v>83</v>
      </c>
      <c r="Q248" s="119">
        <v>0</v>
      </c>
      <c r="R248" s="119">
        <v>0</v>
      </c>
      <c r="S248" s="119">
        <v>4.59016393442623E-2</v>
      </c>
      <c r="T248" s="119">
        <v>3.6630036630036597E-2</v>
      </c>
      <c r="U248" s="119">
        <v>6.3909774436090194E-2</v>
      </c>
      <c r="V248" s="119">
        <v>4.20168067226891E-2</v>
      </c>
      <c r="W248" s="40">
        <v>1030</v>
      </c>
      <c r="X248" s="40">
        <f t="shared" si="18"/>
        <v>1017</v>
      </c>
      <c r="Y248" s="40">
        <f t="shared" si="19"/>
        <v>1030</v>
      </c>
      <c r="Z248" s="105">
        <v>0.495</v>
      </c>
      <c r="AA248" s="105">
        <v>0.505</v>
      </c>
      <c r="AB248" s="106">
        <f>137/1030</f>
        <v>0.13300970873786408</v>
      </c>
      <c r="AC248" s="106">
        <f>6/1030</f>
        <v>5.8252427184466021E-3</v>
      </c>
      <c r="AD248" s="106">
        <f>111/1030</f>
        <v>0.10776699029126213</v>
      </c>
      <c r="AE248" s="106">
        <f>14/1030</f>
        <v>1.3592233009708738E-2</v>
      </c>
      <c r="AF248" s="106">
        <v>0</v>
      </c>
      <c r="AG248" s="106">
        <f>732/1030</f>
        <v>0.71067961165048543</v>
      </c>
      <c r="AH248" s="106">
        <f>30/1030</f>
        <v>2.9126213592233011E-2</v>
      </c>
      <c r="AI248" s="106">
        <f>298/1030</f>
        <v>0.28932038834951457</v>
      </c>
      <c r="AJ248" s="105">
        <v>0.5</v>
      </c>
      <c r="AK248" s="105">
        <v>4.0000000000000001E-3</v>
      </c>
      <c r="AL248" s="12">
        <v>0</v>
      </c>
      <c r="AM248" s="12">
        <v>13</v>
      </c>
      <c r="AN248" s="12">
        <v>6</v>
      </c>
      <c r="AO248" s="12">
        <v>269</v>
      </c>
      <c r="AP248" s="12">
        <v>261</v>
      </c>
      <c r="AQ248" s="12">
        <v>247</v>
      </c>
      <c r="AR248" s="12">
        <v>234</v>
      </c>
      <c r="AS248" s="59">
        <v>2.181818181818182E-2</v>
      </c>
      <c r="AT248" s="3">
        <v>8</v>
      </c>
      <c r="AU248" s="3">
        <v>6</v>
      </c>
      <c r="AV248" s="54">
        <v>65.924276169265028</v>
      </c>
      <c r="AW248" s="54">
        <v>26.503340757238309</v>
      </c>
      <c r="AX248" s="54">
        <v>6.9042316258351892</v>
      </c>
      <c r="AY248" s="68">
        <v>0.66815144766146994</v>
      </c>
      <c r="AZ248" s="59">
        <v>0.15023041474654378</v>
      </c>
      <c r="BA248" s="59">
        <v>0.14930875576036867</v>
      </c>
      <c r="BB248" s="76">
        <v>91.844748913042807</v>
      </c>
      <c r="BC248" s="49">
        <v>38.312829525483302</v>
      </c>
      <c r="BD248" s="90" t="s">
        <v>83</v>
      </c>
      <c r="BE248" s="90" t="s">
        <v>83</v>
      </c>
      <c r="BF248" s="49">
        <v>5.5</v>
      </c>
      <c r="BG248" s="49">
        <v>4.0999999999999996</v>
      </c>
      <c r="BH248" s="49">
        <v>1.4</v>
      </c>
      <c r="BI248" s="49">
        <v>0.8</v>
      </c>
      <c r="BJ248" s="85">
        <v>19.3</v>
      </c>
      <c r="BK248" s="129">
        <v>9592</v>
      </c>
      <c r="BL248" s="129">
        <v>47647</v>
      </c>
      <c r="BM248" s="129">
        <v>50629</v>
      </c>
      <c r="BN248" s="129">
        <v>42720</v>
      </c>
      <c r="BO248" s="59">
        <v>0</v>
      </c>
      <c r="BP248" s="59">
        <v>0.51770000000000005</v>
      </c>
      <c r="BQ248" s="59">
        <v>0.13220000000000001</v>
      </c>
      <c r="BR248" s="59">
        <v>0</v>
      </c>
      <c r="BS248" s="59">
        <v>0</v>
      </c>
      <c r="BT248" s="49">
        <v>14.3</v>
      </c>
      <c r="BU248" s="59">
        <f t="shared" si="16"/>
        <v>0.64990000000000003</v>
      </c>
      <c r="BV248" s="59">
        <v>2.75E-2</v>
      </c>
      <c r="BW248" s="59">
        <v>0</v>
      </c>
      <c r="BX248" s="59">
        <v>2.0400000000000001E-2</v>
      </c>
      <c r="BY248" s="59">
        <v>0</v>
      </c>
      <c r="BZ248" s="59">
        <v>1.0800000000000001E-2</v>
      </c>
      <c r="CA248" s="49">
        <v>19.8</v>
      </c>
      <c r="CB248" s="59">
        <f t="shared" si="17"/>
        <v>5.8700000000000002E-2</v>
      </c>
      <c r="CC248" s="59">
        <v>0.2349</v>
      </c>
      <c r="CD248" s="125">
        <v>0.54059999999999997</v>
      </c>
      <c r="CE248" s="125">
        <v>0.2137</v>
      </c>
      <c r="CF248" s="125">
        <v>0</v>
      </c>
      <c r="CG248" s="125">
        <v>1.0800000000000001E-2</v>
      </c>
      <c r="CH248" s="85">
        <v>14.2</v>
      </c>
      <c r="CI248" s="39" t="s">
        <v>377</v>
      </c>
      <c r="CJ248" s="18" t="s">
        <v>80</v>
      </c>
      <c r="CK248" s="20"/>
    </row>
    <row r="249" spans="1:89" x14ac:dyDescent="0.25">
      <c r="A249" s="18" t="s">
        <v>80</v>
      </c>
      <c r="B249" s="19" t="s">
        <v>374</v>
      </c>
      <c r="C249" s="39" t="s">
        <v>378</v>
      </c>
      <c r="D249" s="40">
        <v>52</v>
      </c>
      <c r="E249" s="40" t="s">
        <v>83</v>
      </c>
      <c r="F249" s="40">
        <v>52</v>
      </c>
      <c r="G249" s="162" t="s">
        <v>83</v>
      </c>
      <c r="H249" s="162" t="s">
        <v>83</v>
      </c>
      <c r="I249" s="166">
        <v>0</v>
      </c>
      <c r="J249" s="166">
        <v>4</v>
      </c>
      <c r="K249" s="166">
        <v>21</v>
      </c>
      <c r="L249" s="166">
        <v>17</v>
      </c>
      <c r="M249" s="166">
        <v>10</v>
      </c>
      <c r="N249" s="119">
        <v>4.7838086476540899E-2</v>
      </c>
      <c r="O249" s="119">
        <v>4.7838086476540899E-2</v>
      </c>
      <c r="P249" s="116" t="s">
        <v>83</v>
      </c>
      <c r="Q249" s="116" t="s">
        <v>83</v>
      </c>
      <c r="R249" s="119">
        <v>0</v>
      </c>
      <c r="S249" s="119">
        <v>4.4444444444444398E-2</v>
      </c>
      <c r="T249" s="119">
        <v>6.1583577712609999E-2</v>
      </c>
      <c r="U249" s="119">
        <v>4.98533724340176E-2</v>
      </c>
      <c r="V249" s="119">
        <v>3.2051282051282E-2</v>
      </c>
      <c r="W249" s="40">
        <v>997</v>
      </c>
      <c r="X249" s="40">
        <f t="shared" si="18"/>
        <v>997</v>
      </c>
      <c r="Y249" s="40">
        <f t="shared" si="19"/>
        <v>997</v>
      </c>
      <c r="Z249" s="105">
        <v>0.48899999999999999</v>
      </c>
      <c r="AA249" s="105">
        <v>0.51200000000000001</v>
      </c>
      <c r="AB249" s="106">
        <f>45/997</f>
        <v>4.5135406218655971E-2</v>
      </c>
      <c r="AC249" s="106">
        <f>13/997</f>
        <v>1.3039117352056168E-2</v>
      </c>
      <c r="AD249" s="106">
        <f>295/997</f>
        <v>0.2958876629889669</v>
      </c>
      <c r="AE249" s="106">
        <f>34/997</f>
        <v>3.4102306920762285E-2</v>
      </c>
      <c r="AF249" s="106">
        <v>0</v>
      </c>
      <c r="AG249" s="106">
        <f>604/997</f>
        <v>0.60581745235707118</v>
      </c>
      <c r="AH249" s="106">
        <f>6/997</f>
        <v>6.018054162487462E-3</v>
      </c>
      <c r="AI249" s="106">
        <f>393/997</f>
        <v>0.39418254764292876</v>
      </c>
      <c r="AJ249" s="105">
        <v>0.47241725175526578</v>
      </c>
      <c r="AK249" s="105">
        <v>1.0999999999999999E-2</v>
      </c>
      <c r="AL249" s="12">
        <v>0</v>
      </c>
      <c r="AM249" s="12">
        <v>0</v>
      </c>
      <c r="AN249" s="12">
        <v>2</v>
      </c>
      <c r="AO249" s="12">
        <v>74</v>
      </c>
      <c r="AP249" s="12">
        <v>307</v>
      </c>
      <c r="AQ249" s="12">
        <v>316</v>
      </c>
      <c r="AR249" s="12">
        <v>298</v>
      </c>
      <c r="AS249" s="59">
        <v>2.6315789473684209E-2</v>
      </c>
      <c r="AT249" s="3">
        <v>9</v>
      </c>
      <c r="AU249" s="3">
        <v>6</v>
      </c>
      <c r="AV249" s="54">
        <v>58.474576271186443</v>
      </c>
      <c r="AW249" s="54">
        <v>25.70621468926554</v>
      </c>
      <c r="AX249" s="54">
        <v>15.254237288135593</v>
      </c>
      <c r="AY249" s="68">
        <v>0.56497175141242939</v>
      </c>
      <c r="AZ249" s="59">
        <v>0.29150943396226414</v>
      </c>
      <c r="BA249" s="59">
        <v>0.10566037735849057</v>
      </c>
      <c r="BB249" s="77">
        <v>92.321900928219804</v>
      </c>
      <c r="BC249" s="49">
        <v>33.094812164579601</v>
      </c>
      <c r="BD249" s="90" t="s">
        <v>83</v>
      </c>
      <c r="BE249" s="90" t="s">
        <v>83</v>
      </c>
      <c r="BF249" s="49">
        <v>20.399999999999999</v>
      </c>
      <c r="BG249" s="49">
        <v>4.5999999999999996</v>
      </c>
      <c r="BH249" s="49">
        <v>1.9</v>
      </c>
      <c r="BI249" s="49">
        <v>1.6</v>
      </c>
      <c r="BJ249" s="85">
        <v>19.8</v>
      </c>
      <c r="BK249" s="129">
        <v>8874</v>
      </c>
      <c r="BL249" s="129">
        <v>47135</v>
      </c>
      <c r="BM249" s="129">
        <v>52397</v>
      </c>
      <c r="BN249" s="129">
        <v>42175</v>
      </c>
      <c r="BO249" s="59">
        <v>0</v>
      </c>
      <c r="BP249" s="59">
        <v>0.42670000000000002</v>
      </c>
      <c r="BQ249" s="59">
        <v>0.21210000000000001</v>
      </c>
      <c r="BR249" s="59">
        <v>0</v>
      </c>
      <c r="BS249" s="59">
        <v>0</v>
      </c>
      <c r="BT249" s="49">
        <v>13.2</v>
      </c>
      <c r="BU249" s="59">
        <f t="shared" si="16"/>
        <v>0.63880000000000003</v>
      </c>
      <c r="BV249" s="59">
        <v>2.4799999999999999E-2</v>
      </c>
      <c r="BW249" s="59">
        <v>0</v>
      </c>
      <c r="BX249" s="59">
        <v>3.7199999999999997E-2</v>
      </c>
      <c r="BY249" s="59">
        <v>0</v>
      </c>
      <c r="BZ249" s="59">
        <v>0</v>
      </c>
      <c r="CA249" s="49">
        <v>20.2</v>
      </c>
      <c r="CB249" s="59">
        <f t="shared" si="17"/>
        <v>6.2E-2</v>
      </c>
      <c r="CC249" s="59">
        <v>0.21529999999999999</v>
      </c>
      <c r="CD249" s="125">
        <v>0.47689999999999999</v>
      </c>
      <c r="CE249" s="125">
        <v>0.2954</v>
      </c>
      <c r="CF249" s="125">
        <v>0</v>
      </c>
      <c r="CG249" s="125">
        <v>1.24E-2</v>
      </c>
      <c r="CH249" s="85">
        <v>12.9</v>
      </c>
      <c r="CI249" s="39" t="s">
        <v>378</v>
      </c>
      <c r="CJ249" s="18" t="s">
        <v>80</v>
      </c>
      <c r="CK249" s="20"/>
    </row>
    <row r="250" spans="1:89" x14ac:dyDescent="0.25">
      <c r="A250" s="18" t="s">
        <v>80</v>
      </c>
      <c r="B250" s="19" t="s">
        <v>379</v>
      </c>
      <c r="C250" s="39" t="s">
        <v>380</v>
      </c>
      <c r="D250" s="40">
        <v>2</v>
      </c>
      <c r="E250" s="40">
        <v>1</v>
      </c>
      <c r="F250" s="40">
        <v>1</v>
      </c>
      <c r="G250" s="166">
        <v>0</v>
      </c>
      <c r="H250" s="166">
        <v>1</v>
      </c>
      <c r="I250" s="166">
        <v>0</v>
      </c>
      <c r="J250" s="166">
        <v>0</v>
      </c>
      <c r="K250" s="166">
        <v>0</v>
      </c>
      <c r="L250" s="166">
        <v>0</v>
      </c>
      <c r="M250" s="166">
        <v>1</v>
      </c>
      <c r="N250" s="119">
        <v>1.0752688172042999E-2</v>
      </c>
      <c r="O250" s="119">
        <v>9.5238095238095195E-3</v>
      </c>
      <c r="P250" s="119">
        <v>0</v>
      </c>
      <c r="Q250" s="119">
        <v>2.7027027027027001E-2</v>
      </c>
      <c r="R250" s="119">
        <v>0</v>
      </c>
      <c r="S250" s="119">
        <v>0</v>
      </c>
      <c r="T250" s="119">
        <v>0</v>
      </c>
      <c r="U250" s="119">
        <v>0</v>
      </c>
      <c r="V250" s="119">
        <v>3.125E-2</v>
      </c>
      <c r="W250" s="40">
        <v>367</v>
      </c>
      <c r="X250" s="40">
        <f t="shared" si="18"/>
        <v>98</v>
      </c>
      <c r="Y250" s="40">
        <f t="shared" si="19"/>
        <v>171</v>
      </c>
      <c r="Z250" s="105">
        <v>0.501</v>
      </c>
      <c r="AA250" s="105">
        <v>0.499</v>
      </c>
      <c r="AB250" s="106">
        <f>1/367</f>
        <v>2.7247956403269754E-3</v>
      </c>
      <c r="AC250" s="106">
        <f>1/367</f>
        <v>2.7247956403269754E-3</v>
      </c>
      <c r="AD250" s="106">
        <f>5/367</f>
        <v>1.3623978201634877E-2</v>
      </c>
      <c r="AE250" s="106">
        <f>21/367</f>
        <v>5.7220708446866483E-2</v>
      </c>
      <c r="AF250" s="106">
        <v>0</v>
      </c>
      <c r="AG250" s="106">
        <f>337/367</f>
        <v>0.91825613079019075</v>
      </c>
      <c r="AH250" s="106">
        <f>2/367</f>
        <v>5.4495912806539508E-3</v>
      </c>
      <c r="AI250" s="106">
        <f>30/367</f>
        <v>8.1743869209809264E-2</v>
      </c>
      <c r="AJ250" s="105">
        <v>0.61580381471389645</v>
      </c>
      <c r="AK250" s="105">
        <v>1.0999999999999999E-2</v>
      </c>
      <c r="AL250" s="12">
        <v>42</v>
      </c>
      <c r="AM250" s="12">
        <v>31</v>
      </c>
      <c r="AN250" s="12">
        <v>2</v>
      </c>
      <c r="AO250" s="12">
        <v>25</v>
      </c>
      <c r="AP250" s="12">
        <v>20</v>
      </c>
      <c r="AQ250" s="12">
        <v>22</v>
      </c>
      <c r="AR250" s="12">
        <v>29</v>
      </c>
      <c r="AS250" s="59">
        <v>7.407407407407407E-2</v>
      </c>
      <c r="AT250" s="3">
        <v>1</v>
      </c>
      <c r="AU250" s="3">
        <v>3</v>
      </c>
      <c r="AV250" s="54">
        <v>86.607142857142861</v>
      </c>
      <c r="AW250" s="54">
        <v>8.9285714285714288</v>
      </c>
      <c r="AX250" s="54">
        <v>4.4642857142857144</v>
      </c>
      <c r="AY250" s="68">
        <v>0</v>
      </c>
      <c r="AZ250" s="59">
        <v>5.5555555555555552E-2</v>
      </c>
      <c r="BA250" s="59">
        <v>0.05</v>
      </c>
      <c r="BB250" s="76">
        <v>94.171599147253502</v>
      </c>
      <c r="BC250" s="49">
        <v>25.5421686746988</v>
      </c>
      <c r="BD250" s="49">
        <v>2.6</v>
      </c>
      <c r="BE250" s="49">
        <v>0</v>
      </c>
      <c r="BF250" s="49">
        <v>4.8</v>
      </c>
      <c r="BG250" s="49">
        <v>0</v>
      </c>
      <c r="BH250" s="49">
        <v>5.6</v>
      </c>
      <c r="BI250" s="49">
        <v>3.7</v>
      </c>
      <c r="BJ250" s="85">
        <v>18.600000000000001</v>
      </c>
      <c r="BK250" s="129">
        <v>11657</v>
      </c>
      <c r="BL250" s="129">
        <v>45728</v>
      </c>
      <c r="BM250" s="129">
        <v>39255</v>
      </c>
      <c r="BN250" s="129">
        <v>35949</v>
      </c>
      <c r="BO250" s="59">
        <v>0</v>
      </c>
      <c r="BP250" s="59">
        <v>0.36449999999999999</v>
      </c>
      <c r="BQ250" s="59">
        <v>0.17499999999999999</v>
      </c>
      <c r="BR250" s="59">
        <v>2.0899999999999998E-2</v>
      </c>
      <c r="BS250" s="59">
        <v>0</v>
      </c>
      <c r="BT250" s="49">
        <v>12.2</v>
      </c>
      <c r="BU250" s="59">
        <f t="shared" si="16"/>
        <v>0.56040000000000001</v>
      </c>
      <c r="BV250" s="59">
        <v>4.1799999999999997E-2</v>
      </c>
      <c r="BW250" s="59">
        <v>0</v>
      </c>
      <c r="BX250" s="59">
        <v>2.0899999999999998E-2</v>
      </c>
      <c r="BY250" s="59">
        <v>0</v>
      </c>
      <c r="BZ250" s="59">
        <v>0</v>
      </c>
      <c r="CA250" s="49">
        <v>12.3</v>
      </c>
      <c r="CB250" s="59">
        <f t="shared" si="17"/>
        <v>6.2699999999999992E-2</v>
      </c>
      <c r="CC250" s="59">
        <v>0.39700000000000002</v>
      </c>
      <c r="CD250" s="125">
        <v>0.36499999999999999</v>
      </c>
      <c r="CE250" s="125">
        <v>0.2172</v>
      </c>
      <c r="CF250" s="125">
        <v>2.0899999999999998E-2</v>
      </c>
      <c r="CG250" s="125">
        <v>0</v>
      </c>
      <c r="CH250" s="85">
        <v>11.4</v>
      </c>
      <c r="CI250" s="39" t="s">
        <v>380</v>
      </c>
      <c r="CJ250" s="18" t="s">
        <v>80</v>
      </c>
      <c r="CK250" s="20"/>
    </row>
    <row r="251" spans="1:89" x14ac:dyDescent="0.25">
      <c r="A251" s="18" t="s">
        <v>80</v>
      </c>
      <c r="B251" s="19" t="s">
        <v>379</v>
      </c>
      <c r="C251" s="39" t="s">
        <v>381</v>
      </c>
      <c r="D251" s="40">
        <v>21</v>
      </c>
      <c r="E251" s="40" t="s">
        <v>83</v>
      </c>
      <c r="F251" s="40">
        <v>21</v>
      </c>
      <c r="G251" s="162" t="s">
        <v>83</v>
      </c>
      <c r="H251" s="162" t="s">
        <v>83</v>
      </c>
      <c r="I251" s="166">
        <v>1</v>
      </c>
      <c r="J251" s="166">
        <v>3</v>
      </c>
      <c r="K251" s="166">
        <v>12</v>
      </c>
      <c r="L251" s="166">
        <v>3</v>
      </c>
      <c r="M251" s="166">
        <v>2</v>
      </c>
      <c r="N251" s="119">
        <v>3.2659409020217703E-2</v>
      </c>
      <c r="O251" s="119">
        <v>3.2659409020217703E-2</v>
      </c>
      <c r="P251" s="116" t="s">
        <v>83</v>
      </c>
      <c r="Q251" s="116" t="s">
        <v>83</v>
      </c>
      <c r="R251" s="119">
        <v>2.9411764705882401E-2</v>
      </c>
      <c r="S251" s="119">
        <v>1.8181818181818198E-2</v>
      </c>
      <c r="T251" s="119">
        <v>6.7796610169491497E-2</v>
      </c>
      <c r="U251" s="119">
        <v>2.27272727272727E-2</v>
      </c>
      <c r="V251" s="119">
        <v>1.48148148148148E-2</v>
      </c>
      <c r="W251" s="40">
        <v>567</v>
      </c>
      <c r="X251" s="40">
        <f t="shared" si="18"/>
        <v>567</v>
      </c>
      <c r="Y251" s="40">
        <f t="shared" si="19"/>
        <v>567</v>
      </c>
      <c r="Z251" s="105">
        <v>0.496</v>
      </c>
      <c r="AA251" s="105">
        <v>0.504</v>
      </c>
      <c r="AB251" s="106">
        <f>1/567</f>
        <v>1.7636684303350969E-3</v>
      </c>
      <c r="AC251" s="106">
        <f>3/567</f>
        <v>5.2910052910052907E-3</v>
      </c>
      <c r="AD251" s="106">
        <f>291/567</f>
        <v>0.51322751322751325</v>
      </c>
      <c r="AE251" s="106">
        <f>55/567</f>
        <v>9.700176366843033E-2</v>
      </c>
      <c r="AF251" s="106">
        <v>0</v>
      </c>
      <c r="AG251" s="106">
        <f>216/567</f>
        <v>0.38095238095238093</v>
      </c>
      <c r="AH251" s="106">
        <f>1/567</f>
        <v>1.7636684303350969E-3</v>
      </c>
      <c r="AI251" s="106">
        <f>351/567</f>
        <v>0.61904761904761907</v>
      </c>
      <c r="AJ251" s="105">
        <v>0.78835978835978837</v>
      </c>
      <c r="AK251" s="105">
        <v>3.4000000000000002E-2</v>
      </c>
      <c r="AL251" s="12">
        <v>0</v>
      </c>
      <c r="AM251" s="12">
        <v>0</v>
      </c>
      <c r="AN251" s="12">
        <v>20</v>
      </c>
      <c r="AO251" s="12">
        <v>155</v>
      </c>
      <c r="AP251" s="12">
        <v>156</v>
      </c>
      <c r="AQ251" s="12">
        <v>116</v>
      </c>
      <c r="AR251" s="12">
        <v>120</v>
      </c>
      <c r="AS251" s="59">
        <v>0.11428571428571428</v>
      </c>
      <c r="AT251" s="3">
        <v>9</v>
      </c>
      <c r="AU251" s="3">
        <v>6</v>
      </c>
      <c r="AV251" s="54">
        <v>63.063063063063062</v>
      </c>
      <c r="AW251" s="54">
        <v>27.327327327327328</v>
      </c>
      <c r="AX251" s="54">
        <v>6.606606606606606</v>
      </c>
      <c r="AY251" s="68">
        <v>3.0030030030030028</v>
      </c>
      <c r="AZ251" s="59">
        <v>0.44357366771159873</v>
      </c>
      <c r="BA251" s="59">
        <v>0.26802507836990597</v>
      </c>
      <c r="BB251" s="77">
        <v>91.501995651360005</v>
      </c>
      <c r="BC251" s="49">
        <v>22.8125</v>
      </c>
      <c r="BD251" s="90" t="s">
        <v>83</v>
      </c>
      <c r="BE251" s="90" t="s">
        <v>83</v>
      </c>
      <c r="BF251" s="49">
        <v>1.4</v>
      </c>
      <c r="BG251" s="49">
        <v>0.8</v>
      </c>
      <c r="BH251" s="49">
        <v>1.7</v>
      </c>
      <c r="BI251" s="49">
        <v>1.6</v>
      </c>
      <c r="BJ251" s="85">
        <v>17.600000000000001</v>
      </c>
      <c r="BK251" s="129">
        <v>13363</v>
      </c>
      <c r="BL251" s="129">
        <v>49598</v>
      </c>
      <c r="BM251" s="129">
        <v>49114</v>
      </c>
      <c r="BN251" s="129">
        <v>37735</v>
      </c>
      <c r="BO251" s="59">
        <v>0</v>
      </c>
      <c r="BP251" s="59">
        <v>0.25940000000000002</v>
      </c>
      <c r="BQ251" s="59">
        <v>0.25430000000000003</v>
      </c>
      <c r="BR251" s="59">
        <v>0</v>
      </c>
      <c r="BS251" s="59">
        <v>0</v>
      </c>
      <c r="BT251" s="49">
        <v>12.9</v>
      </c>
      <c r="BU251" s="59">
        <f t="shared" si="16"/>
        <v>0.51370000000000005</v>
      </c>
      <c r="BV251" s="59">
        <v>2.47E-2</v>
      </c>
      <c r="BW251" s="59">
        <v>1.2E-2</v>
      </c>
      <c r="BX251" s="59">
        <v>3.6299999999999999E-2</v>
      </c>
      <c r="BY251" s="59">
        <v>0</v>
      </c>
      <c r="BZ251" s="59">
        <v>0</v>
      </c>
      <c r="CA251" s="49">
        <v>26.9</v>
      </c>
      <c r="CB251" s="59">
        <f t="shared" si="17"/>
        <v>7.2999999999999995E-2</v>
      </c>
      <c r="CC251" s="59">
        <v>0.39539999999999997</v>
      </c>
      <c r="CD251" s="125">
        <v>0.27160000000000001</v>
      </c>
      <c r="CE251" s="125">
        <v>0.33300000000000002</v>
      </c>
      <c r="CF251" s="125">
        <v>0</v>
      </c>
      <c r="CG251" s="125">
        <v>0</v>
      </c>
      <c r="CH251" s="85">
        <v>13.4</v>
      </c>
      <c r="CI251" s="39" t="s">
        <v>381</v>
      </c>
      <c r="CJ251" s="18" t="s">
        <v>80</v>
      </c>
      <c r="CK251" s="20"/>
    </row>
    <row r="252" spans="1:89" x14ac:dyDescent="0.25">
      <c r="A252" s="18" t="s">
        <v>80</v>
      </c>
      <c r="B252" s="19" t="s">
        <v>382</v>
      </c>
      <c r="C252" s="39" t="s">
        <v>383</v>
      </c>
      <c r="D252" s="40">
        <v>8</v>
      </c>
      <c r="E252" s="40" t="s">
        <v>83</v>
      </c>
      <c r="F252" s="40">
        <v>8</v>
      </c>
      <c r="G252" s="162" t="s">
        <v>83</v>
      </c>
      <c r="H252" s="162" t="s">
        <v>83</v>
      </c>
      <c r="I252" s="166">
        <v>0</v>
      </c>
      <c r="J252" s="166">
        <v>0</v>
      </c>
      <c r="K252" s="166">
        <v>0</v>
      </c>
      <c r="L252" s="166">
        <v>1</v>
      </c>
      <c r="M252" s="166">
        <v>7</v>
      </c>
      <c r="N252" s="119">
        <v>1.11731843575419E-2</v>
      </c>
      <c r="O252" s="119">
        <v>1.11731843575419E-2</v>
      </c>
      <c r="P252" s="116" t="s">
        <v>83</v>
      </c>
      <c r="Q252" s="116" t="s">
        <v>83</v>
      </c>
      <c r="R252" s="119">
        <v>0</v>
      </c>
      <c r="S252" s="119">
        <v>0</v>
      </c>
      <c r="T252" s="119">
        <v>0</v>
      </c>
      <c r="U252" s="119">
        <v>5.9880239520958096E-3</v>
      </c>
      <c r="V252" s="119">
        <v>5.3846153846153801E-2</v>
      </c>
      <c r="W252" s="40">
        <v>672</v>
      </c>
      <c r="X252" s="40">
        <f t="shared" si="18"/>
        <v>672</v>
      </c>
      <c r="Y252" s="40">
        <f t="shared" si="19"/>
        <v>672</v>
      </c>
      <c r="Z252" s="105">
        <v>0.53600000000000003</v>
      </c>
      <c r="AA252" s="105">
        <v>0.46400000000000002</v>
      </c>
      <c r="AB252" s="106">
        <v>0</v>
      </c>
      <c r="AC252" s="106">
        <f>46/672</f>
        <v>6.8452380952380959E-2</v>
      </c>
      <c r="AD252" s="106">
        <f>321/672</f>
        <v>0.47767857142857145</v>
      </c>
      <c r="AE252" s="106">
        <f>37/672</f>
        <v>5.5059523809523808E-2</v>
      </c>
      <c r="AF252" s="106">
        <v>0</v>
      </c>
      <c r="AG252" s="106">
        <f>241/672</f>
        <v>0.35863095238095238</v>
      </c>
      <c r="AH252" s="106">
        <f>27/672</f>
        <v>4.0178571428571432E-2</v>
      </c>
      <c r="AI252" s="106">
        <f>431/672</f>
        <v>0.64136904761904767</v>
      </c>
      <c r="AJ252" s="105">
        <v>0.70833333333333337</v>
      </c>
      <c r="AK252" s="105">
        <v>4.4999999999999998E-2</v>
      </c>
      <c r="AL252" s="12">
        <v>0</v>
      </c>
      <c r="AM252" s="12">
        <v>0</v>
      </c>
      <c r="AN252" s="12">
        <v>15</v>
      </c>
      <c r="AO252" s="12">
        <v>201</v>
      </c>
      <c r="AP252" s="12">
        <v>178</v>
      </c>
      <c r="AQ252" s="12">
        <v>159</v>
      </c>
      <c r="AR252" s="12">
        <v>119</v>
      </c>
      <c r="AS252" s="59">
        <v>6.9444444444444448E-2</v>
      </c>
      <c r="AT252" s="3">
        <v>9</v>
      </c>
      <c r="AU252" s="3">
        <v>6</v>
      </c>
      <c r="AV252" s="54">
        <v>73.891625615763544</v>
      </c>
      <c r="AW252" s="54">
        <v>19.458128078817737</v>
      </c>
      <c r="AX252" s="54">
        <v>6.1576354679802954</v>
      </c>
      <c r="AY252" s="68">
        <v>0.49261083743842365</v>
      </c>
      <c r="AZ252" s="59">
        <v>0.36427566807313644</v>
      </c>
      <c r="BA252" s="59">
        <v>0.18424753867791843</v>
      </c>
      <c r="BB252" s="77">
        <v>92.165470850745095</v>
      </c>
      <c r="BC252" s="49">
        <v>20.643431635388701</v>
      </c>
      <c r="BD252" s="90" t="s">
        <v>83</v>
      </c>
      <c r="BE252" s="90" t="s">
        <v>83</v>
      </c>
      <c r="BF252" s="49">
        <v>11.5</v>
      </c>
      <c r="BG252" s="49">
        <v>4.5999999999999996</v>
      </c>
      <c r="BH252" s="49">
        <v>0.8</v>
      </c>
      <c r="BI252" s="49">
        <v>1.4</v>
      </c>
      <c r="BJ252" s="85">
        <v>17.5</v>
      </c>
      <c r="BK252" s="129">
        <v>11053</v>
      </c>
      <c r="BL252" s="129">
        <v>51002</v>
      </c>
      <c r="BM252" s="129">
        <v>56683</v>
      </c>
      <c r="BN252" s="129">
        <v>39267</v>
      </c>
      <c r="BO252" s="59">
        <v>3.3599999999999998E-2</v>
      </c>
      <c r="BP252" s="59">
        <v>0.37769999999999998</v>
      </c>
      <c r="BQ252" s="59">
        <v>0.1091</v>
      </c>
      <c r="BR252" s="59">
        <v>0</v>
      </c>
      <c r="BS252" s="59">
        <v>0</v>
      </c>
      <c r="BT252" s="49">
        <v>15.9</v>
      </c>
      <c r="BU252" s="59">
        <f t="shared" si="16"/>
        <v>0.52039999999999997</v>
      </c>
      <c r="BV252" s="59">
        <v>2.2800000000000001E-2</v>
      </c>
      <c r="BW252" s="59">
        <v>0</v>
      </c>
      <c r="BX252" s="59">
        <v>3.4700000000000002E-2</v>
      </c>
      <c r="BY252" s="59">
        <v>0</v>
      </c>
      <c r="BZ252" s="59">
        <v>0</v>
      </c>
      <c r="CA252" s="49">
        <v>21.5</v>
      </c>
      <c r="CB252" s="59">
        <f t="shared" si="17"/>
        <v>5.7500000000000002E-2</v>
      </c>
      <c r="CC252" s="59">
        <v>0.41799999999999998</v>
      </c>
      <c r="CD252" s="125">
        <v>0.4017</v>
      </c>
      <c r="CE252" s="125">
        <v>0.18029999999999999</v>
      </c>
      <c r="CF252" s="125">
        <v>0</v>
      </c>
      <c r="CG252" s="125">
        <v>0</v>
      </c>
      <c r="CH252" s="85">
        <v>13.5</v>
      </c>
      <c r="CI252" s="39" t="s">
        <v>383</v>
      </c>
      <c r="CJ252" s="18" t="s">
        <v>80</v>
      </c>
      <c r="CK252" s="20"/>
    </row>
    <row r="253" spans="1:89" x14ac:dyDescent="0.25">
      <c r="A253" s="18" t="s">
        <v>80</v>
      </c>
      <c r="B253" s="19" t="s">
        <v>382</v>
      </c>
      <c r="C253" s="39" t="s">
        <v>384</v>
      </c>
      <c r="D253" s="40">
        <v>1</v>
      </c>
      <c r="E253" s="40" t="s">
        <v>83</v>
      </c>
      <c r="F253" s="40">
        <v>1</v>
      </c>
      <c r="G253" s="162" t="s">
        <v>83</v>
      </c>
      <c r="H253" s="162" t="s">
        <v>83</v>
      </c>
      <c r="I253" s="162" t="s">
        <v>83</v>
      </c>
      <c r="J253" s="166">
        <v>1</v>
      </c>
      <c r="K253" s="166">
        <v>0</v>
      </c>
      <c r="L253" s="166">
        <v>0</v>
      </c>
      <c r="M253" s="166">
        <v>0</v>
      </c>
      <c r="N253" s="119">
        <v>1.74825174825175E-3</v>
      </c>
      <c r="O253" s="119">
        <v>1.74825174825175E-3</v>
      </c>
      <c r="P253" s="116" t="s">
        <v>83</v>
      </c>
      <c r="Q253" s="116" t="s">
        <v>83</v>
      </c>
      <c r="R253" s="116" t="s">
        <v>83</v>
      </c>
      <c r="S253" s="119">
        <v>5.9880239520958096E-3</v>
      </c>
      <c r="T253" s="119">
        <v>0</v>
      </c>
      <c r="U253" s="119">
        <v>0</v>
      </c>
      <c r="V253" s="119">
        <v>0</v>
      </c>
      <c r="W253" s="40">
        <v>555</v>
      </c>
      <c r="X253" s="40">
        <f t="shared" si="18"/>
        <v>555</v>
      </c>
      <c r="Y253" s="40">
        <f t="shared" si="19"/>
        <v>555</v>
      </c>
      <c r="Z253" s="105">
        <v>0.55900000000000005</v>
      </c>
      <c r="AA253" s="105">
        <v>0.441</v>
      </c>
      <c r="AB253" s="106">
        <v>0</v>
      </c>
      <c r="AC253" s="106">
        <f>13/555</f>
        <v>2.3423423423423424E-2</v>
      </c>
      <c r="AD253" s="106">
        <f>21/555</f>
        <v>3.783783783783784E-2</v>
      </c>
      <c r="AE253" s="106">
        <f>12/555</f>
        <v>2.1621621621621623E-2</v>
      </c>
      <c r="AF253" s="106">
        <v>0</v>
      </c>
      <c r="AG253" s="106">
        <f>503/555</f>
        <v>0.90630630630630626</v>
      </c>
      <c r="AH253" s="106">
        <f>6/555</f>
        <v>1.0810810810810811E-2</v>
      </c>
      <c r="AI253" s="106">
        <f>52/555</f>
        <v>9.3693693693693694E-2</v>
      </c>
      <c r="AJ253" s="105">
        <v>0.42522522522522521</v>
      </c>
      <c r="AK253" s="105">
        <v>1.0999999999999999E-2</v>
      </c>
      <c r="AL253" s="12">
        <v>0</v>
      </c>
      <c r="AM253" s="12">
        <v>0</v>
      </c>
      <c r="AN253" s="12">
        <v>0</v>
      </c>
      <c r="AO253" s="12">
        <v>159</v>
      </c>
      <c r="AP253" s="12">
        <v>152</v>
      </c>
      <c r="AQ253" s="12">
        <v>124</v>
      </c>
      <c r="AR253" s="12">
        <v>120</v>
      </c>
      <c r="AS253" s="59">
        <v>0</v>
      </c>
      <c r="AT253" s="3">
        <v>9</v>
      </c>
      <c r="AU253" s="3">
        <v>6</v>
      </c>
      <c r="AV253" s="54">
        <v>58.704453441295549</v>
      </c>
      <c r="AW253" s="54">
        <v>28.74493927125506</v>
      </c>
      <c r="AX253" s="54">
        <v>12.145748987854251</v>
      </c>
      <c r="AY253" s="68">
        <v>0.40485829959514169</v>
      </c>
      <c r="AZ253" s="59">
        <v>0.1681260945709282</v>
      </c>
      <c r="BA253" s="59">
        <v>8.9316987740805598E-2</v>
      </c>
      <c r="BB253" s="81">
        <v>96</v>
      </c>
      <c r="BC253" s="49">
        <v>14.0138408304498</v>
      </c>
      <c r="BD253" s="90" t="s">
        <v>83</v>
      </c>
      <c r="BE253" s="90" t="s">
        <v>83</v>
      </c>
      <c r="BF253" s="49">
        <v>2</v>
      </c>
      <c r="BG253" s="49">
        <v>0.7</v>
      </c>
      <c r="BH253" s="49">
        <v>1.8</v>
      </c>
      <c r="BI253" s="49">
        <v>0.8</v>
      </c>
      <c r="BJ253" s="85">
        <v>21.5</v>
      </c>
      <c r="BK253" s="129">
        <v>9750</v>
      </c>
      <c r="BL253" s="129">
        <v>51607</v>
      </c>
      <c r="BM253" s="129">
        <v>49676</v>
      </c>
      <c r="BN253" s="129">
        <v>37029</v>
      </c>
      <c r="BO253" s="59">
        <v>0</v>
      </c>
      <c r="BP253" s="59">
        <v>0.32979999999999998</v>
      </c>
      <c r="BQ253" s="59">
        <v>0.1515</v>
      </c>
      <c r="BR253" s="59">
        <v>0</v>
      </c>
      <c r="BS253" s="59">
        <v>0</v>
      </c>
      <c r="BT253" s="49">
        <v>16.899999999999999</v>
      </c>
      <c r="BU253" s="59">
        <f t="shared" si="16"/>
        <v>0.48129999999999995</v>
      </c>
      <c r="BV253" s="59">
        <v>3.1099999999999999E-2</v>
      </c>
      <c r="BW253" s="59">
        <v>0</v>
      </c>
      <c r="BX253" s="59">
        <v>1.55E-2</v>
      </c>
      <c r="BY253" s="59">
        <v>1.55E-2</v>
      </c>
      <c r="BZ253" s="59">
        <v>0</v>
      </c>
      <c r="CA253" s="49">
        <v>16.5</v>
      </c>
      <c r="CB253" s="59">
        <f t="shared" si="17"/>
        <v>6.2100000000000002E-2</v>
      </c>
      <c r="CC253" s="59">
        <v>0.43070000000000003</v>
      </c>
      <c r="CD253" s="125">
        <v>0.36559999999999998</v>
      </c>
      <c r="CE253" s="125">
        <v>0.18820000000000001</v>
      </c>
      <c r="CF253" s="125">
        <v>1.55E-2</v>
      </c>
      <c r="CG253" s="125">
        <v>0</v>
      </c>
      <c r="CH253" s="85">
        <v>14.1</v>
      </c>
      <c r="CI253" s="39" t="s">
        <v>384</v>
      </c>
      <c r="CJ253" s="18" t="s">
        <v>80</v>
      </c>
      <c r="CK253" s="20"/>
    </row>
    <row r="254" spans="1:89" x14ac:dyDescent="0.25">
      <c r="A254" s="18" t="s">
        <v>80</v>
      </c>
      <c r="B254" s="19" t="s">
        <v>382</v>
      </c>
      <c r="C254" s="39" t="s">
        <v>385</v>
      </c>
      <c r="D254" s="40">
        <v>1</v>
      </c>
      <c r="E254" s="40">
        <v>0</v>
      </c>
      <c r="F254" s="40">
        <v>1</v>
      </c>
      <c r="G254" s="166">
        <v>0</v>
      </c>
      <c r="H254" s="166">
        <v>0</v>
      </c>
      <c r="I254" s="162" t="s">
        <v>83</v>
      </c>
      <c r="J254" s="166">
        <v>0</v>
      </c>
      <c r="K254" s="166">
        <v>0</v>
      </c>
      <c r="L254" s="166">
        <v>1</v>
      </c>
      <c r="M254" s="166">
        <v>0</v>
      </c>
      <c r="N254" s="119">
        <v>4.20168067226891E-3</v>
      </c>
      <c r="O254" s="119">
        <v>6.4516129032258099E-3</v>
      </c>
      <c r="P254" s="119">
        <v>0</v>
      </c>
      <c r="Q254" s="119">
        <v>0</v>
      </c>
      <c r="R254" s="116" t="s">
        <v>83</v>
      </c>
      <c r="S254" s="119">
        <v>0</v>
      </c>
      <c r="T254" s="119">
        <v>0</v>
      </c>
      <c r="U254" s="119">
        <v>3.4482758620689703E-2</v>
      </c>
      <c r="V254" s="119">
        <v>0</v>
      </c>
      <c r="W254" s="40">
        <v>262</v>
      </c>
      <c r="X254" s="40">
        <f t="shared" si="18"/>
        <v>149</v>
      </c>
      <c r="Y254" s="40">
        <f t="shared" si="19"/>
        <v>227</v>
      </c>
      <c r="Z254" s="105">
        <v>0.48499999999999999</v>
      </c>
      <c r="AA254" s="105">
        <v>0.51500000000000001</v>
      </c>
      <c r="AB254" s="106">
        <v>0</v>
      </c>
      <c r="AC254" s="106">
        <v>0</v>
      </c>
      <c r="AD254" s="106">
        <f>26/262</f>
        <v>9.9236641221374045E-2</v>
      </c>
      <c r="AE254" s="106">
        <v>0</v>
      </c>
      <c r="AF254" s="106">
        <v>0</v>
      </c>
      <c r="AG254" s="106">
        <f>232/262</f>
        <v>0.8854961832061069</v>
      </c>
      <c r="AH254" s="106">
        <f>4/262</f>
        <v>1.5267175572519083E-2</v>
      </c>
      <c r="AI254" s="106">
        <f>30/262</f>
        <v>0.11450381679389313</v>
      </c>
      <c r="AJ254" s="105">
        <v>0.5419847328244275</v>
      </c>
      <c r="AK254" s="105">
        <v>0</v>
      </c>
      <c r="AL254" s="12">
        <v>33</v>
      </c>
      <c r="AM254" s="12">
        <v>45</v>
      </c>
      <c r="AN254" s="12">
        <v>0</v>
      </c>
      <c r="AO254" s="12">
        <v>44</v>
      </c>
      <c r="AP254" s="12">
        <v>45</v>
      </c>
      <c r="AQ254" s="12">
        <v>27</v>
      </c>
      <c r="AR254" s="12">
        <v>33</v>
      </c>
      <c r="AS254" s="59">
        <v>0</v>
      </c>
      <c r="AT254" s="3">
        <v>6</v>
      </c>
      <c r="AU254" s="3">
        <v>6</v>
      </c>
      <c r="AV254" s="54">
        <v>84.713375796178354</v>
      </c>
      <c r="AW254" s="54">
        <v>14.012738853503185</v>
      </c>
      <c r="AX254" s="54">
        <v>1.2738853503184715</v>
      </c>
      <c r="AY254" s="68">
        <v>0</v>
      </c>
      <c r="AZ254" s="59">
        <v>0.17518248175182483</v>
      </c>
      <c r="BA254" s="59">
        <v>6.9343065693430656E-2</v>
      </c>
      <c r="BB254" s="77">
        <v>94.430851676126693</v>
      </c>
      <c r="BC254" s="49">
        <v>25.090909090909101</v>
      </c>
      <c r="BD254" s="49">
        <v>3</v>
      </c>
      <c r="BE254" s="49">
        <v>4.5</v>
      </c>
      <c r="BF254" s="49">
        <v>4.7</v>
      </c>
      <c r="BG254" s="49">
        <v>0</v>
      </c>
      <c r="BH254" s="49">
        <v>0</v>
      </c>
      <c r="BI254" s="49">
        <v>0</v>
      </c>
      <c r="BJ254" s="85">
        <v>19</v>
      </c>
      <c r="BK254" s="129">
        <v>12450</v>
      </c>
      <c r="BL254" s="129">
        <v>52546</v>
      </c>
      <c r="BM254" s="129">
        <v>49123</v>
      </c>
      <c r="BN254" s="129">
        <v>38823</v>
      </c>
      <c r="BO254" s="59">
        <v>0</v>
      </c>
      <c r="BP254" s="59">
        <v>0.40820000000000001</v>
      </c>
      <c r="BQ254" s="59">
        <v>5.0799999999999998E-2</v>
      </c>
      <c r="BR254" s="59">
        <v>2.3900000000000001E-2</v>
      </c>
      <c r="BS254" s="59">
        <v>0</v>
      </c>
      <c r="BT254" s="49">
        <v>18.100000000000001</v>
      </c>
      <c r="BU254" s="59">
        <f t="shared" si="16"/>
        <v>0.4829</v>
      </c>
      <c r="BV254" s="59">
        <v>2.4500000000000001E-2</v>
      </c>
      <c r="BW254" s="59">
        <v>1.21E-2</v>
      </c>
      <c r="BX254" s="59">
        <v>3.4700000000000002E-2</v>
      </c>
      <c r="BY254" s="59">
        <v>0</v>
      </c>
      <c r="BZ254" s="59">
        <v>0</v>
      </c>
      <c r="CA254" s="49">
        <v>15.6</v>
      </c>
      <c r="CB254" s="59">
        <f t="shared" si="17"/>
        <v>7.1300000000000002E-2</v>
      </c>
      <c r="CC254" s="59">
        <v>0.38640000000000002</v>
      </c>
      <c r="CD254" s="125">
        <v>0.47070000000000001</v>
      </c>
      <c r="CE254" s="125">
        <v>0.1183</v>
      </c>
      <c r="CF254" s="125">
        <v>2.4500000000000001E-2</v>
      </c>
      <c r="CG254" s="125">
        <v>0</v>
      </c>
      <c r="CH254" s="85">
        <v>14.4</v>
      </c>
      <c r="CI254" s="39" t="s">
        <v>385</v>
      </c>
      <c r="CJ254" s="18" t="s">
        <v>80</v>
      </c>
      <c r="CK254" s="20"/>
    </row>
    <row r="255" spans="1:89" x14ac:dyDescent="0.25">
      <c r="A255" s="18" t="s">
        <v>80</v>
      </c>
      <c r="B255" s="19" t="s">
        <v>382</v>
      </c>
      <c r="C255" s="39" t="s">
        <v>386</v>
      </c>
      <c r="D255" s="40">
        <v>14</v>
      </c>
      <c r="E255" s="40" t="s">
        <v>83</v>
      </c>
      <c r="F255" s="40">
        <v>14</v>
      </c>
      <c r="G255" s="162" t="s">
        <v>83</v>
      </c>
      <c r="H255" s="162" t="s">
        <v>83</v>
      </c>
      <c r="I255" s="166">
        <v>0</v>
      </c>
      <c r="J255" s="166">
        <v>0</v>
      </c>
      <c r="K255" s="166">
        <v>5</v>
      </c>
      <c r="L255" s="166">
        <v>8</v>
      </c>
      <c r="M255" s="166">
        <v>1</v>
      </c>
      <c r="N255" s="119">
        <v>2.5134649910233401E-2</v>
      </c>
      <c r="O255" s="119">
        <v>2.5134649910233401E-2</v>
      </c>
      <c r="P255" s="116" t="s">
        <v>83</v>
      </c>
      <c r="Q255" s="116" t="s">
        <v>83</v>
      </c>
      <c r="R255" s="119">
        <v>0</v>
      </c>
      <c r="S255" s="119">
        <v>0</v>
      </c>
      <c r="T255" s="119">
        <v>3.8167938931297697E-2</v>
      </c>
      <c r="U255" s="119">
        <v>5.1282051282051301E-2</v>
      </c>
      <c r="V255" s="119">
        <v>9.4339622641509396E-3</v>
      </c>
      <c r="W255" s="40">
        <v>525</v>
      </c>
      <c r="X255" s="40">
        <f t="shared" si="18"/>
        <v>525</v>
      </c>
      <c r="Y255" s="40">
        <f t="shared" si="19"/>
        <v>525</v>
      </c>
      <c r="Z255" s="105">
        <v>0.48199999999999998</v>
      </c>
      <c r="AA255" s="105">
        <v>0.51800000000000002</v>
      </c>
      <c r="AB255" s="106">
        <v>0</v>
      </c>
      <c r="AC255" s="106">
        <f>5/525</f>
        <v>9.5238095238095247E-3</v>
      </c>
      <c r="AD255" s="106">
        <f>66/525</f>
        <v>0.12571428571428572</v>
      </c>
      <c r="AE255" s="106">
        <f>7/525</f>
        <v>1.3333333333333334E-2</v>
      </c>
      <c r="AF255" s="106">
        <v>0</v>
      </c>
      <c r="AG255" s="106">
        <f>445/525</f>
        <v>0.84761904761904761</v>
      </c>
      <c r="AH255" s="106">
        <f>2/525</f>
        <v>3.8095238095238095E-3</v>
      </c>
      <c r="AI255" s="106">
        <f>80/525</f>
        <v>0.15238095238095239</v>
      </c>
      <c r="AJ255" s="105">
        <v>0.53333333333333333</v>
      </c>
      <c r="AK255" s="105">
        <v>0</v>
      </c>
      <c r="AL255" s="12">
        <v>0</v>
      </c>
      <c r="AM255" s="12">
        <v>0</v>
      </c>
      <c r="AN255" s="12">
        <v>2</v>
      </c>
      <c r="AO255" s="12">
        <v>150</v>
      </c>
      <c r="AP255" s="12">
        <v>127</v>
      </c>
      <c r="AQ255" s="12">
        <v>142</v>
      </c>
      <c r="AR255" s="12">
        <v>104</v>
      </c>
      <c r="AS255" s="59">
        <v>1.3157894736842105E-2</v>
      </c>
      <c r="AT255" s="3">
        <v>9</v>
      </c>
      <c r="AU255" s="3">
        <v>6</v>
      </c>
      <c r="AV255" s="54">
        <v>66.412213740458014</v>
      </c>
      <c r="AW255" s="54">
        <v>15.648854961832063</v>
      </c>
      <c r="AX255" s="54">
        <v>15.648854961832063</v>
      </c>
      <c r="AY255" s="68">
        <v>2.2900763358778624</v>
      </c>
      <c r="AZ255" s="59">
        <v>0.2007233273056058</v>
      </c>
      <c r="BA255" s="59">
        <v>8.4990958408679929E-2</v>
      </c>
      <c r="BB255" s="76">
        <v>92.189295269919796</v>
      </c>
      <c r="BC255" s="49">
        <v>30.175438596491201</v>
      </c>
      <c r="BD255" s="90" t="s">
        <v>83</v>
      </c>
      <c r="BE255" s="90" t="s">
        <v>83</v>
      </c>
      <c r="BF255" s="49">
        <v>0.7</v>
      </c>
      <c r="BG255" s="49">
        <v>0</v>
      </c>
      <c r="BH255" s="49">
        <v>1.7</v>
      </c>
      <c r="BI255" s="49">
        <v>0.9</v>
      </c>
      <c r="BJ255" s="85">
        <v>19.399999999999999</v>
      </c>
      <c r="BK255" s="129">
        <v>9317</v>
      </c>
      <c r="BL255" s="129">
        <v>50732</v>
      </c>
      <c r="BM255" s="129">
        <v>51814</v>
      </c>
      <c r="BN255" s="129">
        <v>42716</v>
      </c>
      <c r="BO255" s="59">
        <v>0</v>
      </c>
      <c r="BP255" s="59">
        <v>0.49280000000000002</v>
      </c>
      <c r="BQ255" s="59">
        <v>8.1100000000000005E-2</v>
      </c>
      <c r="BR255" s="59">
        <v>1.95E-2</v>
      </c>
      <c r="BS255" s="59">
        <v>0</v>
      </c>
      <c r="BT255" s="49">
        <v>13.2</v>
      </c>
      <c r="BU255" s="59">
        <f t="shared" si="16"/>
        <v>0.59340000000000004</v>
      </c>
      <c r="BV255" s="59">
        <v>3.8899999999999997E-2</v>
      </c>
      <c r="BW255" s="59">
        <v>0</v>
      </c>
      <c r="BX255" s="59">
        <v>2.7E-2</v>
      </c>
      <c r="BY255" s="59">
        <v>0</v>
      </c>
      <c r="BZ255" s="59">
        <v>1.95E-2</v>
      </c>
      <c r="CA255" s="49">
        <v>23.5</v>
      </c>
      <c r="CB255" s="59">
        <f t="shared" si="17"/>
        <v>8.5400000000000004E-2</v>
      </c>
      <c r="CC255" s="59">
        <v>0.30430000000000001</v>
      </c>
      <c r="CD255" s="125">
        <v>0.52549999999999997</v>
      </c>
      <c r="CE255" s="125">
        <v>0.1313</v>
      </c>
      <c r="CF255" s="125">
        <v>1.95E-2</v>
      </c>
      <c r="CG255" s="125">
        <v>1.95E-2</v>
      </c>
      <c r="CH255" s="85">
        <v>13.6</v>
      </c>
      <c r="CI255" s="39" t="s">
        <v>386</v>
      </c>
      <c r="CJ255" s="18" t="s">
        <v>80</v>
      </c>
      <c r="CK255" s="20"/>
    </row>
    <row r="256" spans="1:89" x14ac:dyDescent="0.25">
      <c r="A256" s="18" t="s">
        <v>80</v>
      </c>
      <c r="B256" s="19" t="s">
        <v>382</v>
      </c>
      <c r="C256" s="39" t="s">
        <v>387</v>
      </c>
      <c r="D256" s="40">
        <v>2</v>
      </c>
      <c r="E256" s="40" t="s">
        <v>83</v>
      </c>
      <c r="F256" s="40">
        <v>2</v>
      </c>
      <c r="G256" s="162" t="s">
        <v>83</v>
      </c>
      <c r="H256" s="162" t="s">
        <v>83</v>
      </c>
      <c r="I256" s="162" t="s">
        <v>83</v>
      </c>
      <c r="J256" s="166">
        <v>1</v>
      </c>
      <c r="K256" s="166">
        <v>0</v>
      </c>
      <c r="L256" s="166">
        <v>0</v>
      </c>
      <c r="M256" s="166">
        <v>1</v>
      </c>
      <c r="N256" s="119">
        <v>3.2520325203252002E-3</v>
      </c>
      <c r="O256" s="119">
        <v>3.2520325203252002E-3</v>
      </c>
      <c r="P256" s="116" t="s">
        <v>83</v>
      </c>
      <c r="Q256" s="116" t="s">
        <v>83</v>
      </c>
      <c r="R256" s="116" t="s">
        <v>83</v>
      </c>
      <c r="S256" s="119">
        <v>5.2083333333333296E-3</v>
      </c>
      <c r="T256" s="119">
        <v>0</v>
      </c>
      <c r="U256" s="119">
        <v>0</v>
      </c>
      <c r="V256" s="119">
        <v>7.7519379844961196E-3</v>
      </c>
      <c r="W256" s="40">
        <v>591</v>
      </c>
      <c r="X256" s="40">
        <f t="shared" si="18"/>
        <v>591</v>
      </c>
      <c r="Y256" s="40">
        <f t="shared" si="19"/>
        <v>591</v>
      </c>
      <c r="Z256" s="105">
        <v>0.498</v>
      </c>
      <c r="AA256" s="105">
        <v>0.503</v>
      </c>
      <c r="AB256" s="106">
        <f>1/591</f>
        <v>1.6920473773265651E-3</v>
      </c>
      <c r="AC256" s="106">
        <f>6/591</f>
        <v>1.015228426395939E-2</v>
      </c>
      <c r="AD256" s="106">
        <f>60/591</f>
        <v>0.10152284263959391</v>
      </c>
      <c r="AE256" s="106">
        <f>14/591</f>
        <v>2.3688663282571912E-2</v>
      </c>
      <c r="AF256" s="106">
        <v>0</v>
      </c>
      <c r="AG256" s="106">
        <f>508/591</f>
        <v>0.85956006768189508</v>
      </c>
      <c r="AH256" s="106">
        <f>2/591</f>
        <v>3.3840947546531302E-3</v>
      </c>
      <c r="AI256" s="106">
        <f>83/591</f>
        <v>0.14043993231810489</v>
      </c>
      <c r="AJ256" s="105">
        <v>0.40270727580372251</v>
      </c>
      <c r="AK256" s="105">
        <v>7.0000000000000001E-3</v>
      </c>
      <c r="AL256" s="12">
        <v>0</v>
      </c>
      <c r="AM256" s="12">
        <v>0</v>
      </c>
      <c r="AN256" s="12">
        <v>0</v>
      </c>
      <c r="AO256" s="12">
        <v>186</v>
      </c>
      <c r="AP256" s="12">
        <v>165</v>
      </c>
      <c r="AQ256" s="12">
        <v>121</v>
      </c>
      <c r="AR256" s="12">
        <v>119</v>
      </c>
      <c r="AS256" s="59">
        <v>0</v>
      </c>
      <c r="AT256" s="3">
        <v>9</v>
      </c>
      <c r="AU256" s="3">
        <v>6</v>
      </c>
      <c r="AV256" s="54">
        <v>65</v>
      </c>
      <c r="AW256" s="54">
        <v>22.5</v>
      </c>
      <c r="AX256" s="54">
        <v>12.142857142857142</v>
      </c>
      <c r="AY256" s="68">
        <v>0.35714285714285715</v>
      </c>
      <c r="AZ256" s="59">
        <v>7.3289902280130298E-2</v>
      </c>
      <c r="BA256" s="59">
        <v>0.05</v>
      </c>
      <c r="BB256" s="77">
        <v>94.7050071786214</v>
      </c>
      <c r="BC256" s="49">
        <v>16.4227642276423</v>
      </c>
      <c r="BD256" s="90" t="s">
        <v>83</v>
      </c>
      <c r="BE256" s="90" t="s">
        <v>83</v>
      </c>
      <c r="BF256" s="49">
        <v>3.5</v>
      </c>
      <c r="BG256" s="49">
        <v>1.9</v>
      </c>
      <c r="BH256" s="49">
        <v>0</v>
      </c>
      <c r="BI256" s="49">
        <v>3.4</v>
      </c>
      <c r="BJ256" s="85">
        <v>20.9</v>
      </c>
      <c r="BK256" s="129">
        <v>9840</v>
      </c>
      <c r="BL256" s="129">
        <v>48472</v>
      </c>
      <c r="BM256" s="129">
        <v>48922</v>
      </c>
      <c r="BN256" s="129">
        <v>35794</v>
      </c>
      <c r="BO256" s="59">
        <v>0</v>
      </c>
      <c r="BP256" s="59">
        <v>0.4052</v>
      </c>
      <c r="BQ256" s="59">
        <v>6.4299999999999996E-2</v>
      </c>
      <c r="BR256" s="59">
        <v>0</v>
      </c>
      <c r="BS256" s="59">
        <v>1.3299999999999999E-2</v>
      </c>
      <c r="BT256" s="49">
        <v>11.5</v>
      </c>
      <c r="BU256" s="59">
        <f t="shared" si="16"/>
        <v>0.48280000000000001</v>
      </c>
      <c r="BV256" s="59">
        <v>2.7400000000000001E-2</v>
      </c>
      <c r="BW256" s="59">
        <v>0</v>
      </c>
      <c r="BX256" s="59">
        <v>2.7400000000000001E-2</v>
      </c>
      <c r="BY256" s="59">
        <v>0</v>
      </c>
      <c r="BZ256" s="59">
        <v>0</v>
      </c>
      <c r="CA256" s="49">
        <v>16.5</v>
      </c>
      <c r="CB256" s="59">
        <f t="shared" si="17"/>
        <v>5.4800000000000001E-2</v>
      </c>
      <c r="CC256" s="59">
        <v>0.45100000000000001</v>
      </c>
      <c r="CD256" s="125">
        <v>0.42409999999999998</v>
      </c>
      <c r="CE256" s="125">
        <v>0.11119999999999999</v>
      </c>
      <c r="CF256" s="125">
        <v>0</v>
      </c>
      <c r="CG256" s="125">
        <v>1.37E-2</v>
      </c>
      <c r="CH256" s="85">
        <v>11</v>
      </c>
      <c r="CI256" s="39" t="s">
        <v>387</v>
      </c>
      <c r="CJ256" s="18" t="s">
        <v>80</v>
      </c>
      <c r="CK256" s="20"/>
    </row>
    <row r="257" spans="1:89" x14ac:dyDescent="0.25">
      <c r="A257" s="18" t="s">
        <v>80</v>
      </c>
      <c r="B257" s="19" t="s">
        <v>388</v>
      </c>
      <c r="C257" s="39" t="s">
        <v>389</v>
      </c>
      <c r="D257" s="40">
        <v>0</v>
      </c>
      <c r="E257" s="40">
        <v>0</v>
      </c>
      <c r="F257" s="40">
        <v>0</v>
      </c>
      <c r="G257" s="166">
        <v>0</v>
      </c>
      <c r="H257" s="166">
        <v>0</v>
      </c>
      <c r="I257" s="166">
        <v>0</v>
      </c>
      <c r="J257" s="166">
        <v>0</v>
      </c>
      <c r="K257" s="166">
        <v>0</v>
      </c>
      <c r="L257" s="166">
        <v>0</v>
      </c>
      <c r="M257" s="166">
        <v>0</v>
      </c>
      <c r="N257" s="119">
        <v>0</v>
      </c>
      <c r="O257" s="119">
        <v>0</v>
      </c>
      <c r="P257" s="119">
        <v>0</v>
      </c>
      <c r="Q257" s="119">
        <v>0</v>
      </c>
      <c r="R257" s="119">
        <v>0</v>
      </c>
      <c r="S257" s="119">
        <v>0</v>
      </c>
      <c r="T257" s="119">
        <v>0</v>
      </c>
      <c r="U257" s="119">
        <v>0</v>
      </c>
      <c r="V257" s="119">
        <v>0</v>
      </c>
      <c r="W257" s="40">
        <v>385</v>
      </c>
      <c r="X257" s="40">
        <f t="shared" si="18"/>
        <v>230</v>
      </c>
      <c r="Y257" s="40">
        <f t="shared" si="19"/>
        <v>385</v>
      </c>
      <c r="Z257" s="105">
        <v>0.48099999999999998</v>
      </c>
      <c r="AA257" s="105">
        <v>0.52</v>
      </c>
      <c r="AB257" s="106">
        <f>5/385</f>
        <v>1.2987012987012988E-2</v>
      </c>
      <c r="AC257" s="106">
        <f>4/385</f>
        <v>1.038961038961039E-2</v>
      </c>
      <c r="AD257" s="106">
        <f>7/385</f>
        <v>1.8181818181818181E-2</v>
      </c>
      <c r="AE257" s="106">
        <f>15/385</f>
        <v>3.896103896103896E-2</v>
      </c>
      <c r="AF257" s="106">
        <v>0</v>
      </c>
      <c r="AG257" s="106">
        <f>353/385</f>
        <v>0.91688311688311686</v>
      </c>
      <c r="AH257" s="106">
        <f>1/385</f>
        <v>2.5974025974025974E-3</v>
      </c>
      <c r="AI257" s="106">
        <f>32/385</f>
        <v>8.3116883116883117E-2</v>
      </c>
      <c r="AJ257" s="105">
        <v>0.42337662337662335</v>
      </c>
      <c r="AK257" s="105">
        <v>0</v>
      </c>
      <c r="AL257" s="12">
        <v>79</v>
      </c>
      <c r="AM257" s="12">
        <v>76</v>
      </c>
      <c r="AN257" s="12">
        <v>5</v>
      </c>
      <c r="AO257" s="12">
        <v>56</v>
      </c>
      <c r="AP257" s="12">
        <v>49</v>
      </c>
      <c r="AQ257" s="12">
        <v>53</v>
      </c>
      <c r="AR257" s="12">
        <v>67</v>
      </c>
      <c r="AS257" s="59">
        <v>8.1967213114754092E-2</v>
      </c>
      <c r="AT257" s="3">
        <v>7</v>
      </c>
      <c r="AU257" s="3">
        <v>6</v>
      </c>
      <c r="AV257" s="54">
        <v>80.827067669172934</v>
      </c>
      <c r="AW257" s="54">
        <v>12.406015037593985</v>
      </c>
      <c r="AX257" s="54">
        <v>6.0150375939849621</v>
      </c>
      <c r="AY257" s="68">
        <v>0.75187969924812026</v>
      </c>
      <c r="AZ257" s="59">
        <v>4.9079976818313595E-3</v>
      </c>
      <c r="BA257" s="59">
        <v>0.13043478260869565</v>
      </c>
      <c r="BB257" s="76">
        <v>94.455321750232599</v>
      </c>
      <c r="BC257" s="49">
        <v>24.7139588100687</v>
      </c>
      <c r="BD257" s="49">
        <v>4.0999999999999996</v>
      </c>
      <c r="BE257" s="93">
        <v>0</v>
      </c>
      <c r="BF257" s="49">
        <v>0</v>
      </c>
      <c r="BG257" s="49">
        <v>2.2999999999999998</v>
      </c>
      <c r="BH257" s="49">
        <v>0</v>
      </c>
      <c r="BI257" s="49">
        <v>0</v>
      </c>
      <c r="BJ257" s="85">
        <v>22.7</v>
      </c>
      <c r="BK257" s="129">
        <v>11157</v>
      </c>
      <c r="BL257" s="129">
        <v>51226</v>
      </c>
      <c r="BM257" s="129">
        <v>42004</v>
      </c>
      <c r="BN257" s="129">
        <v>38877</v>
      </c>
      <c r="BO257" s="59">
        <v>0</v>
      </c>
      <c r="BP257" s="59">
        <v>0.3654</v>
      </c>
      <c r="BQ257" s="59">
        <v>0.1323</v>
      </c>
      <c r="BR257" s="59">
        <v>0</v>
      </c>
      <c r="BS257" s="59">
        <v>0</v>
      </c>
      <c r="BT257" s="49">
        <v>17.8</v>
      </c>
      <c r="BU257" s="59">
        <f t="shared" si="16"/>
        <v>0.49770000000000003</v>
      </c>
      <c r="BV257" s="59">
        <v>3.8100000000000002E-2</v>
      </c>
      <c r="BW257" s="59">
        <v>0</v>
      </c>
      <c r="BX257" s="59">
        <v>3.8300000000000001E-2</v>
      </c>
      <c r="BY257" s="59">
        <v>0</v>
      </c>
      <c r="BZ257" s="59">
        <v>0</v>
      </c>
      <c r="CA257" s="49">
        <v>21.2</v>
      </c>
      <c r="CB257" s="59">
        <f t="shared" si="17"/>
        <v>7.6399999999999996E-2</v>
      </c>
      <c r="CC257" s="59">
        <v>0.4002</v>
      </c>
      <c r="CD257" s="125">
        <v>0.40939999999999999</v>
      </c>
      <c r="CE257" s="125">
        <v>0.19040000000000001</v>
      </c>
      <c r="CF257" s="125">
        <v>0</v>
      </c>
      <c r="CG257" s="125">
        <v>0</v>
      </c>
      <c r="CH257" s="85">
        <v>16.899999999999999</v>
      </c>
      <c r="CI257" s="39" t="s">
        <v>389</v>
      </c>
      <c r="CJ257" s="18" t="s">
        <v>80</v>
      </c>
      <c r="CK257" s="20"/>
    </row>
    <row r="258" spans="1:89" x14ac:dyDescent="0.25">
      <c r="A258" s="18" t="s">
        <v>80</v>
      </c>
      <c r="B258" s="19" t="s">
        <v>388</v>
      </c>
      <c r="C258" s="39" t="s">
        <v>390</v>
      </c>
      <c r="D258" s="40">
        <v>1</v>
      </c>
      <c r="E258" s="40">
        <v>1</v>
      </c>
      <c r="F258" s="40">
        <v>0</v>
      </c>
      <c r="G258" s="166">
        <v>0</v>
      </c>
      <c r="H258" s="166">
        <v>1</v>
      </c>
      <c r="I258" s="162" t="s">
        <v>83</v>
      </c>
      <c r="J258" s="166">
        <v>0</v>
      </c>
      <c r="K258" s="166">
        <v>0</v>
      </c>
      <c r="L258" s="166">
        <v>0</v>
      </c>
      <c r="M258" s="166">
        <v>0</v>
      </c>
      <c r="N258" s="119">
        <v>5.6497175141242903E-3</v>
      </c>
      <c r="O258" s="119">
        <v>0</v>
      </c>
      <c r="P258" s="119">
        <v>0</v>
      </c>
      <c r="Q258" s="119">
        <v>2.9411764705882401E-2</v>
      </c>
      <c r="R258" s="116" t="s">
        <v>83</v>
      </c>
      <c r="S258" s="119">
        <v>0</v>
      </c>
      <c r="T258" s="119">
        <v>0</v>
      </c>
      <c r="U258" s="119">
        <v>0</v>
      </c>
      <c r="V258" s="119">
        <v>0</v>
      </c>
      <c r="W258" s="40">
        <v>396</v>
      </c>
      <c r="X258" s="40">
        <f t="shared" si="18"/>
        <v>105</v>
      </c>
      <c r="Y258" s="40">
        <f t="shared" si="19"/>
        <v>160</v>
      </c>
      <c r="Z258" s="105">
        <v>0.46500000000000002</v>
      </c>
      <c r="AA258" s="105">
        <v>0.53500000000000003</v>
      </c>
      <c r="AB258" s="106">
        <f>6/396</f>
        <v>1.5151515151515152E-2</v>
      </c>
      <c r="AC258" s="106">
        <v>0</v>
      </c>
      <c r="AD258" s="106">
        <f>2/396</f>
        <v>5.0505050505050509E-3</v>
      </c>
      <c r="AE258" s="106">
        <f>4/396</f>
        <v>1.0101010101010102E-2</v>
      </c>
      <c r="AF258" s="106">
        <f>1/396</f>
        <v>2.5252525252525255E-3</v>
      </c>
      <c r="AG258" s="106">
        <f>378/396</f>
        <v>0.95454545454545459</v>
      </c>
      <c r="AH258" s="106">
        <f>5/396</f>
        <v>1.2626262626262626E-2</v>
      </c>
      <c r="AI258" s="106">
        <f>18/396</f>
        <v>4.5454545454545456E-2</v>
      </c>
      <c r="AJ258" s="105">
        <v>0.6262626262626263</v>
      </c>
      <c r="AK258" s="105">
        <v>0</v>
      </c>
      <c r="AL258" s="12">
        <v>23</v>
      </c>
      <c r="AM258" s="12">
        <v>32</v>
      </c>
      <c r="AN258" s="12">
        <v>0</v>
      </c>
      <c r="AO258" s="12">
        <v>28</v>
      </c>
      <c r="AP258" s="12">
        <v>33</v>
      </c>
      <c r="AQ258" s="12">
        <v>21</v>
      </c>
      <c r="AR258" s="12">
        <v>23</v>
      </c>
      <c r="AS258" s="59">
        <v>0</v>
      </c>
      <c r="AT258" s="3">
        <v>1</v>
      </c>
      <c r="AU258" s="3">
        <v>6</v>
      </c>
      <c r="AV258" s="54">
        <v>81.72043010752688</v>
      </c>
      <c r="AW258" s="54">
        <v>9.1397849462365599</v>
      </c>
      <c r="AX258" s="54">
        <v>7.5268817204301079</v>
      </c>
      <c r="AY258" s="68">
        <v>1.6129032258064515</v>
      </c>
      <c r="AZ258" s="59">
        <v>3.543716342534183E-3</v>
      </c>
      <c r="BA258" s="59">
        <v>8.0357142857142863E-2</v>
      </c>
      <c r="BB258" s="77">
        <v>93.965739099384805</v>
      </c>
      <c r="BC258" s="49">
        <v>37.939110070257598</v>
      </c>
      <c r="BD258" s="93">
        <v>0</v>
      </c>
      <c r="BE258" s="93">
        <v>0</v>
      </c>
      <c r="BF258" s="49">
        <v>0</v>
      </c>
      <c r="BG258" s="49">
        <v>0</v>
      </c>
      <c r="BH258" s="49">
        <v>0</v>
      </c>
      <c r="BI258" s="49">
        <v>0</v>
      </c>
      <c r="BJ258" s="85">
        <v>21.7</v>
      </c>
      <c r="BK258" s="129">
        <v>10933</v>
      </c>
      <c r="BL258" s="129">
        <v>47458</v>
      </c>
      <c r="BM258" s="129">
        <v>43432</v>
      </c>
      <c r="BN258" s="129">
        <v>37046</v>
      </c>
      <c r="BO258" s="59">
        <v>0</v>
      </c>
      <c r="BP258" s="59">
        <v>0.41210000000000002</v>
      </c>
      <c r="BQ258" s="59">
        <v>8.9800000000000005E-2</v>
      </c>
      <c r="BR258" s="59">
        <v>0</v>
      </c>
      <c r="BS258" s="59">
        <v>0</v>
      </c>
      <c r="BT258" s="49">
        <v>10.8</v>
      </c>
      <c r="BU258" s="59">
        <f t="shared" si="16"/>
        <v>0.50190000000000001</v>
      </c>
      <c r="BV258" s="59">
        <v>3.39E-2</v>
      </c>
      <c r="BW258" s="59">
        <v>8.8999999999999999E-3</v>
      </c>
      <c r="BX258" s="59">
        <v>1.7000000000000001E-2</v>
      </c>
      <c r="BY258" s="59">
        <v>0</v>
      </c>
      <c r="BZ258" s="59">
        <v>0</v>
      </c>
      <c r="CA258" s="49">
        <v>16.399999999999999</v>
      </c>
      <c r="CB258" s="59">
        <f t="shared" si="17"/>
        <v>5.9799999999999999E-2</v>
      </c>
      <c r="CC258" s="59">
        <v>0.4304</v>
      </c>
      <c r="CD258" s="125">
        <v>0.44429999999999997</v>
      </c>
      <c r="CE258" s="125">
        <v>0.12529999999999999</v>
      </c>
      <c r="CF258" s="125">
        <v>0</v>
      </c>
      <c r="CG258" s="125">
        <v>0</v>
      </c>
      <c r="CH258" s="85">
        <v>11.5</v>
      </c>
      <c r="CI258" s="39" t="s">
        <v>390</v>
      </c>
      <c r="CJ258" s="18" t="s">
        <v>80</v>
      </c>
      <c r="CK258" s="20"/>
    </row>
    <row r="259" spans="1:89" x14ac:dyDescent="0.25">
      <c r="A259" s="18" t="s">
        <v>80</v>
      </c>
      <c r="B259" s="19" t="s">
        <v>388</v>
      </c>
      <c r="C259" s="39" t="s">
        <v>391</v>
      </c>
      <c r="D259" s="40">
        <v>0</v>
      </c>
      <c r="E259" s="40">
        <v>0</v>
      </c>
      <c r="F259" s="40">
        <v>0</v>
      </c>
      <c r="G259" s="166">
        <v>0</v>
      </c>
      <c r="H259" s="166">
        <v>0</v>
      </c>
      <c r="I259" s="166">
        <v>0</v>
      </c>
      <c r="J259" s="166">
        <v>0</v>
      </c>
      <c r="K259" s="166">
        <v>0</v>
      </c>
      <c r="L259" s="166">
        <v>0</v>
      </c>
      <c r="M259" s="166">
        <v>0</v>
      </c>
      <c r="N259" s="119">
        <v>0</v>
      </c>
      <c r="O259" s="119">
        <v>0</v>
      </c>
      <c r="P259" s="119">
        <v>0</v>
      </c>
      <c r="Q259" s="119">
        <v>0</v>
      </c>
      <c r="R259" s="119">
        <v>0</v>
      </c>
      <c r="S259" s="119">
        <v>0</v>
      </c>
      <c r="T259" s="119">
        <v>0</v>
      </c>
      <c r="U259" s="119">
        <v>0</v>
      </c>
      <c r="V259" s="119">
        <v>0</v>
      </c>
      <c r="W259" s="40">
        <v>368</v>
      </c>
      <c r="X259" s="40">
        <f t="shared" si="18"/>
        <v>111</v>
      </c>
      <c r="Y259" s="40">
        <f t="shared" si="19"/>
        <v>165</v>
      </c>
      <c r="Z259" s="105">
        <v>0.47</v>
      </c>
      <c r="AA259" s="105">
        <v>0.53</v>
      </c>
      <c r="AB259" s="106">
        <f>5/368</f>
        <v>1.358695652173913E-2</v>
      </c>
      <c r="AC259" s="106">
        <v>0</v>
      </c>
      <c r="AD259" s="106">
        <f>4/368</f>
        <v>1.0869565217391304E-2</v>
      </c>
      <c r="AE259" s="106">
        <f>6/368</f>
        <v>1.6304347826086956E-2</v>
      </c>
      <c r="AF259" s="106">
        <v>0</v>
      </c>
      <c r="AG259" s="106">
        <f>350/368</f>
        <v>0.95108695652173914</v>
      </c>
      <c r="AH259" s="106">
        <f>3/368</f>
        <v>8.152173913043478E-3</v>
      </c>
      <c r="AI259" s="106">
        <f>18/368</f>
        <v>4.8913043478260872E-2</v>
      </c>
      <c r="AJ259" s="105">
        <v>0.48641304347826086</v>
      </c>
      <c r="AK259" s="105">
        <v>0</v>
      </c>
      <c r="AL259" s="12">
        <v>31</v>
      </c>
      <c r="AM259" s="12">
        <v>23</v>
      </c>
      <c r="AN259" s="12">
        <v>2</v>
      </c>
      <c r="AO259" s="12">
        <v>32</v>
      </c>
      <c r="AP259" s="12">
        <v>26</v>
      </c>
      <c r="AQ259" s="12">
        <v>29</v>
      </c>
      <c r="AR259" s="12">
        <v>22</v>
      </c>
      <c r="AS259" s="59">
        <v>5.8823529411764705E-2</v>
      </c>
      <c r="AT259" s="3">
        <v>1</v>
      </c>
      <c r="AU259" s="3">
        <v>6</v>
      </c>
      <c r="AV259" s="54">
        <v>70.224719101123597</v>
      </c>
      <c r="AW259" s="54">
        <v>15.730337078651685</v>
      </c>
      <c r="AX259" s="54">
        <v>9.5505617977528079</v>
      </c>
      <c r="AY259" s="68">
        <v>4.4943820224719104</v>
      </c>
      <c r="AZ259" s="59">
        <v>4.1319942876426298E-2</v>
      </c>
      <c r="BA259" s="59">
        <v>8.3743842364532015E-2</v>
      </c>
      <c r="BB259" s="76">
        <v>93.462498521663306</v>
      </c>
      <c r="BC259" s="49">
        <v>41.645244215938298</v>
      </c>
      <c r="BD259" s="93">
        <v>0</v>
      </c>
      <c r="BE259" s="49">
        <v>4.8</v>
      </c>
      <c r="BF259" s="49">
        <v>0</v>
      </c>
      <c r="BG259" s="49">
        <v>0</v>
      </c>
      <c r="BH259" s="49">
        <v>0</v>
      </c>
      <c r="BI259" s="49">
        <v>0</v>
      </c>
      <c r="BJ259" s="85">
        <v>21.8</v>
      </c>
      <c r="BK259" s="129">
        <v>10941</v>
      </c>
      <c r="BL259" s="129">
        <v>50166</v>
      </c>
      <c r="BM259" s="129">
        <v>47999</v>
      </c>
      <c r="BN259" s="129">
        <v>38248</v>
      </c>
      <c r="BO259" s="59">
        <v>0</v>
      </c>
      <c r="BP259" s="59">
        <v>0.37680000000000002</v>
      </c>
      <c r="BQ259" s="59">
        <v>5.8400000000000001E-2</v>
      </c>
      <c r="BR259" s="59">
        <v>0</v>
      </c>
      <c r="BS259" s="59">
        <v>0</v>
      </c>
      <c r="BT259" s="49">
        <v>13.6</v>
      </c>
      <c r="BU259" s="59">
        <f t="shared" ref="BU259:BU320" si="20">SUM(BO259:BS259)</f>
        <v>0.43520000000000003</v>
      </c>
      <c r="BV259" s="59">
        <v>3.8899999999999997E-2</v>
      </c>
      <c r="BW259" s="59">
        <v>1.95E-2</v>
      </c>
      <c r="BX259" s="59">
        <v>1.95E-2</v>
      </c>
      <c r="BY259" s="59">
        <v>0</v>
      </c>
      <c r="BZ259" s="59">
        <v>0</v>
      </c>
      <c r="CA259" s="49">
        <v>22.8</v>
      </c>
      <c r="CB259" s="59">
        <f t="shared" ref="CB259:CB320" si="21">SUM(BV259:BZ259)</f>
        <v>7.7899999999999997E-2</v>
      </c>
      <c r="CC259" s="59">
        <v>0.4798</v>
      </c>
      <c r="CD259" s="125">
        <v>0.42299999999999999</v>
      </c>
      <c r="CE259" s="125">
        <v>9.7100000000000006E-2</v>
      </c>
      <c r="CF259" s="125">
        <v>0</v>
      </c>
      <c r="CG259" s="125">
        <v>0</v>
      </c>
      <c r="CH259" s="85">
        <v>15.1</v>
      </c>
      <c r="CI259" s="39" t="s">
        <v>391</v>
      </c>
      <c r="CJ259" s="18" t="s">
        <v>80</v>
      </c>
      <c r="CK259" s="20"/>
    </row>
    <row r="260" spans="1:89" x14ac:dyDescent="0.25">
      <c r="A260" s="18" t="s">
        <v>80</v>
      </c>
      <c r="B260" s="19" t="s">
        <v>388</v>
      </c>
      <c r="C260" s="39" t="s">
        <v>392</v>
      </c>
      <c r="D260" s="40">
        <v>2</v>
      </c>
      <c r="E260" s="40">
        <v>0</v>
      </c>
      <c r="F260" s="40">
        <v>2</v>
      </c>
      <c r="G260" s="166">
        <v>0</v>
      </c>
      <c r="H260" s="166">
        <v>0</v>
      </c>
      <c r="I260" s="162" t="s">
        <v>83</v>
      </c>
      <c r="J260" s="166">
        <v>1</v>
      </c>
      <c r="K260" s="166">
        <v>0</v>
      </c>
      <c r="L260" s="166">
        <v>1</v>
      </c>
      <c r="M260" s="166">
        <v>0</v>
      </c>
      <c r="N260" s="119">
        <v>9.3896713615023494E-3</v>
      </c>
      <c r="O260" s="119">
        <v>1.3333333333333299E-2</v>
      </c>
      <c r="P260" s="119">
        <v>0</v>
      </c>
      <c r="Q260" s="119">
        <v>0</v>
      </c>
      <c r="R260" s="116" t="s">
        <v>83</v>
      </c>
      <c r="S260" s="119">
        <v>2.7027027027027001E-2</v>
      </c>
      <c r="T260" s="119">
        <v>0</v>
      </c>
      <c r="U260" s="119">
        <v>2.6315789473684199E-2</v>
      </c>
      <c r="V260" s="119">
        <v>0</v>
      </c>
      <c r="W260" s="40">
        <v>419</v>
      </c>
      <c r="X260" s="40">
        <f t="shared" si="18"/>
        <v>134</v>
      </c>
      <c r="Y260" s="40">
        <f t="shared" si="19"/>
        <v>192</v>
      </c>
      <c r="Z260" s="105">
        <v>0.496</v>
      </c>
      <c r="AA260" s="105">
        <v>0.504</v>
      </c>
      <c r="AB260" s="106">
        <f>10/419</f>
        <v>2.386634844868735E-2</v>
      </c>
      <c r="AC260" s="106">
        <v>0</v>
      </c>
      <c r="AD260" s="106">
        <v>0</v>
      </c>
      <c r="AE260" s="106">
        <f>10/419</f>
        <v>2.386634844868735E-2</v>
      </c>
      <c r="AF260" s="106">
        <f>1/419</f>
        <v>2.3866348448687352E-3</v>
      </c>
      <c r="AG260" s="106">
        <f>396/419</f>
        <v>0.94510739856801906</v>
      </c>
      <c r="AH260" s="106">
        <f>2/419</f>
        <v>4.7732696897374704E-3</v>
      </c>
      <c r="AI260" s="106">
        <f>23/419</f>
        <v>5.4892601431980909E-2</v>
      </c>
      <c r="AJ260" s="105">
        <v>0.49880668257756561</v>
      </c>
      <c r="AK260" s="105">
        <v>0</v>
      </c>
      <c r="AL260" s="12">
        <v>32</v>
      </c>
      <c r="AM260" s="12">
        <v>26</v>
      </c>
      <c r="AN260" s="12">
        <v>0</v>
      </c>
      <c r="AO260" s="12">
        <v>35</v>
      </c>
      <c r="AP260" s="12">
        <v>29</v>
      </c>
      <c r="AQ260" s="12">
        <v>32</v>
      </c>
      <c r="AR260" s="12">
        <v>38</v>
      </c>
      <c r="AS260" s="59">
        <v>0</v>
      </c>
      <c r="AT260" s="3">
        <v>1</v>
      </c>
      <c r="AU260" s="3">
        <v>6</v>
      </c>
      <c r="AV260" s="54">
        <v>93.434343434343432</v>
      </c>
      <c r="AW260" s="54">
        <v>4.5454545454545459</v>
      </c>
      <c r="AX260" s="54">
        <v>1.0101010101010102</v>
      </c>
      <c r="AY260" s="68">
        <v>1.0101010101010102</v>
      </c>
      <c r="AZ260" s="59">
        <v>7.2570225163311991E-2</v>
      </c>
      <c r="BA260" s="59">
        <v>8.6393088552915762E-2</v>
      </c>
      <c r="BB260" s="77">
        <v>92.6681937225285</v>
      </c>
      <c r="BC260" s="49">
        <v>46.6216216216216</v>
      </c>
      <c r="BD260" s="93">
        <v>0</v>
      </c>
      <c r="BE260" s="49">
        <v>15.4</v>
      </c>
      <c r="BF260" s="49">
        <v>0</v>
      </c>
      <c r="BG260" s="49">
        <v>0</v>
      </c>
      <c r="BH260" s="49">
        <v>0</v>
      </c>
      <c r="BI260" s="49">
        <v>0</v>
      </c>
      <c r="BJ260" s="85">
        <v>20.399999999999999</v>
      </c>
      <c r="BK260" s="129">
        <v>11924</v>
      </c>
      <c r="BL260" s="129">
        <v>49680</v>
      </c>
      <c r="BM260" s="129">
        <v>47844</v>
      </c>
      <c r="BN260" s="129">
        <v>40265</v>
      </c>
      <c r="BO260" s="59">
        <v>0</v>
      </c>
      <c r="BP260" s="59">
        <v>0.42230000000000001</v>
      </c>
      <c r="BQ260" s="59">
        <v>0.11070000000000001</v>
      </c>
      <c r="BR260" s="59">
        <v>0</v>
      </c>
      <c r="BS260" s="59">
        <v>0</v>
      </c>
      <c r="BT260" s="49">
        <v>14.4</v>
      </c>
      <c r="BU260" s="59">
        <f t="shared" si="20"/>
        <v>0.53300000000000003</v>
      </c>
      <c r="BV260" s="59">
        <v>3.1800000000000002E-2</v>
      </c>
      <c r="BW260" s="59">
        <v>0</v>
      </c>
      <c r="BX260" s="59">
        <v>3.4799999999999998E-2</v>
      </c>
      <c r="BY260" s="59">
        <v>0</v>
      </c>
      <c r="BZ260" s="59">
        <v>0</v>
      </c>
      <c r="CA260" s="49">
        <v>21.5</v>
      </c>
      <c r="CB260" s="59">
        <f t="shared" si="21"/>
        <v>6.6599999999999993E-2</v>
      </c>
      <c r="CC260" s="59">
        <v>0.39290000000000003</v>
      </c>
      <c r="CD260" s="125">
        <v>0.44500000000000001</v>
      </c>
      <c r="CE260" s="125">
        <v>0.16220000000000001</v>
      </c>
      <c r="CF260" s="125">
        <v>0</v>
      </c>
      <c r="CG260" s="125">
        <v>0</v>
      </c>
      <c r="CH260" s="85">
        <v>14.6</v>
      </c>
      <c r="CI260" s="39" t="s">
        <v>392</v>
      </c>
      <c r="CJ260" s="18" t="s">
        <v>80</v>
      </c>
      <c r="CK260" s="20"/>
    </row>
    <row r="261" spans="1:89" x14ac:dyDescent="0.25">
      <c r="A261" s="18" t="s">
        <v>80</v>
      </c>
      <c r="B261" s="19" t="s">
        <v>388</v>
      </c>
      <c r="C261" s="39" t="s">
        <v>393</v>
      </c>
      <c r="D261" s="40">
        <v>21</v>
      </c>
      <c r="E261" s="40" t="s">
        <v>83</v>
      </c>
      <c r="F261" s="40">
        <v>21</v>
      </c>
      <c r="G261" s="162" t="s">
        <v>83</v>
      </c>
      <c r="H261" s="162" t="s">
        <v>83</v>
      </c>
      <c r="I261" s="166">
        <v>0</v>
      </c>
      <c r="J261" s="166">
        <v>4</v>
      </c>
      <c r="K261" s="166">
        <v>5</v>
      </c>
      <c r="L261" s="166">
        <v>5</v>
      </c>
      <c r="M261" s="166">
        <v>7</v>
      </c>
      <c r="N261" s="119">
        <v>2.3702031602708801E-2</v>
      </c>
      <c r="O261" s="119">
        <v>2.3702031602708801E-2</v>
      </c>
      <c r="P261" s="116" t="s">
        <v>83</v>
      </c>
      <c r="Q261" s="116" t="s">
        <v>83</v>
      </c>
      <c r="R261" s="119">
        <v>0</v>
      </c>
      <c r="S261" s="119">
        <v>1.9323671497584499E-2</v>
      </c>
      <c r="T261" s="119">
        <v>1.9841269841269799E-2</v>
      </c>
      <c r="U261" s="119">
        <v>2.2935779816513801E-2</v>
      </c>
      <c r="V261" s="119">
        <v>3.4825870646766198E-2</v>
      </c>
      <c r="W261" s="40">
        <v>782</v>
      </c>
      <c r="X261" s="40">
        <f t="shared" si="18"/>
        <v>782</v>
      </c>
      <c r="Y261" s="40">
        <f t="shared" si="19"/>
        <v>782</v>
      </c>
      <c r="Z261" s="105">
        <v>0.48699999999999999</v>
      </c>
      <c r="AA261" s="105">
        <v>0.51300000000000001</v>
      </c>
      <c r="AB261" s="106">
        <f>8/782</f>
        <v>1.0230179028132993E-2</v>
      </c>
      <c r="AC261" s="106">
        <f>23/782</f>
        <v>2.9411764705882353E-2</v>
      </c>
      <c r="AD261" s="106">
        <f>281/782</f>
        <v>0.35933503836317138</v>
      </c>
      <c r="AE261" s="106">
        <f>81/782</f>
        <v>0.10358056265984655</v>
      </c>
      <c r="AF261" s="106">
        <f>10/782</f>
        <v>1.278772378516624E-2</v>
      </c>
      <c r="AG261" s="106">
        <f>359/782</f>
        <v>0.45907928388746805</v>
      </c>
      <c r="AH261" s="106">
        <f>20/782</f>
        <v>2.557544757033248E-2</v>
      </c>
      <c r="AI261" s="106">
        <f>423/782</f>
        <v>0.54092071611253201</v>
      </c>
      <c r="AJ261" s="105">
        <v>0.36445012787723785</v>
      </c>
      <c r="AK261" s="105">
        <v>1.2999999999999999E-2</v>
      </c>
      <c r="AL261" s="12">
        <v>0</v>
      </c>
      <c r="AM261" s="12">
        <v>0</v>
      </c>
      <c r="AN261" s="12">
        <v>3</v>
      </c>
      <c r="AO261" s="12">
        <v>181</v>
      </c>
      <c r="AP261" s="12">
        <v>215</v>
      </c>
      <c r="AQ261" s="12">
        <v>196</v>
      </c>
      <c r="AR261" s="12">
        <v>187</v>
      </c>
      <c r="AS261" s="59">
        <v>1.6304347826086956E-2</v>
      </c>
      <c r="AT261" s="3">
        <v>9</v>
      </c>
      <c r="AU261" s="3">
        <v>6</v>
      </c>
      <c r="AV261" s="54">
        <v>72.197309417040358</v>
      </c>
      <c r="AW261" s="54">
        <v>18.161434977578477</v>
      </c>
      <c r="AX261" s="54">
        <v>9.6412556053811667</v>
      </c>
      <c r="AY261" s="68">
        <v>0</v>
      </c>
      <c r="AZ261" s="59">
        <v>0.23120728929384965</v>
      </c>
      <c r="BA261" s="59">
        <v>0.16287015945330297</v>
      </c>
      <c r="BB261" s="76">
        <v>93.145671414719402</v>
      </c>
      <c r="BC261" s="49">
        <v>26.629213483146099</v>
      </c>
      <c r="BD261" s="90" t="s">
        <v>83</v>
      </c>
      <c r="BE261" s="90" t="s">
        <v>83</v>
      </c>
      <c r="BF261" s="49">
        <v>1.3</v>
      </c>
      <c r="BG261" s="49">
        <v>1</v>
      </c>
      <c r="BH261" s="49">
        <v>0.6</v>
      </c>
      <c r="BI261" s="49">
        <v>4</v>
      </c>
      <c r="BJ261" s="85">
        <v>19.8</v>
      </c>
      <c r="BK261" s="129">
        <v>10322</v>
      </c>
      <c r="BL261" s="129">
        <v>48717</v>
      </c>
      <c r="BM261" s="129">
        <v>46527</v>
      </c>
      <c r="BN261" s="129">
        <v>42523</v>
      </c>
      <c r="BO261" s="59">
        <v>1.11E-2</v>
      </c>
      <c r="BP261" s="59">
        <v>0.36980000000000002</v>
      </c>
      <c r="BQ261" s="59">
        <v>0.25040000000000001</v>
      </c>
      <c r="BR261" s="59">
        <v>1.11E-2</v>
      </c>
      <c r="BS261" s="59">
        <v>0</v>
      </c>
      <c r="BT261" s="49">
        <v>11.5</v>
      </c>
      <c r="BU261" s="59">
        <f t="shared" si="20"/>
        <v>0.64239999999999997</v>
      </c>
      <c r="BV261" s="59">
        <v>3.3399999999999999E-2</v>
      </c>
      <c r="BW261" s="59">
        <v>2.23E-2</v>
      </c>
      <c r="BX261" s="59">
        <v>3.3399999999999999E-2</v>
      </c>
      <c r="BY261" s="59">
        <v>0</v>
      </c>
      <c r="BZ261" s="59">
        <v>0</v>
      </c>
      <c r="CA261" s="49">
        <v>16.3</v>
      </c>
      <c r="CB261" s="59">
        <f t="shared" si="21"/>
        <v>8.9099999999999999E-2</v>
      </c>
      <c r="CC261" s="59">
        <v>0.2303</v>
      </c>
      <c r="CD261" s="125">
        <v>0.441</v>
      </c>
      <c r="CE261" s="125">
        <v>0.3175</v>
      </c>
      <c r="CF261" s="125">
        <v>1.11E-2</v>
      </c>
      <c r="CG261" s="125">
        <v>0</v>
      </c>
      <c r="CH261" s="85">
        <v>12.5</v>
      </c>
      <c r="CI261" s="39" t="s">
        <v>393</v>
      </c>
      <c r="CJ261" s="18" t="s">
        <v>80</v>
      </c>
      <c r="CK261" s="20"/>
    </row>
    <row r="262" spans="1:89" x14ac:dyDescent="0.25">
      <c r="A262" s="18" t="s">
        <v>80</v>
      </c>
      <c r="B262" s="19" t="s">
        <v>388</v>
      </c>
      <c r="C262" s="39" t="s">
        <v>394</v>
      </c>
      <c r="D262" s="40">
        <v>6</v>
      </c>
      <c r="E262" s="40">
        <v>0</v>
      </c>
      <c r="F262" s="40">
        <v>6</v>
      </c>
      <c r="G262" s="166">
        <v>0</v>
      </c>
      <c r="H262" s="166">
        <v>0</v>
      </c>
      <c r="I262" s="162" t="s">
        <v>83</v>
      </c>
      <c r="J262" s="166">
        <v>3</v>
      </c>
      <c r="K262" s="166">
        <v>0</v>
      </c>
      <c r="L262" s="166">
        <v>2</v>
      </c>
      <c r="M262" s="166">
        <v>1</v>
      </c>
      <c r="N262" s="119">
        <v>8.0862533692722394E-3</v>
      </c>
      <c r="O262" s="119">
        <v>1.4018691588785E-2</v>
      </c>
      <c r="P262" s="119">
        <v>0</v>
      </c>
      <c r="Q262" s="119">
        <v>0</v>
      </c>
      <c r="R262" s="116" t="s">
        <v>83</v>
      </c>
      <c r="S262" s="119">
        <v>2.6086956521739101E-2</v>
      </c>
      <c r="T262" s="119">
        <v>0</v>
      </c>
      <c r="U262" s="119">
        <v>2.40963855421687E-2</v>
      </c>
      <c r="V262" s="119">
        <v>0.01</v>
      </c>
      <c r="W262" s="40">
        <v>630</v>
      </c>
      <c r="X262" s="40">
        <f t="shared" si="18"/>
        <v>359</v>
      </c>
      <c r="Y262" s="40">
        <f t="shared" si="19"/>
        <v>630</v>
      </c>
      <c r="Z262" s="105">
        <v>0.46800000000000003</v>
      </c>
      <c r="AA262" s="105">
        <v>0.53200000000000003</v>
      </c>
      <c r="AB262" s="106">
        <f>6/630</f>
        <v>9.5238095238095247E-3</v>
      </c>
      <c r="AC262" s="106">
        <f>3/630</f>
        <v>4.7619047619047623E-3</v>
      </c>
      <c r="AD262" s="106">
        <f>145/630</f>
        <v>0.23015873015873015</v>
      </c>
      <c r="AE262" s="106">
        <f>61/630</f>
        <v>9.6825396825396828E-2</v>
      </c>
      <c r="AF262" s="106">
        <f>10/630</f>
        <v>1.5873015873015872E-2</v>
      </c>
      <c r="AG262" s="106">
        <f>379/630</f>
        <v>0.60158730158730156</v>
      </c>
      <c r="AH262" s="106">
        <f>26/630</f>
        <v>4.1269841269841269E-2</v>
      </c>
      <c r="AI262" s="106">
        <f>251/630</f>
        <v>0.39841269841269839</v>
      </c>
      <c r="AJ262" s="105">
        <v>0.41269841269841268</v>
      </c>
      <c r="AK262" s="105">
        <v>3.0000000000000001E-3</v>
      </c>
      <c r="AL262" s="12">
        <v>127</v>
      </c>
      <c r="AM262" s="12">
        <v>144</v>
      </c>
      <c r="AN262" s="12">
        <v>0</v>
      </c>
      <c r="AO262" s="12">
        <v>96</v>
      </c>
      <c r="AP262" s="12">
        <v>111</v>
      </c>
      <c r="AQ262" s="12">
        <v>71</v>
      </c>
      <c r="AR262" s="12">
        <v>81</v>
      </c>
      <c r="AS262" s="59">
        <v>0</v>
      </c>
      <c r="AT262" s="3">
        <v>7</v>
      </c>
      <c r="AU262" s="3">
        <v>6</v>
      </c>
      <c r="AV262" s="54">
        <v>65.722379603399446</v>
      </c>
      <c r="AW262" s="54">
        <v>14.447592067988669</v>
      </c>
      <c r="AX262" s="54">
        <v>18.980169971671387</v>
      </c>
      <c r="AY262" s="68">
        <v>0.84985835694051004</v>
      </c>
      <c r="AZ262" s="59">
        <v>0.15229110512129379</v>
      </c>
      <c r="BA262" s="59">
        <v>0.20754716981132076</v>
      </c>
      <c r="BB262" s="77">
        <v>92.652163285470195</v>
      </c>
      <c r="BC262" s="49">
        <v>34.266666666666701</v>
      </c>
      <c r="BD262" s="49">
        <v>1</v>
      </c>
      <c r="BE262" s="49">
        <v>1.6</v>
      </c>
      <c r="BF262" s="49">
        <v>3.6</v>
      </c>
      <c r="BG262" s="49">
        <v>2.2000000000000002</v>
      </c>
      <c r="BH262" s="49">
        <v>8.3000000000000007</v>
      </c>
      <c r="BI262" s="49">
        <v>0</v>
      </c>
      <c r="BJ262" s="85">
        <v>19.2</v>
      </c>
      <c r="BK262" s="129">
        <v>8536</v>
      </c>
      <c r="BL262" s="129">
        <v>50813</v>
      </c>
      <c r="BM262" s="129">
        <v>43995</v>
      </c>
      <c r="BN262" s="129">
        <v>39040</v>
      </c>
      <c r="BO262" s="59">
        <v>0</v>
      </c>
      <c r="BP262" s="59">
        <v>0.3538</v>
      </c>
      <c r="BQ262" s="59">
        <v>0.19769999999999999</v>
      </c>
      <c r="BR262" s="59">
        <v>0</v>
      </c>
      <c r="BS262" s="59">
        <v>0</v>
      </c>
      <c r="BT262" s="49">
        <v>16.100000000000001</v>
      </c>
      <c r="BU262" s="59">
        <f t="shared" si="20"/>
        <v>0.55149999999999999</v>
      </c>
      <c r="BV262" s="59">
        <v>3.2399999999999998E-2</v>
      </c>
      <c r="BW262" s="59">
        <v>0</v>
      </c>
      <c r="BX262" s="59">
        <v>3.2399999999999998E-2</v>
      </c>
      <c r="BY262" s="59">
        <v>0</v>
      </c>
      <c r="BZ262" s="59">
        <v>0</v>
      </c>
      <c r="CA262" s="49">
        <v>28.3</v>
      </c>
      <c r="CB262" s="59">
        <f t="shared" si="21"/>
        <v>6.4799999999999996E-2</v>
      </c>
      <c r="CC262" s="59">
        <v>0.36859999999999998</v>
      </c>
      <c r="CD262" s="125">
        <v>0.37569999999999998</v>
      </c>
      <c r="CE262" s="125">
        <v>0.25569999999999998</v>
      </c>
      <c r="CF262" s="125">
        <v>0</v>
      </c>
      <c r="CG262" s="125">
        <v>0</v>
      </c>
      <c r="CH262" s="85">
        <v>14.2</v>
      </c>
      <c r="CI262" s="39" t="s">
        <v>394</v>
      </c>
      <c r="CJ262" s="18" t="s">
        <v>80</v>
      </c>
      <c r="CK262" s="20"/>
    </row>
    <row r="263" spans="1:89" x14ac:dyDescent="0.25">
      <c r="A263" s="18" t="s">
        <v>80</v>
      </c>
      <c r="B263" s="19" t="s">
        <v>388</v>
      </c>
      <c r="C263" s="39" t="s">
        <v>395</v>
      </c>
      <c r="D263" s="40">
        <v>0</v>
      </c>
      <c r="E263" s="40">
        <v>0</v>
      </c>
      <c r="F263" s="40">
        <v>0</v>
      </c>
      <c r="G263" s="166">
        <v>0</v>
      </c>
      <c r="H263" s="166">
        <v>0</v>
      </c>
      <c r="I263" s="162" t="s">
        <v>83</v>
      </c>
      <c r="J263" s="166">
        <v>0</v>
      </c>
      <c r="K263" s="166">
        <v>0</v>
      </c>
      <c r="L263" s="166">
        <v>0</v>
      </c>
      <c r="M263" s="166">
        <v>0</v>
      </c>
      <c r="N263" s="119">
        <v>0</v>
      </c>
      <c r="O263" s="119">
        <v>0</v>
      </c>
      <c r="P263" s="119">
        <v>0</v>
      </c>
      <c r="Q263" s="119">
        <v>0</v>
      </c>
      <c r="R263" s="116" t="s">
        <v>83</v>
      </c>
      <c r="S263" s="119">
        <v>0</v>
      </c>
      <c r="T263" s="119">
        <v>0</v>
      </c>
      <c r="U263" s="119">
        <v>0</v>
      </c>
      <c r="V263" s="119">
        <v>0</v>
      </c>
      <c r="W263" s="40">
        <v>519</v>
      </c>
      <c r="X263" s="40">
        <f t="shared" si="18"/>
        <v>126</v>
      </c>
      <c r="Y263" s="40">
        <f t="shared" si="19"/>
        <v>221</v>
      </c>
      <c r="Z263" s="105">
        <v>0.44900000000000001</v>
      </c>
      <c r="AA263" s="105">
        <v>0.55100000000000005</v>
      </c>
      <c r="AB263" s="106">
        <f>16/519</f>
        <v>3.0828516377649325E-2</v>
      </c>
      <c r="AC263" s="106">
        <v>0</v>
      </c>
      <c r="AD263" s="106">
        <f>1/519</f>
        <v>1.9267822736030828E-3</v>
      </c>
      <c r="AE263" s="106">
        <f>4/519</f>
        <v>7.7071290944123313E-3</v>
      </c>
      <c r="AF263" s="106">
        <v>0</v>
      </c>
      <c r="AG263" s="106">
        <f>487/519</f>
        <v>0.93834296724470134</v>
      </c>
      <c r="AH263" s="106">
        <f>11/519</f>
        <v>2.119460500963391E-2</v>
      </c>
      <c r="AI263" s="106">
        <f>32/519</f>
        <v>6.1657032755298651E-2</v>
      </c>
      <c r="AJ263" s="105">
        <v>0.66666666666666663</v>
      </c>
      <c r="AK263" s="105">
        <v>2E-3</v>
      </c>
      <c r="AL263" s="12">
        <v>41</v>
      </c>
      <c r="AM263" s="12">
        <v>54</v>
      </c>
      <c r="AN263" s="12">
        <v>0</v>
      </c>
      <c r="AO263" s="12">
        <v>31</v>
      </c>
      <c r="AP263" s="12">
        <v>40</v>
      </c>
      <c r="AQ263" s="12">
        <v>32</v>
      </c>
      <c r="AR263" s="12">
        <v>23</v>
      </c>
      <c r="AS263" s="59">
        <v>0</v>
      </c>
      <c r="AT263" s="3">
        <v>1</v>
      </c>
      <c r="AU263" s="3">
        <v>6</v>
      </c>
      <c r="AV263" s="54">
        <v>79.522184300341294</v>
      </c>
      <c r="AW263" s="54">
        <v>18.088737201365188</v>
      </c>
      <c r="AX263" s="54">
        <v>2.3890784982935154</v>
      </c>
      <c r="AY263" s="68">
        <v>0</v>
      </c>
      <c r="AZ263" s="59">
        <v>0.16211293260473589</v>
      </c>
      <c r="BA263" s="59">
        <v>3.6402348317751687E-2</v>
      </c>
      <c r="BB263" s="76">
        <v>92.966547734080507</v>
      </c>
      <c r="BC263" s="49">
        <v>35.047619047619101</v>
      </c>
      <c r="BD263" s="49">
        <v>2.6</v>
      </c>
      <c r="BE263" s="93">
        <v>0</v>
      </c>
      <c r="BF263" s="49">
        <v>0</v>
      </c>
      <c r="BG263" s="49">
        <v>0</v>
      </c>
      <c r="BH263" s="49">
        <v>0</v>
      </c>
      <c r="BI263" s="49">
        <v>0</v>
      </c>
      <c r="BJ263" s="85">
        <v>19.5</v>
      </c>
      <c r="BK263" s="129">
        <v>11246</v>
      </c>
      <c r="BL263" s="129">
        <v>49098</v>
      </c>
      <c r="BM263" s="129">
        <v>43520</v>
      </c>
      <c r="BN263" s="129">
        <v>37461</v>
      </c>
      <c r="BO263" s="59">
        <v>0</v>
      </c>
      <c r="BP263" s="59">
        <v>0.33610000000000001</v>
      </c>
      <c r="BQ263" s="59">
        <v>0.15670000000000001</v>
      </c>
      <c r="BR263" s="59">
        <v>0</v>
      </c>
      <c r="BS263" s="59">
        <v>0</v>
      </c>
      <c r="BT263" s="49">
        <v>14.8</v>
      </c>
      <c r="BU263" s="59">
        <f t="shared" si="20"/>
        <v>0.49280000000000002</v>
      </c>
      <c r="BV263" s="59">
        <v>3.9300000000000002E-2</v>
      </c>
      <c r="BW263" s="59">
        <v>0</v>
      </c>
      <c r="BX263" s="59">
        <v>2.6100000000000002E-2</v>
      </c>
      <c r="BY263" s="59">
        <v>0</v>
      </c>
      <c r="BZ263" s="59">
        <v>0</v>
      </c>
      <c r="CA263" s="49">
        <v>20</v>
      </c>
      <c r="CB263" s="59">
        <f t="shared" si="21"/>
        <v>6.54E-2</v>
      </c>
      <c r="CC263" s="59">
        <v>0.4365</v>
      </c>
      <c r="CD263" s="125">
        <v>0.3669</v>
      </c>
      <c r="CE263" s="125">
        <v>0.1966</v>
      </c>
      <c r="CF263" s="125">
        <v>0</v>
      </c>
      <c r="CG263" s="125">
        <v>0</v>
      </c>
      <c r="CH263" s="85">
        <v>15.4</v>
      </c>
      <c r="CI263" s="39" t="s">
        <v>395</v>
      </c>
      <c r="CJ263" s="18" t="s">
        <v>80</v>
      </c>
      <c r="CK263" s="20"/>
    </row>
    <row r="264" spans="1:89" x14ac:dyDescent="0.25">
      <c r="A264" s="18" t="s">
        <v>80</v>
      </c>
      <c r="B264" s="19" t="s">
        <v>388</v>
      </c>
      <c r="C264" s="39" t="s">
        <v>396</v>
      </c>
      <c r="D264" s="40">
        <v>1</v>
      </c>
      <c r="E264" s="40">
        <v>0</v>
      </c>
      <c r="F264" s="40">
        <v>1</v>
      </c>
      <c r="G264" s="166">
        <v>0</v>
      </c>
      <c r="H264" s="166">
        <v>0</v>
      </c>
      <c r="I264" s="162" t="s">
        <v>83</v>
      </c>
      <c r="J264" s="166">
        <v>0</v>
      </c>
      <c r="K264" s="166">
        <v>0</v>
      </c>
      <c r="L264" s="166">
        <v>1</v>
      </c>
      <c r="M264" s="166">
        <v>0</v>
      </c>
      <c r="N264" s="119">
        <v>1.8181818181818199E-3</v>
      </c>
      <c r="O264" s="119">
        <v>2.9498525073746299E-3</v>
      </c>
      <c r="P264" s="119">
        <v>0</v>
      </c>
      <c r="Q264" s="119">
        <v>0</v>
      </c>
      <c r="R264" s="116" t="s">
        <v>83</v>
      </c>
      <c r="S264" s="119">
        <v>0</v>
      </c>
      <c r="T264" s="119">
        <v>0</v>
      </c>
      <c r="U264" s="119">
        <v>1.3698630136986301E-2</v>
      </c>
      <c r="V264" s="119">
        <v>0</v>
      </c>
      <c r="W264" s="40">
        <v>507</v>
      </c>
      <c r="X264" s="40">
        <f t="shared" si="18"/>
        <v>315</v>
      </c>
      <c r="Y264" s="40">
        <f t="shared" si="19"/>
        <v>507</v>
      </c>
      <c r="Z264" s="105">
        <v>0.47699999999999998</v>
      </c>
      <c r="AA264" s="105">
        <v>0.52300000000000002</v>
      </c>
      <c r="AB264" s="106">
        <f>5/507</f>
        <v>9.8619329388560158E-3</v>
      </c>
      <c r="AC264" s="106">
        <f>4/507</f>
        <v>7.889546351084813E-3</v>
      </c>
      <c r="AD264" s="106">
        <f>27/507</f>
        <v>5.3254437869822487E-2</v>
      </c>
      <c r="AE264" s="106">
        <f>21/507</f>
        <v>4.142011834319527E-2</v>
      </c>
      <c r="AF264" s="106">
        <v>0</v>
      </c>
      <c r="AG264" s="106">
        <f>432/507</f>
        <v>0.85207100591715978</v>
      </c>
      <c r="AH264" s="106">
        <f>18/507</f>
        <v>3.5502958579881658E-2</v>
      </c>
      <c r="AI264" s="106">
        <f>75/507</f>
        <v>0.14792899408284024</v>
      </c>
      <c r="AJ264" s="105">
        <v>0.42209072978303747</v>
      </c>
      <c r="AK264" s="105">
        <v>2E-3</v>
      </c>
      <c r="AL264" s="12">
        <v>98</v>
      </c>
      <c r="AM264" s="12">
        <v>94</v>
      </c>
      <c r="AN264" s="12">
        <v>0</v>
      </c>
      <c r="AO264" s="12">
        <v>100</v>
      </c>
      <c r="AP264" s="12">
        <v>92</v>
      </c>
      <c r="AQ264" s="12">
        <v>68</v>
      </c>
      <c r="AR264" s="12">
        <v>55</v>
      </c>
      <c r="AS264" s="59">
        <v>0</v>
      </c>
      <c r="AT264" s="3">
        <v>7</v>
      </c>
      <c r="AU264" s="3">
        <v>6</v>
      </c>
      <c r="AV264" s="54">
        <v>65.140845070422543</v>
      </c>
      <c r="AW264" s="54">
        <v>26.408450704225352</v>
      </c>
      <c r="AX264" s="54">
        <v>7.7464788732394361</v>
      </c>
      <c r="AY264" s="68">
        <v>0.70422535211267612</v>
      </c>
      <c r="AZ264" s="65">
        <v>0</v>
      </c>
      <c r="BA264" s="59">
        <v>0.18397085610200364</v>
      </c>
      <c r="BB264" s="77">
        <v>93.617363587280906</v>
      </c>
      <c r="BC264" s="49">
        <v>16.7870036101083</v>
      </c>
      <c r="BD264" s="49">
        <v>3.2</v>
      </c>
      <c r="BE264" s="49">
        <v>2.5</v>
      </c>
      <c r="BF264" s="49">
        <v>1.2</v>
      </c>
      <c r="BG264" s="49">
        <v>0</v>
      </c>
      <c r="BH264" s="49">
        <v>0</v>
      </c>
      <c r="BI264" s="49">
        <v>0</v>
      </c>
      <c r="BJ264" s="85">
        <v>21.1</v>
      </c>
      <c r="BK264" s="129">
        <v>10166</v>
      </c>
      <c r="BL264" s="129">
        <v>49894</v>
      </c>
      <c r="BM264" s="129">
        <v>45418</v>
      </c>
      <c r="BN264" s="129">
        <v>36996</v>
      </c>
      <c r="BO264" s="59">
        <v>0</v>
      </c>
      <c r="BP264" s="59">
        <v>0.33479999999999999</v>
      </c>
      <c r="BQ264" s="59">
        <v>0.1278</v>
      </c>
      <c r="BR264" s="59">
        <v>0</v>
      </c>
      <c r="BS264" s="59">
        <v>0</v>
      </c>
      <c r="BT264" s="49">
        <v>15.3</v>
      </c>
      <c r="BU264" s="59">
        <f t="shared" si="20"/>
        <v>0.46260000000000001</v>
      </c>
      <c r="BV264" s="59">
        <v>4.5900000000000003E-2</v>
      </c>
      <c r="BW264" s="59">
        <v>0</v>
      </c>
      <c r="BX264" s="59">
        <v>3.9399999999999998E-2</v>
      </c>
      <c r="BY264" s="59">
        <v>0</v>
      </c>
      <c r="BZ264" s="59">
        <v>0</v>
      </c>
      <c r="CA264" s="49">
        <v>18.399999999999999</v>
      </c>
      <c r="CB264" s="59">
        <f t="shared" si="21"/>
        <v>8.5300000000000001E-2</v>
      </c>
      <c r="CC264" s="59">
        <v>0.41770000000000002</v>
      </c>
      <c r="CD264" s="125">
        <v>0.38300000000000001</v>
      </c>
      <c r="CE264" s="125">
        <v>0.1993</v>
      </c>
      <c r="CF264" s="125">
        <v>0</v>
      </c>
      <c r="CG264" s="125">
        <v>0</v>
      </c>
      <c r="CH264" s="85">
        <v>14.3</v>
      </c>
      <c r="CI264" s="39" t="s">
        <v>396</v>
      </c>
      <c r="CJ264" s="18" t="s">
        <v>80</v>
      </c>
      <c r="CK264" s="20"/>
    </row>
    <row r="265" spans="1:89" x14ac:dyDescent="0.25">
      <c r="A265" s="18" t="s">
        <v>80</v>
      </c>
      <c r="B265" s="19" t="s">
        <v>388</v>
      </c>
      <c r="C265" s="39" t="s">
        <v>397</v>
      </c>
      <c r="D265" s="40">
        <v>0</v>
      </c>
      <c r="E265" s="40">
        <v>0</v>
      </c>
      <c r="F265" s="40">
        <v>0</v>
      </c>
      <c r="G265" s="166">
        <v>0</v>
      </c>
      <c r="H265" s="166">
        <v>0</v>
      </c>
      <c r="I265" s="166">
        <v>0</v>
      </c>
      <c r="J265" s="166">
        <v>0</v>
      </c>
      <c r="K265" s="166">
        <v>0</v>
      </c>
      <c r="L265" s="166">
        <v>0</v>
      </c>
      <c r="M265" s="166">
        <v>0</v>
      </c>
      <c r="N265" s="119">
        <v>0</v>
      </c>
      <c r="O265" s="119">
        <v>0</v>
      </c>
      <c r="P265" s="119">
        <v>0</v>
      </c>
      <c r="Q265" s="119">
        <v>0</v>
      </c>
      <c r="R265" s="119">
        <v>0</v>
      </c>
      <c r="S265" s="119">
        <v>0</v>
      </c>
      <c r="T265" s="119">
        <v>0</v>
      </c>
      <c r="U265" s="119">
        <v>0</v>
      </c>
      <c r="V265" s="119">
        <v>0</v>
      </c>
      <c r="W265" s="40">
        <v>302</v>
      </c>
      <c r="X265" s="40">
        <f t="shared" si="18"/>
        <v>92</v>
      </c>
      <c r="Y265" s="40">
        <f t="shared" si="19"/>
        <v>144</v>
      </c>
      <c r="Z265" s="105">
        <v>0.46700000000000003</v>
      </c>
      <c r="AA265" s="105">
        <v>0.53300000000000003</v>
      </c>
      <c r="AB265" s="106">
        <f>1/302</f>
        <v>3.3112582781456954E-3</v>
      </c>
      <c r="AC265" s="106">
        <v>0</v>
      </c>
      <c r="AD265" s="106">
        <v>0</v>
      </c>
      <c r="AE265" s="106">
        <f>7/302</f>
        <v>2.3178807947019868E-2</v>
      </c>
      <c r="AF265" s="106">
        <v>0</v>
      </c>
      <c r="AG265" s="106">
        <f>293/302</f>
        <v>0.9701986754966887</v>
      </c>
      <c r="AH265" s="106">
        <f>1/302</f>
        <v>3.3112582781456954E-3</v>
      </c>
      <c r="AI265" s="106">
        <f>9/302</f>
        <v>2.9801324503311258E-2</v>
      </c>
      <c r="AJ265" s="105">
        <v>0.43377483443708609</v>
      </c>
      <c r="AK265" s="105">
        <v>0</v>
      </c>
      <c r="AL265" s="12">
        <v>25</v>
      </c>
      <c r="AM265" s="12">
        <v>27</v>
      </c>
      <c r="AN265" s="12">
        <v>1</v>
      </c>
      <c r="AO265" s="12">
        <v>21</v>
      </c>
      <c r="AP265" s="12">
        <v>23</v>
      </c>
      <c r="AQ265" s="12">
        <v>25</v>
      </c>
      <c r="AR265" s="12">
        <v>22</v>
      </c>
      <c r="AS265" s="59">
        <v>4.5454545454545456E-2</v>
      </c>
      <c r="AT265" s="3">
        <v>1</v>
      </c>
      <c r="AU265" s="3">
        <v>6</v>
      </c>
      <c r="AV265" s="54">
        <v>71.710526315789465</v>
      </c>
      <c r="AW265" s="54">
        <v>18.421052631578945</v>
      </c>
      <c r="AX265" s="54">
        <v>9.2105263157894726</v>
      </c>
      <c r="AY265" s="68">
        <v>0.6578947368421052</v>
      </c>
      <c r="AZ265" s="59">
        <v>5.0255109832555425E-3</v>
      </c>
      <c r="BA265" s="59">
        <v>6.2893081761006289E-2</v>
      </c>
      <c r="BB265" s="76">
        <v>94.341929983724597</v>
      </c>
      <c r="BC265" s="49">
        <v>26.045016077170398</v>
      </c>
      <c r="BD265" s="49">
        <v>4.2</v>
      </c>
      <c r="BE265" s="93">
        <v>0</v>
      </c>
      <c r="BF265" s="49">
        <v>0</v>
      </c>
      <c r="BG265" s="49">
        <v>0</v>
      </c>
      <c r="BH265" s="49">
        <v>0</v>
      </c>
      <c r="BI265" s="49">
        <v>0</v>
      </c>
      <c r="BJ265" s="85">
        <v>19.899999999999999</v>
      </c>
      <c r="BK265" s="129">
        <v>13286</v>
      </c>
      <c r="BL265" s="129">
        <v>50723</v>
      </c>
      <c r="BM265" s="129">
        <v>48349</v>
      </c>
      <c r="BN265" s="129">
        <v>40359</v>
      </c>
      <c r="BO265" s="59">
        <v>0</v>
      </c>
      <c r="BP265" s="59">
        <v>0.36599999999999999</v>
      </c>
      <c r="BQ265" s="59">
        <v>0.13669999999999999</v>
      </c>
      <c r="BR265" s="59">
        <v>0</v>
      </c>
      <c r="BS265" s="59">
        <v>0</v>
      </c>
      <c r="BT265" s="49">
        <v>16.5</v>
      </c>
      <c r="BU265" s="59">
        <f t="shared" si="20"/>
        <v>0.50269999999999992</v>
      </c>
      <c r="BV265" s="59">
        <v>3.9800000000000002E-2</v>
      </c>
      <c r="BW265" s="59">
        <v>0</v>
      </c>
      <c r="BX265" s="59">
        <v>3.9800000000000002E-2</v>
      </c>
      <c r="BY265" s="59">
        <v>0</v>
      </c>
      <c r="BZ265" s="59">
        <v>0</v>
      </c>
      <c r="CA265" s="49">
        <v>21</v>
      </c>
      <c r="CB265" s="59">
        <f t="shared" si="21"/>
        <v>7.9600000000000004E-2</v>
      </c>
      <c r="CC265" s="59">
        <v>0.4093</v>
      </c>
      <c r="CD265" s="125">
        <v>0.3916</v>
      </c>
      <c r="CE265" s="125">
        <v>0.1991</v>
      </c>
      <c r="CF265" s="125">
        <v>0</v>
      </c>
      <c r="CG265" s="125">
        <v>0</v>
      </c>
      <c r="CH265" s="85">
        <v>17.3</v>
      </c>
      <c r="CI265" s="39" t="s">
        <v>397</v>
      </c>
      <c r="CJ265" s="18" t="s">
        <v>80</v>
      </c>
      <c r="CK265" s="20"/>
    </row>
    <row r="266" spans="1:89" x14ac:dyDescent="0.25">
      <c r="A266" s="18" t="s">
        <v>80</v>
      </c>
      <c r="B266" s="19" t="s">
        <v>398</v>
      </c>
      <c r="C266" s="39" t="s">
        <v>399</v>
      </c>
      <c r="D266" s="40">
        <v>15</v>
      </c>
      <c r="E266" s="40" t="s">
        <v>83</v>
      </c>
      <c r="F266" s="40">
        <v>15</v>
      </c>
      <c r="G266" s="162" t="s">
        <v>83</v>
      </c>
      <c r="H266" s="162" t="s">
        <v>83</v>
      </c>
      <c r="I266" s="166">
        <v>0</v>
      </c>
      <c r="J266" s="166">
        <v>7</v>
      </c>
      <c r="K266" s="166">
        <v>3</v>
      </c>
      <c r="L266" s="166">
        <v>5</v>
      </c>
      <c r="M266" s="166">
        <v>0</v>
      </c>
      <c r="N266" s="119">
        <v>1.70261066969353E-2</v>
      </c>
      <c r="O266" s="119">
        <v>1.70261066969353E-2</v>
      </c>
      <c r="P266" s="116" t="s">
        <v>83</v>
      </c>
      <c r="Q266" s="116" t="s">
        <v>83</v>
      </c>
      <c r="R266" s="119">
        <v>0</v>
      </c>
      <c r="S266" s="119">
        <v>2.8571428571428598E-2</v>
      </c>
      <c r="T266" s="119">
        <v>1.35746606334842E-2</v>
      </c>
      <c r="U266" s="119">
        <v>2.3696682464454999E-2</v>
      </c>
      <c r="V266" s="119">
        <v>0</v>
      </c>
      <c r="W266" s="40">
        <v>828</v>
      </c>
      <c r="X266" s="40">
        <f t="shared" si="18"/>
        <v>828</v>
      </c>
      <c r="Y266" s="40">
        <f t="shared" si="19"/>
        <v>828</v>
      </c>
      <c r="Z266" s="105">
        <v>0.49199999999999999</v>
      </c>
      <c r="AA266" s="105">
        <v>0.50900000000000001</v>
      </c>
      <c r="AB266" s="106">
        <f>1/828</f>
        <v>1.2077294685990338E-3</v>
      </c>
      <c r="AC266" s="106">
        <f>2/828</f>
        <v>2.4154589371980675E-3</v>
      </c>
      <c r="AD266" s="106">
        <f>255/828</f>
        <v>0.3079710144927536</v>
      </c>
      <c r="AE266" s="106">
        <f>14/828</f>
        <v>1.6908212560386472E-2</v>
      </c>
      <c r="AF266" s="106">
        <f>1/828</f>
        <v>1.2077294685990338E-3</v>
      </c>
      <c r="AG266" s="106">
        <f>553/828</f>
        <v>0.66787439613526567</v>
      </c>
      <c r="AH266" s="106">
        <f>2/828</f>
        <v>2.4154589371980675E-3</v>
      </c>
      <c r="AI266" s="106">
        <f>275/828</f>
        <v>0.33212560386473428</v>
      </c>
      <c r="AJ266" s="105">
        <v>0.62439613526570048</v>
      </c>
      <c r="AK266" s="105">
        <v>8.9999999999999993E-3</v>
      </c>
      <c r="AL266" s="12">
        <v>0</v>
      </c>
      <c r="AM266" s="12">
        <v>0</v>
      </c>
      <c r="AN266" s="12">
        <v>16</v>
      </c>
      <c r="AO266" s="12">
        <v>220</v>
      </c>
      <c r="AP266" s="12">
        <v>208</v>
      </c>
      <c r="AQ266" s="12">
        <v>203</v>
      </c>
      <c r="AR266" s="12">
        <v>181</v>
      </c>
      <c r="AS266" s="59">
        <v>6.7796610169491525E-2</v>
      </c>
      <c r="AT266" s="3">
        <v>9</v>
      </c>
      <c r="AU266" s="3">
        <v>6</v>
      </c>
      <c r="AV266" s="54">
        <v>64.857881136950908</v>
      </c>
      <c r="AW266" s="54">
        <v>19.896640826873384</v>
      </c>
      <c r="AX266" s="54">
        <v>15.245478036175712</v>
      </c>
      <c r="AY266" s="68">
        <v>0</v>
      </c>
      <c r="AZ266" s="59">
        <v>0.15777525539160045</v>
      </c>
      <c r="BA266" s="59">
        <v>4.8568158476461926E-2</v>
      </c>
      <c r="BB266" s="77">
        <v>93.393381228222594</v>
      </c>
      <c r="BC266" s="49">
        <v>32.389580973952398</v>
      </c>
      <c r="BD266" s="90" t="s">
        <v>83</v>
      </c>
      <c r="BE266" s="90" t="s">
        <v>83</v>
      </c>
      <c r="BF266" s="49">
        <v>4.0999999999999996</v>
      </c>
      <c r="BG266" s="49">
        <v>3</v>
      </c>
      <c r="BH266" s="49">
        <v>0.5</v>
      </c>
      <c r="BI266" s="49">
        <v>0.6</v>
      </c>
      <c r="BJ266" s="85">
        <v>19.5</v>
      </c>
      <c r="BK266" s="129">
        <v>9469</v>
      </c>
      <c r="BL266" s="129">
        <v>45530</v>
      </c>
      <c r="BM266" s="129">
        <v>41610</v>
      </c>
      <c r="BN266" s="129">
        <v>36969</v>
      </c>
      <c r="BO266" s="59">
        <v>1.12E-2</v>
      </c>
      <c r="BP266" s="59">
        <v>0.44290000000000002</v>
      </c>
      <c r="BQ266" s="59">
        <v>0.10009999999999999</v>
      </c>
      <c r="BR266" s="59">
        <v>0</v>
      </c>
      <c r="BS266" s="59">
        <v>3.3700000000000001E-2</v>
      </c>
      <c r="BT266" s="49">
        <v>8.5</v>
      </c>
      <c r="BU266" s="59">
        <f t="shared" si="20"/>
        <v>0.58789999999999998</v>
      </c>
      <c r="BV266" s="59">
        <v>3.3700000000000001E-2</v>
      </c>
      <c r="BW266" s="59">
        <v>0</v>
      </c>
      <c r="BX266" s="59">
        <v>2.3199999999999998E-2</v>
      </c>
      <c r="BY266" s="59">
        <v>0</v>
      </c>
      <c r="BZ266" s="59">
        <v>0</v>
      </c>
      <c r="CA266" s="49">
        <v>20.2</v>
      </c>
      <c r="CB266" s="59">
        <f t="shared" si="21"/>
        <v>5.6899999999999999E-2</v>
      </c>
      <c r="CC266" s="59">
        <v>0.3422</v>
      </c>
      <c r="CD266" s="125">
        <v>0.4556</v>
      </c>
      <c r="CE266" s="125">
        <v>0.16850000000000001</v>
      </c>
      <c r="CF266" s="125">
        <v>0</v>
      </c>
      <c r="CG266" s="125">
        <v>3.3700000000000001E-2</v>
      </c>
      <c r="CH266" s="85">
        <v>10.9</v>
      </c>
      <c r="CI266" s="39" t="s">
        <v>399</v>
      </c>
      <c r="CJ266" s="18" t="s">
        <v>80</v>
      </c>
      <c r="CK266" s="20"/>
    </row>
    <row r="267" spans="1:89" x14ac:dyDescent="0.25">
      <c r="A267" s="18" t="s">
        <v>80</v>
      </c>
      <c r="B267" s="19" t="s">
        <v>398</v>
      </c>
      <c r="C267" s="39" t="s">
        <v>400</v>
      </c>
      <c r="D267" s="40">
        <v>8</v>
      </c>
      <c r="E267" s="40">
        <v>0</v>
      </c>
      <c r="F267" s="40">
        <v>8</v>
      </c>
      <c r="G267" s="166">
        <v>0</v>
      </c>
      <c r="H267" s="166">
        <v>0</v>
      </c>
      <c r="I267" s="166">
        <v>0</v>
      </c>
      <c r="J267" s="166">
        <v>2</v>
      </c>
      <c r="K267" s="166">
        <v>1</v>
      </c>
      <c r="L267" s="166">
        <v>3</v>
      </c>
      <c r="M267" s="166">
        <v>2</v>
      </c>
      <c r="N267" s="119">
        <v>3.6529680365296802E-2</v>
      </c>
      <c r="O267" s="119">
        <v>6.2015503875968998E-2</v>
      </c>
      <c r="P267" s="119">
        <v>0</v>
      </c>
      <c r="Q267" s="119">
        <v>0</v>
      </c>
      <c r="R267" s="119">
        <v>0</v>
      </c>
      <c r="S267" s="119">
        <v>5.7142857142857099E-2</v>
      </c>
      <c r="T267" s="119">
        <v>3.5714285714285698E-2</v>
      </c>
      <c r="U267" s="119">
        <v>8.8235294117647106E-2</v>
      </c>
      <c r="V267" s="119">
        <v>6.8965517241379296E-2</v>
      </c>
      <c r="W267" s="40">
        <v>525</v>
      </c>
      <c r="X267" s="40">
        <f t="shared" si="18"/>
        <v>125</v>
      </c>
      <c r="Y267" s="40">
        <f t="shared" si="19"/>
        <v>205</v>
      </c>
      <c r="Z267" s="105">
        <v>0.49299999999999999</v>
      </c>
      <c r="AA267" s="105">
        <v>0.50700000000000001</v>
      </c>
      <c r="AB267" s="106">
        <f>2/525</f>
        <v>3.8095238095238095E-3</v>
      </c>
      <c r="AC267" s="106">
        <v>0</v>
      </c>
      <c r="AD267" s="106">
        <f>140/525</f>
        <v>0.26666666666666666</v>
      </c>
      <c r="AE267" s="106">
        <f>6/525</f>
        <v>1.1428571428571429E-2</v>
      </c>
      <c r="AF267" s="106">
        <v>0</v>
      </c>
      <c r="AG267" s="106">
        <f>368/525</f>
        <v>0.70095238095238099</v>
      </c>
      <c r="AH267" s="106">
        <f>9/525</f>
        <v>1.7142857142857144E-2</v>
      </c>
      <c r="AI267" s="106">
        <f>157/525</f>
        <v>0.29904761904761906</v>
      </c>
      <c r="AJ267" s="105">
        <v>0.70285714285714285</v>
      </c>
      <c r="AK267" s="105">
        <v>0</v>
      </c>
      <c r="AL267" s="12">
        <v>44</v>
      </c>
      <c r="AM267" s="12">
        <v>36</v>
      </c>
      <c r="AN267" s="12">
        <v>2</v>
      </c>
      <c r="AO267" s="12">
        <v>35</v>
      </c>
      <c r="AP267" s="12">
        <v>26</v>
      </c>
      <c r="AQ267" s="12">
        <v>34</v>
      </c>
      <c r="AR267" s="12">
        <v>28</v>
      </c>
      <c r="AS267" s="59">
        <v>5.4054054054054057E-2</v>
      </c>
      <c r="AT267" s="3">
        <v>1</v>
      </c>
      <c r="AU267" s="3">
        <v>6</v>
      </c>
      <c r="AV267" s="54">
        <v>79.090909090909093</v>
      </c>
      <c r="AW267" s="54">
        <v>16.818181818181817</v>
      </c>
      <c r="AX267" s="54">
        <v>1.3636363636363635</v>
      </c>
      <c r="AY267" s="68">
        <v>2.7272727272727271</v>
      </c>
      <c r="AZ267" s="59">
        <v>9.2657342657342656E-2</v>
      </c>
      <c r="BA267" s="59">
        <v>0.05</v>
      </c>
      <c r="BB267" s="76">
        <v>94.098817064095797</v>
      </c>
      <c r="BC267" s="49">
        <v>11.4814814814815</v>
      </c>
      <c r="BD267" s="93">
        <v>0</v>
      </c>
      <c r="BE267" s="93">
        <v>0</v>
      </c>
      <c r="BF267" s="49">
        <v>0</v>
      </c>
      <c r="BG267" s="49">
        <v>0</v>
      </c>
      <c r="BH267" s="49">
        <v>0</v>
      </c>
      <c r="BI267" s="49">
        <v>0</v>
      </c>
      <c r="BJ267" s="85">
        <v>18.600000000000001</v>
      </c>
      <c r="BK267" s="129">
        <v>11880</v>
      </c>
      <c r="BL267" s="129">
        <v>45788</v>
      </c>
      <c r="BM267" s="129">
        <v>40558</v>
      </c>
      <c r="BN267" s="129">
        <v>34372</v>
      </c>
      <c r="BO267" s="59">
        <v>0</v>
      </c>
      <c r="BP267" s="59">
        <v>0.3407</v>
      </c>
      <c r="BQ267" s="59">
        <v>0.1381</v>
      </c>
      <c r="BR267" s="59">
        <v>0</v>
      </c>
      <c r="BS267" s="59">
        <v>0</v>
      </c>
      <c r="BT267" s="49">
        <v>15.4</v>
      </c>
      <c r="BU267" s="59">
        <f t="shared" si="20"/>
        <v>0.4788</v>
      </c>
      <c r="BV267" s="59">
        <v>2.5000000000000001E-2</v>
      </c>
      <c r="BW267" s="59">
        <v>0</v>
      </c>
      <c r="BX267" s="59">
        <v>6.1800000000000001E-2</v>
      </c>
      <c r="BY267" s="59">
        <v>0</v>
      </c>
      <c r="BZ267" s="59">
        <v>0</v>
      </c>
      <c r="CA267" s="49">
        <v>21.6</v>
      </c>
      <c r="CB267" s="59">
        <f t="shared" si="21"/>
        <v>8.6800000000000002E-2</v>
      </c>
      <c r="CC267" s="59">
        <v>0.39700000000000002</v>
      </c>
      <c r="CD267" s="125">
        <v>0.36559999999999998</v>
      </c>
      <c r="CE267" s="125">
        <v>0.2374</v>
      </c>
      <c r="CF267" s="125">
        <v>0</v>
      </c>
      <c r="CG267" s="125">
        <v>0</v>
      </c>
      <c r="CH267" s="85">
        <v>14</v>
      </c>
      <c r="CI267" s="39" t="s">
        <v>400</v>
      </c>
      <c r="CJ267" s="18" t="s">
        <v>80</v>
      </c>
      <c r="CK267" s="20"/>
    </row>
    <row r="268" spans="1:89" x14ac:dyDescent="0.25">
      <c r="A268" s="18" t="s">
        <v>80</v>
      </c>
      <c r="B268" s="19" t="s">
        <v>398</v>
      </c>
      <c r="C268" s="39" t="s">
        <v>401</v>
      </c>
      <c r="D268" s="40">
        <v>7</v>
      </c>
      <c r="E268" s="40">
        <v>0</v>
      </c>
      <c r="F268" s="40">
        <v>7</v>
      </c>
      <c r="G268" s="166">
        <v>0</v>
      </c>
      <c r="H268" s="166">
        <v>0</v>
      </c>
      <c r="I268" s="166">
        <v>0</v>
      </c>
      <c r="J268" s="166">
        <v>2</v>
      </c>
      <c r="K268" s="166">
        <v>2</v>
      </c>
      <c r="L268" s="166">
        <v>2</v>
      </c>
      <c r="M268" s="166">
        <v>1</v>
      </c>
      <c r="N268" s="119">
        <v>1.1725293132328301E-2</v>
      </c>
      <c r="O268" s="119">
        <v>1.7632241813602002E-2</v>
      </c>
      <c r="P268" s="119">
        <v>0</v>
      </c>
      <c r="Q268" s="119">
        <v>0</v>
      </c>
      <c r="R268" s="119">
        <v>0</v>
      </c>
      <c r="S268" s="119">
        <v>1.6E-2</v>
      </c>
      <c r="T268" s="119">
        <v>1.7857142857142901E-2</v>
      </c>
      <c r="U268" s="119">
        <v>2.32558139534884E-2</v>
      </c>
      <c r="V268" s="119">
        <v>1.4084507042253501E-2</v>
      </c>
      <c r="W268" s="40">
        <v>671</v>
      </c>
      <c r="X268" s="40">
        <f t="shared" si="18"/>
        <v>364</v>
      </c>
      <c r="Y268" s="40">
        <f t="shared" si="19"/>
        <v>552</v>
      </c>
      <c r="Z268" s="105">
        <v>0.48399999999999999</v>
      </c>
      <c r="AA268" s="105">
        <v>0.51600000000000001</v>
      </c>
      <c r="AB268" s="106">
        <f>1/671</f>
        <v>1.4903129657228018E-3</v>
      </c>
      <c r="AC268" s="106">
        <v>0</v>
      </c>
      <c r="AD268" s="106">
        <f>106/671</f>
        <v>0.15797317436661698</v>
      </c>
      <c r="AE268" s="106">
        <f>4/671</f>
        <v>5.9612518628912071E-3</v>
      </c>
      <c r="AF268" s="106">
        <v>0</v>
      </c>
      <c r="AG268" s="106">
        <f>560/671</f>
        <v>0.83457526080476896</v>
      </c>
      <c r="AH268" s="106">
        <v>0</v>
      </c>
      <c r="AI268" s="106">
        <f>111/671</f>
        <v>0.16542473919523099</v>
      </c>
      <c r="AJ268" s="105">
        <v>0.63189269746646792</v>
      </c>
      <c r="AK268" s="105">
        <v>0</v>
      </c>
      <c r="AL268" s="12">
        <v>103</v>
      </c>
      <c r="AM268" s="12">
        <v>85</v>
      </c>
      <c r="AN268" s="12">
        <v>4</v>
      </c>
      <c r="AO268" s="12">
        <v>110</v>
      </c>
      <c r="AP268" s="12">
        <v>99</v>
      </c>
      <c r="AQ268" s="12">
        <v>79</v>
      </c>
      <c r="AR268" s="12">
        <v>72</v>
      </c>
      <c r="AS268" s="59">
        <v>3.5087719298245612E-2</v>
      </c>
      <c r="AT268" s="3">
        <v>6</v>
      </c>
      <c r="AU268" s="3">
        <v>6</v>
      </c>
      <c r="AV268" s="54">
        <v>67.128027681660896</v>
      </c>
      <c r="AW268" s="54">
        <v>21.453287197231834</v>
      </c>
      <c r="AX268" s="54">
        <v>10.380622837370241</v>
      </c>
      <c r="AY268" s="68">
        <v>1.0380622837370241</v>
      </c>
      <c r="AZ268" s="59">
        <v>0.13908205841446453</v>
      </c>
      <c r="BA268" s="59">
        <v>0.05</v>
      </c>
      <c r="BB268" s="77">
        <v>94.908357601786904</v>
      </c>
      <c r="BC268" s="49">
        <v>22.8094575799722</v>
      </c>
      <c r="BD268" s="93">
        <v>0</v>
      </c>
      <c r="BE268" s="93">
        <v>0</v>
      </c>
      <c r="BF268" s="49">
        <v>4.5999999999999996</v>
      </c>
      <c r="BG268" s="49">
        <v>1.1000000000000001</v>
      </c>
      <c r="BH268" s="49">
        <v>0</v>
      </c>
      <c r="BI268" s="49">
        <v>0</v>
      </c>
      <c r="BJ268" s="85">
        <v>17.899999999999999</v>
      </c>
      <c r="BK268" s="129">
        <v>9475</v>
      </c>
      <c r="BL268" s="129">
        <v>47073</v>
      </c>
      <c r="BM268" s="129">
        <v>41417</v>
      </c>
      <c r="BN268" s="129">
        <v>36941</v>
      </c>
      <c r="BO268" s="59">
        <v>0</v>
      </c>
      <c r="BP268" s="59">
        <v>0.31719999999999998</v>
      </c>
      <c r="BQ268" s="59">
        <v>0.2051</v>
      </c>
      <c r="BR268" s="59">
        <v>1.3299999999999999E-2</v>
      </c>
      <c r="BS268" s="59">
        <v>0</v>
      </c>
      <c r="BT268" s="49">
        <v>15.8</v>
      </c>
      <c r="BU268" s="59">
        <f t="shared" si="20"/>
        <v>0.53559999999999997</v>
      </c>
      <c r="BV268" s="59">
        <v>3.9800000000000002E-2</v>
      </c>
      <c r="BW268" s="59">
        <v>0</v>
      </c>
      <c r="BX268" s="59">
        <v>5.3100000000000001E-2</v>
      </c>
      <c r="BY268" s="59">
        <v>0</v>
      </c>
      <c r="BZ268" s="59">
        <v>0</v>
      </c>
      <c r="CA268" s="49">
        <v>18.600000000000001</v>
      </c>
      <c r="CB268" s="59">
        <f t="shared" si="21"/>
        <v>9.290000000000001E-2</v>
      </c>
      <c r="CC268" s="59">
        <v>0.37130000000000002</v>
      </c>
      <c r="CD268" s="125">
        <v>0.31809999999999999</v>
      </c>
      <c r="CE268" s="125">
        <v>0.2974</v>
      </c>
      <c r="CF268" s="125">
        <v>1.3299999999999999E-2</v>
      </c>
      <c r="CG268" s="125">
        <v>0</v>
      </c>
      <c r="CH268" s="85">
        <v>14.1</v>
      </c>
      <c r="CI268" s="39" t="s">
        <v>401</v>
      </c>
      <c r="CJ268" s="18" t="s">
        <v>80</v>
      </c>
      <c r="CK268" s="20"/>
    </row>
    <row r="269" spans="1:89" x14ac:dyDescent="0.25">
      <c r="A269" s="18" t="s">
        <v>80</v>
      </c>
      <c r="B269" s="19" t="s">
        <v>398</v>
      </c>
      <c r="C269" s="39" t="s">
        <v>402</v>
      </c>
      <c r="D269" s="40">
        <v>6</v>
      </c>
      <c r="E269" s="40">
        <v>3</v>
      </c>
      <c r="F269" s="40">
        <v>3</v>
      </c>
      <c r="G269" s="166">
        <v>2</v>
      </c>
      <c r="H269" s="166">
        <v>1</v>
      </c>
      <c r="I269" s="166">
        <v>0</v>
      </c>
      <c r="J269" s="166">
        <v>1</v>
      </c>
      <c r="K269" s="166">
        <v>2</v>
      </c>
      <c r="L269" s="166">
        <v>0</v>
      </c>
      <c r="M269" s="166">
        <v>0</v>
      </c>
      <c r="N269" s="119">
        <v>1.8018018018018001E-2</v>
      </c>
      <c r="O269" s="119">
        <v>1.4084507042253501E-2</v>
      </c>
      <c r="P269" s="119">
        <v>3.3898305084745797E-2</v>
      </c>
      <c r="Q269" s="119">
        <v>1.63934426229508E-2</v>
      </c>
      <c r="R269" s="119">
        <v>0</v>
      </c>
      <c r="S269" s="119">
        <v>1.7857142857142901E-2</v>
      </c>
      <c r="T269" s="119">
        <v>3.5087719298245598E-2</v>
      </c>
      <c r="U269" s="119">
        <v>0</v>
      </c>
      <c r="V269" s="119">
        <v>0</v>
      </c>
      <c r="W269" s="40">
        <v>347</v>
      </c>
      <c r="X269" s="40">
        <f t="shared" si="18"/>
        <v>191</v>
      </c>
      <c r="Y269" s="40">
        <f t="shared" si="19"/>
        <v>292</v>
      </c>
      <c r="Z269" s="105">
        <v>0.45500000000000002</v>
      </c>
      <c r="AA269" s="105">
        <v>0.54500000000000004</v>
      </c>
      <c r="AB269" s="106">
        <f>3/347</f>
        <v>8.6455331412103754E-3</v>
      </c>
      <c r="AC269" s="106">
        <v>0</v>
      </c>
      <c r="AD269" s="106">
        <f>222/347</f>
        <v>0.63976945244956773</v>
      </c>
      <c r="AE269" s="106">
        <v>0</v>
      </c>
      <c r="AF269" s="106">
        <v>0</v>
      </c>
      <c r="AG269" s="106">
        <f>122/347</f>
        <v>0.35158501440922191</v>
      </c>
      <c r="AH269" s="106">
        <v>0</v>
      </c>
      <c r="AI269" s="106">
        <f>225/347</f>
        <v>0.64841498559077815</v>
      </c>
      <c r="AJ269" s="105">
        <v>0.85590778097982712</v>
      </c>
      <c r="AK269" s="105">
        <v>0</v>
      </c>
      <c r="AL269" s="12">
        <v>46</v>
      </c>
      <c r="AM269" s="12">
        <v>55</v>
      </c>
      <c r="AN269" s="12">
        <v>30</v>
      </c>
      <c r="AO269" s="12">
        <v>29</v>
      </c>
      <c r="AP269" s="12">
        <v>53</v>
      </c>
      <c r="AQ269" s="12">
        <v>47</v>
      </c>
      <c r="AR269" s="12">
        <v>32</v>
      </c>
      <c r="AS269" s="59">
        <v>0.50847457627118642</v>
      </c>
      <c r="AT269" s="3">
        <v>6</v>
      </c>
      <c r="AU269" s="3">
        <v>6</v>
      </c>
      <c r="AV269" s="54">
        <v>61.728395061728392</v>
      </c>
      <c r="AW269" s="54">
        <v>30.864197530864196</v>
      </c>
      <c r="AX269" s="54">
        <v>7.4074074074074066</v>
      </c>
      <c r="AY269" s="68">
        <v>0</v>
      </c>
      <c r="AZ269" s="59">
        <v>0.41984732824427479</v>
      </c>
      <c r="BA269" s="59">
        <v>4.3716577540106952E-2</v>
      </c>
      <c r="BB269" s="81">
        <v>96</v>
      </c>
      <c r="BC269" s="49">
        <v>16.793893129771</v>
      </c>
      <c r="BD269" s="49">
        <v>2</v>
      </c>
      <c r="BE269" s="49">
        <v>0</v>
      </c>
      <c r="BF269" s="49">
        <v>2.1</v>
      </c>
      <c r="BG269" s="49">
        <v>0</v>
      </c>
      <c r="BH269" s="49">
        <v>0</v>
      </c>
      <c r="BI269" s="49">
        <v>3</v>
      </c>
      <c r="BJ269" s="85">
        <v>17.399999999999999</v>
      </c>
      <c r="BK269" s="129">
        <v>12175</v>
      </c>
      <c r="BL269" s="129">
        <v>44867</v>
      </c>
      <c r="BM269" s="129">
        <v>41577</v>
      </c>
      <c r="BN269" s="129">
        <v>34102</v>
      </c>
      <c r="BO269" s="59">
        <v>0</v>
      </c>
      <c r="BP269" s="59">
        <v>0.36830000000000002</v>
      </c>
      <c r="BQ269" s="59">
        <v>0.1018</v>
      </c>
      <c r="BR269" s="59">
        <v>1.7999999999999999E-2</v>
      </c>
      <c r="BS269" s="59">
        <v>0</v>
      </c>
      <c r="BT269" s="49">
        <v>14.8</v>
      </c>
      <c r="BU269" s="59">
        <f t="shared" si="20"/>
        <v>0.48810000000000003</v>
      </c>
      <c r="BV269" s="59">
        <v>1.7999999999999999E-2</v>
      </c>
      <c r="BW269" s="59">
        <v>1.7999999999999999E-2</v>
      </c>
      <c r="BX269" s="59">
        <v>5.8700000000000002E-2</v>
      </c>
      <c r="BY269" s="59">
        <v>0</v>
      </c>
      <c r="BZ269" s="59">
        <v>0</v>
      </c>
      <c r="CA269" s="49">
        <v>22</v>
      </c>
      <c r="CB269" s="59">
        <f t="shared" si="21"/>
        <v>9.4700000000000006E-2</v>
      </c>
      <c r="CC269" s="59">
        <v>0.36230000000000001</v>
      </c>
      <c r="CD269" s="125">
        <v>0.4229</v>
      </c>
      <c r="CE269" s="125">
        <v>0.19670000000000001</v>
      </c>
      <c r="CF269" s="125">
        <v>1.7999999999999999E-2</v>
      </c>
      <c r="CG269" s="125">
        <v>0</v>
      </c>
      <c r="CH269" s="85">
        <v>16</v>
      </c>
      <c r="CI269" s="39" t="s">
        <v>402</v>
      </c>
      <c r="CJ269" s="18" t="s">
        <v>80</v>
      </c>
      <c r="CK269" s="20"/>
    </row>
    <row r="270" spans="1:89" x14ac:dyDescent="0.25">
      <c r="A270" s="18" t="s">
        <v>80</v>
      </c>
      <c r="B270" s="19" t="s">
        <v>403</v>
      </c>
      <c r="C270" s="39" t="s">
        <v>404</v>
      </c>
      <c r="D270" s="40">
        <v>14</v>
      </c>
      <c r="E270" s="40">
        <v>1</v>
      </c>
      <c r="F270" s="40">
        <v>13</v>
      </c>
      <c r="G270" s="166">
        <v>1</v>
      </c>
      <c r="H270" s="166">
        <v>0</v>
      </c>
      <c r="I270" s="166">
        <v>0</v>
      </c>
      <c r="J270" s="166">
        <v>1</v>
      </c>
      <c r="K270" s="166">
        <v>6</v>
      </c>
      <c r="L270" s="166">
        <v>3</v>
      </c>
      <c r="M270" s="166">
        <v>3</v>
      </c>
      <c r="N270" s="119">
        <v>6.6985645933014398E-2</v>
      </c>
      <c r="O270" s="119">
        <v>0.10655737704918</v>
      </c>
      <c r="P270" s="119">
        <v>0.02</v>
      </c>
      <c r="Q270" s="119">
        <v>0</v>
      </c>
      <c r="R270" s="119">
        <v>0</v>
      </c>
      <c r="S270" s="119">
        <v>3.125E-2</v>
      </c>
      <c r="T270" s="119">
        <v>0.146341463414634</v>
      </c>
      <c r="U270" s="119">
        <v>9.6774193548387094E-2</v>
      </c>
      <c r="V270" s="119">
        <v>0.17647058823529399</v>
      </c>
      <c r="W270" s="40">
        <v>478</v>
      </c>
      <c r="X270" s="40">
        <f t="shared" si="18"/>
        <v>108</v>
      </c>
      <c r="Y270" s="40">
        <f t="shared" si="19"/>
        <v>173</v>
      </c>
      <c r="Z270" s="105">
        <v>0.49199999999999999</v>
      </c>
      <c r="AA270" s="105">
        <v>0.50800000000000001</v>
      </c>
      <c r="AB270" s="106">
        <v>0</v>
      </c>
      <c r="AC270" s="106">
        <f>6/478</f>
        <v>1.2552301255230125E-2</v>
      </c>
      <c r="AD270" s="106">
        <f>84/478</f>
        <v>0.17573221757322174</v>
      </c>
      <c r="AE270" s="106">
        <f>12/478</f>
        <v>2.5104602510460251E-2</v>
      </c>
      <c r="AF270" s="106">
        <v>0</v>
      </c>
      <c r="AG270" s="106">
        <f>370/478</f>
        <v>0.77405857740585771</v>
      </c>
      <c r="AH270" s="106">
        <f>6/478</f>
        <v>1.2552301255230125E-2</v>
      </c>
      <c r="AI270" s="106">
        <f>108/478</f>
        <v>0.22594142259414227</v>
      </c>
      <c r="AJ270" s="105">
        <v>0.67154811715481166</v>
      </c>
      <c r="AK270" s="105">
        <v>0</v>
      </c>
      <c r="AL270" s="12">
        <v>38</v>
      </c>
      <c r="AM270" s="12">
        <v>27</v>
      </c>
      <c r="AN270" s="12">
        <v>1</v>
      </c>
      <c r="AO270" s="12">
        <v>31</v>
      </c>
      <c r="AP270" s="12">
        <v>33</v>
      </c>
      <c r="AQ270" s="12">
        <v>28</v>
      </c>
      <c r="AR270" s="12">
        <v>15</v>
      </c>
      <c r="AS270" s="59">
        <v>3.125E-2</v>
      </c>
      <c r="AT270" s="3">
        <v>1</v>
      </c>
      <c r="AU270" s="3">
        <v>6</v>
      </c>
      <c r="AV270" s="54">
        <v>70.119521912350606</v>
      </c>
      <c r="AW270" s="54">
        <v>25.89641434262948</v>
      </c>
      <c r="AX270" s="54">
        <v>1.9920318725099602</v>
      </c>
      <c r="AY270" s="68">
        <v>1.9920318725099602</v>
      </c>
      <c r="AZ270" s="59">
        <v>3.4798075764423876E-2</v>
      </c>
      <c r="BA270" s="59">
        <v>5.8715596330275233E-2</v>
      </c>
      <c r="BB270" s="77">
        <v>94.385838559554301</v>
      </c>
      <c r="BC270" s="49">
        <v>23.091603053435101</v>
      </c>
      <c r="BD270" s="49">
        <v>2.5</v>
      </c>
      <c r="BE270" s="93">
        <v>0</v>
      </c>
      <c r="BF270" s="49">
        <v>3.8</v>
      </c>
      <c r="BG270" s="49">
        <v>3.8</v>
      </c>
      <c r="BH270" s="49">
        <v>3.8</v>
      </c>
      <c r="BI270" s="49">
        <v>0</v>
      </c>
      <c r="BJ270" s="85">
        <v>18.5</v>
      </c>
      <c r="BK270" s="129">
        <v>10771</v>
      </c>
      <c r="BL270" s="129">
        <v>54903</v>
      </c>
      <c r="BM270" s="129">
        <v>50448</v>
      </c>
      <c r="BN270" s="129">
        <v>40926</v>
      </c>
      <c r="BO270" s="59">
        <v>0</v>
      </c>
      <c r="BP270" s="59">
        <v>0.41170000000000001</v>
      </c>
      <c r="BQ270" s="59">
        <v>0.1061</v>
      </c>
      <c r="BR270" s="59">
        <v>0</v>
      </c>
      <c r="BS270" s="59">
        <v>0</v>
      </c>
      <c r="BT270" s="49">
        <v>14.5</v>
      </c>
      <c r="BU270" s="59">
        <f t="shared" si="20"/>
        <v>0.51780000000000004</v>
      </c>
      <c r="BV270" s="59">
        <v>3.4299999999999997E-2</v>
      </c>
      <c r="BW270" s="59">
        <v>0</v>
      </c>
      <c r="BX270" s="59">
        <v>2.9700000000000001E-2</v>
      </c>
      <c r="BY270" s="59">
        <v>0</v>
      </c>
      <c r="BZ270" s="59">
        <v>0</v>
      </c>
      <c r="CA270" s="49">
        <v>11.1</v>
      </c>
      <c r="CB270" s="59">
        <f t="shared" si="21"/>
        <v>6.4000000000000001E-2</v>
      </c>
      <c r="CC270" s="59">
        <v>0.41199999999999998</v>
      </c>
      <c r="CD270" s="125">
        <v>0.4289</v>
      </c>
      <c r="CE270" s="125">
        <v>0.15920000000000001</v>
      </c>
      <c r="CF270" s="125">
        <v>0</v>
      </c>
      <c r="CG270" s="125">
        <v>0</v>
      </c>
      <c r="CH270" s="85">
        <v>12.7</v>
      </c>
      <c r="CI270" s="39" t="s">
        <v>404</v>
      </c>
      <c r="CJ270" s="18" t="s">
        <v>80</v>
      </c>
      <c r="CK270" s="20"/>
    </row>
    <row r="271" spans="1:89" x14ac:dyDescent="0.25">
      <c r="A271" s="18" t="s">
        <v>80</v>
      </c>
      <c r="B271" s="19" t="s">
        <v>403</v>
      </c>
      <c r="C271" s="39" t="s">
        <v>405</v>
      </c>
      <c r="D271" s="40">
        <v>33</v>
      </c>
      <c r="E271" s="40" t="s">
        <v>83</v>
      </c>
      <c r="F271" s="40">
        <v>33</v>
      </c>
      <c r="G271" s="162" t="s">
        <v>83</v>
      </c>
      <c r="H271" s="162" t="s">
        <v>83</v>
      </c>
      <c r="I271" s="166">
        <v>0</v>
      </c>
      <c r="J271" s="166">
        <v>5</v>
      </c>
      <c r="K271" s="166">
        <v>6</v>
      </c>
      <c r="L271" s="166">
        <v>12</v>
      </c>
      <c r="M271" s="166">
        <v>10</v>
      </c>
      <c r="N271" s="119">
        <v>3.6105032822757101E-2</v>
      </c>
      <c r="O271" s="119">
        <v>3.6105032822757101E-2</v>
      </c>
      <c r="P271" s="116" t="s">
        <v>83</v>
      </c>
      <c r="Q271" s="116" t="s">
        <v>83</v>
      </c>
      <c r="R271" s="119">
        <v>0</v>
      </c>
      <c r="S271" s="119">
        <v>2.14592274678112E-2</v>
      </c>
      <c r="T271" s="119">
        <v>2.6905829596412599E-2</v>
      </c>
      <c r="U271" s="119">
        <v>5.8252427184466E-2</v>
      </c>
      <c r="V271" s="119">
        <v>4.4247787610619503E-2</v>
      </c>
      <c r="W271" s="40">
        <v>846</v>
      </c>
      <c r="X271" s="40">
        <f t="shared" si="18"/>
        <v>846</v>
      </c>
      <c r="Y271" s="40">
        <f t="shared" si="19"/>
        <v>846</v>
      </c>
      <c r="Z271" s="105">
        <v>0.51100000000000001</v>
      </c>
      <c r="AA271" s="105">
        <v>0.48899999999999999</v>
      </c>
      <c r="AB271" s="106">
        <v>0</v>
      </c>
      <c r="AC271" s="106">
        <f>1/846</f>
        <v>1.1820330969267139E-3</v>
      </c>
      <c r="AD271" s="106">
        <f>480/846</f>
        <v>0.56737588652482274</v>
      </c>
      <c r="AE271" s="106">
        <f>8/846</f>
        <v>9.4562647754137114E-3</v>
      </c>
      <c r="AF271" s="106">
        <v>0</v>
      </c>
      <c r="AG271" s="106">
        <f>355/846</f>
        <v>0.41962174940898345</v>
      </c>
      <c r="AH271" s="106">
        <f>2/846</f>
        <v>2.3640661938534278E-3</v>
      </c>
      <c r="AI271" s="106">
        <f>491/846</f>
        <v>0.58037825059101655</v>
      </c>
      <c r="AJ271" s="105">
        <v>0.64657210401891252</v>
      </c>
      <c r="AK271" s="105">
        <v>2E-3</v>
      </c>
      <c r="AL271" s="12">
        <v>0</v>
      </c>
      <c r="AM271" s="12">
        <v>0</v>
      </c>
      <c r="AN271" s="12">
        <v>25</v>
      </c>
      <c r="AO271" s="12">
        <v>213</v>
      </c>
      <c r="AP271" s="12">
        <v>207</v>
      </c>
      <c r="AQ271" s="12">
        <v>191</v>
      </c>
      <c r="AR271" s="12">
        <v>210</v>
      </c>
      <c r="AS271" s="59">
        <v>0.10504201680672269</v>
      </c>
      <c r="AT271" s="3">
        <v>9</v>
      </c>
      <c r="AU271" s="3">
        <v>6</v>
      </c>
      <c r="AV271" s="54">
        <v>61.097852028639622</v>
      </c>
      <c r="AW271" s="54">
        <v>14.081145584725538</v>
      </c>
      <c r="AX271" s="54">
        <v>16.2291169451074</v>
      </c>
      <c r="AY271" s="68">
        <v>8.5918854415274453</v>
      </c>
      <c r="AZ271" s="59">
        <v>3.2834838969704606E-2</v>
      </c>
      <c r="BA271" s="59">
        <v>8.1382385730211823E-2</v>
      </c>
      <c r="BB271" s="76">
        <v>91.839412474974097</v>
      </c>
      <c r="BC271" s="49">
        <v>26.644370122630999</v>
      </c>
      <c r="BD271" s="90" t="s">
        <v>83</v>
      </c>
      <c r="BE271" s="90" t="s">
        <v>83</v>
      </c>
      <c r="BF271" s="49">
        <v>6.1</v>
      </c>
      <c r="BG271" s="49">
        <v>4.7</v>
      </c>
      <c r="BH271" s="49">
        <v>3.4</v>
      </c>
      <c r="BI271" s="49">
        <v>5.4</v>
      </c>
      <c r="BJ271" s="85">
        <v>17.600000000000001</v>
      </c>
      <c r="BK271" s="129">
        <v>10788</v>
      </c>
      <c r="BL271" s="129">
        <v>56545</v>
      </c>
      <c r="BM271" s="129">
        <v>46500</v>
      </c>
      <c r="BN271" s="129">
        <v>44450</v>
      </c>
      <c r="BO271" s="59">
        <v>0</v>
      </c>
      <c r="BP271" s="59">
        <v>0.3407</v>
      </c>
      <c r="BQ271" s="59">
        <v>0.21410000000000001</v>
      </c>
      <c r="BR271" s="59">
        <v>0</v>
      </c>
      <c r="BS271" s="59">
        <v>1.0699999999999999E-2</v>
      </c>
      <c r="BT271" s="49">
        <v>16</v>
      </c>
      <c r="BU271" s="59">
        <f t="shared" si="20"/>
        <v>0.5655</v>
      </c>
      <c r="BV271" s="59">
        <v>3.2099999999999997E-2</v>
      </c>
      <c r="BW271" s="59">
        <v>0</v>
      </c>
      <c r="BX271" s="59">
        <v>3.2099999999999997E-2</v>
      </c>
      <c r="BY271" s="59">
        <v>0</v>
      </c>
      <c r="BZ271" s="59">
        <v>0</v>
      </c>
      <c r="CA271" s="49">
        <v>16</v>
      </c>
      <c r="CB271" s="59">
        <f t="shared" si="21"/>
        <v>6.4199999999999993E-2</v>
      </c>
      <c r="CC271" s="59">
        <v>0.33829999999999999</v>
      </c>
      <c r="CD271" s="125">
        <v>0.37280000000000002</v>
      </c>
      <c r="CE271" s="125">
        <v>0.2782</v>
      </c>
      <c r="CF271" s="125">
        <v>0</v>
      </c>
      <c r="CG271" s="125">
        <v>1.0699999999999999E-2</v>
      </c>
      <c r="CH271" s="85">
        <v>14</v>
      </c>
      <c r="CI271" s="39" t="s">
        <v>405</v>
      </c>
      <c r="CJ271" s="18" t="s">
        <v>80</v>
      </c>
      <c r="CK271" s="20"/>
    </row>
    <row r="272" spans="1:89" x14ac:dyDescent="0.25">
      <c r="A272" s="18" t="s">
        <v>80</v>
      </c>
      <c r="B272" s="19" t="s">
        <v>403</v>
      </c>
      <c r="C272" s="39" t="s">
        <v>406</v>
      </c>
      <c r="D272" s="40">
        <v>7</v>
      </c>
      <c r="E272" s="40">
        <v>1</v>
      </c>
      <c r="F272" s="40">
        <v>6</v>
      </c>
      <c r="G272" s="166">
        <v>1</v>
      </c>
      <c r="H272" s="166">
        <v>0</v>
      </c>
      <c r="I272" s="166">
        <v>0</v>
      </c>
      <c r="J272" s="166">
        <v>1</v>
      </c>
      <c r="K272" s="166">
        <v>5</v>
      </c>
      <c r="L272" s="166">
        <v>0</v>
      </c>
      <c r="M272" s="166">
        <v>0</v>
      </c>
      <c r="N272" s="119">
        <v>1.34615384615385E-2</v>
      </c>
      <c r="O272" s="119">
        <v>1.94174757281553E-2</v>
      </c>
      <c r="P272" s="119">
        <v>9.0090090090090107E-3</v>
      </c>
      <c r="Q272" s="119">
        <v>0</v>
      </c>
      <c r="R272" s="119">
        <v>0</v>
      </c>
      <c r="S272" s="119">
        <v>1.1494252873563199E-2</v>
      </c>
      <c r="T272" s="119">
        <v>6.1728395061728399E-2</v>
      </c>
      <c r="U272" s="119">
        <v>0</v>
      </c>
      <c r="V272" s="119">
        <v>0</v>
      </c>
      <c r="W272" s="40">
        <v>483</v>
      </c>
      <c r="X272" s="40">
        <f t="shared" si="18"/>
        <v>289</v>
      </c>
      <c r="Y272" s="40">
        <f t="shared" si="19"/>
        <v>483</v>
      </c>
      <c r="Z272" s="105">
        <v>0.499</v>
      </c>
      <c r="AA272" s="105">
        <v>0.501</v>
      </c>
      <c r="AB272" s="106">
        <f>1/483</f>
        <v>2.070393374741201E-3</v>
      </c>
      <c r="AC272" s="106">
        <v>0</v>
      </c>
      <c r="AD272" s="106">
        <f>157/483</f>
        <v>0.32505175983436851</v>
      </c>
      <c r="AE272" s="106">
        <f>11/483</f>
        <v>2.2774327122153208E-2</v>
      </c>
      <c r="AF272" s="106">
        <v>0</v>
      </c>
      <c r="AG272" s="106">
        <f>307/483</f>
        <v>0.63561076604554867</v>
      </c>
      <c r="AH272" s="106">
        <f>7/483</f>
        <v>1.4492753623188406E-2</v>
      </c>
      <c r="AI272" s="106">
        <f>176/483</f>
        <v>0.36438923395445133</v>
      </c>
      <c r="AJ272" s="105">
        <v>0.56107660455486541</v>
      </c>
      <c r="AK272" s="105">
        <v>2E-3</v>
      </c>
      <c r="AL272" s="12">
        <v>102</v>
      </c>
      <c r="AM272" s="12">
        <v>92</v>
      </c>
      <c r="AN272" s="12">
        <v>4</v>
      </c>
      <c r="AO272" s="12">
        <v>82</v>
      </c>
      <c r="AP272" s="12">
        <v>74</v>
      </c>
      <c r="AQ272" s="12">
        <v>67</v>
      </c>
      <c r="AR272" s="12">
        <v>62</v>
      </c>
      <c r="AS272" s="59">
        <v>4.6511627906976744E-2</v>
      </c>
      <c r="AT272" s="3">
        <v>7</v>
      </c>
      <c r="AU272" s="3">
        <v>6</v>
      </c>
      <c r="AV272" s="54">
        <v>60.493827160493829</v>
      </c>
      <c r="AW272" s="54">
        <v>10.699588477366255</v>
      </c>
      <c r="AX272" s="54">
        <v>25.514403292181072</v>
      </c>
      <c r="AY272" s="68">
        <v>3.2921810699588478</v>
      </c>
      <c r="AZ272" s="59">
        <v>0.21042471042471042</v>
      </c>
      <c r="BA272" s="59">
        <v>0.10810810810810811</v>
      </c>
      <c r="BB272" s="77">
        <v>93.645388054903407</v>
      </c>
      <c r="BC272" s="49">
        <v>8.8803088803088794</v>
      </c>
      <c r="BD272" s="49">
        <v>0</v>
      </c>
      <c r="BE272" s="49">
        <v>1.1000000000000001</v>
      </c>
      <c r="BF272" s="49">
        <v>0</v>
      </c>
      <c r="BG272" s="49">
        <v>1.5</v>
      </c>
      <c r="BH272" s="49">
        <v>4.7</v>
      </c>
      <c r="BI272" s="49">
        <v>0</v>
      </c>
      <c r="BJ272" s="85">
        <v>19</v>
      </c>
      <c r="BK272" s="129">
        <v>8940</v>
      </c>
      <c r="BL272" s="129">
        <v>56821</v>
      </c>
      <c r="BM272" s="129">
        <v>48102</v>
      </c>
      <c r="BN272" s="129">
        <v>42099</v>
      </c>
      <c r="BO272" s="59">
        <v>0</v>
      </c>
      <c r="BP272" s="59">
        <v>0.25950000000000001</v>
      </c>
      <c r="BQ272" s="59">
        <v>0.23080000000000001</v>
      </c>
      <c r="BR272" s="59">
        <v>0</v>
      </c>
      <c r="BS272" s="59">
        <v>0</v>
      </c>
      <c r="BT272" s="49">
        <v>15.8</v>
      </c>
      <c r="BU272" s="59">
        <f t="shared" si="20"/>
        <v>0.49030000000000001</v>
      </c>
      <c r="BV272" s="59">
        <v>4.4400000000000002E-2</v>
      </c>
      <c r="BW272" s="59">
        <v>0</v>
      </c>
      <c r="BX272" s="59">
        <v>4.4400000000000002E-2</v>
      </c>
      <c r="BY272" s="59">
        <v>0</v>
      </c>
      <c r="BZ272" s="59">
        <v>0</v>
      </c>
      <c r="CA272" s="49">
        <v>13.8</v>
      </c>
      <c r="CB272" s="59">
        <f t="shared" si="21"/>
        <v>8.8800000000000004E-2</v>
      </c>
      <c r="CC272" s="59">
        <v>0.39889999999999998</v>
      </c>
      <c r="CD272" s="125">
        <v>0.30380000000000001</v>
      </c>
      <c r="CE272" s="125">
        <v>0.29730000000000001</v>
      </c>
      <c r="CF272" s="125">
        <v>0</v>
      </c>
      <c r="CG272" s="125">
        <v>0</v>
      </c>
      <c r="CH272" s="85">
        <v>14.9</v>
      </c>
      <c r="CI272" s="39" t="s">
        <v>406</v>
      </c>
      <c r="CJ272" s="18" t="s">
        <v>80</v>
      </c>
      <c r="CK272" s="20"/>
    </row>
    <row r="273" spans="1:99" x14ac:dyDescent="0.25">
      <c r="A273" s="18" t="s">
        <v>80</v>
      </c>
      <c r="B273" s="19" t="s">
        <v>403</v>
      </c>
      <c r="C273" s="39" t="s">
        <v>407</v>
      </c>
      <c r="D273" s="40">
        <v>14</v>
      </c>
      <c r="E273" s="40" t="s">
        <v>83</v>
      </c>
      <c r="F273" s="40">
        <v>14</v>
      </c>
      <c r="G273" s="162" t="s">
        <v>83</v>
      </c>
      <c r="H273" s="162" t="s">
        <v>83</v>
      </c>
      <c r="I273" s="162" t="s">
        <v>83</v>
      </c>
      <c r="J273" s="166">
        <v>2</v>
      </c>
      <c r="K273" s="166">
        <v>5</v>
      </c>
      <c r="L273" s="166">
        <v>3</v>
      </c>
      <c r="M273" s="166">
        <v>4</v>
      </c>
      <c r="N273" s="119">
        <v>2.2801302931596101E-2</v>
      </c>
      <c r="O273" s="119">
        <v>2.2801302931596101E-2</v>
      </c>
      <c r="P273" s="116" t="s">
        <v>83</v>
      </c>
      <c r="Q273" s="116" t="s">
        <v>83</v>
      </c>
      <c r="R273" s="116" t="s">
        <v>83</v>
      </c>
      <c r="S273" s="119">
        <v>1.0928961748633901E-2</v>
      </c>
      <c r="T273" s="119">
        <v>2.8571428571428598E-2</v>
      </c>
      <c r="U273" s="119">
        <v>2.2556390977443601E-2</v>
      </c>
      <c r="V273" s="119">
        <v>3.2520325203252001E-2</v>
      </c>
      <c r="W273" s="40">
        <v>547</v>
      </c>
      <c r="X273" s="40">
        <f t="shared" si="18"/>
        <v>547</v>
      </c>
      <c r="Y273" s="40">
        <f t="shared" si="19"/>
        <v>547</v>
      </c>
      <c r="Z273" s="105">
        <v>0.47399999999999998</v>
      </c>
      <c r="AA273" s="105">
        <v>0.52700000000000002</v>
      </c>
      <c r="AB273" s="106">
        <f>2/547</f>
        <v>3.6563071297989031E-3</v>
      </c>
      <c r="AC273" s="106">
        <f>1/547</f>
        <v>1.8281535648994515E-3</v>
      </c>
      <c r="AD273" s="106">
        <f>220/547</f>
        <v>0.40219378427787933</v>
      </c>
      <c r="AE273" s="106">
        <f>6/547</f>
        <v>1.0968921389396709E-2</v>
      </c>
      <c r="AF273" s="106">
        <v>0</v>
      </c>
      <c r="AG273" s="106">
        <f>316/547</f>
        <v>0.57769652650822667</v>
      </c>
      <c r="AH273" s="106">
        <f>2/547</f>
        <v>3.6563071297989031E-3</v>
      </c>
      <c r="AI273" s="106">
        <f>231/547</f>
        <v>0.42230347349177333</v>
      </c>
      <c r="AJ273" s="105">
        <v>0.61243144424131624</v>
      </c>
      <c r="AK273" s="105">
        <v>0</v>
      </c>
      <c r="AL273" s="12">
        <v>0</v>
      </c>
      <c r="AM273" s="12">
        <v>0</v>
      </c>
      <c r="AN273" s="12">
        <v>0</v>
      </c>
      <c r="AO273" s="12">
        <v>157</v>
      </c>
      <c r="AP273" s="12">
        <v>153</v>
      </c>
      <c r="AQ273" s="12">
        <v>120</v>
      </c>
      <c r="AR273" s="12">
        <v>117</v>
      </c>
      <c r="AS273" s="59">
        <v>0</v>
      </c>
      <c r="AT273" s="3">
        <v>9</v>
      </c>
      <c r="AU273" s="3">
        <v>6</v>
      </c>
      <c r="AV273" s="54">
        <v>59.055118110236215</v>
      </c>
      <c r="AW273" s="54">
        <v>20.866141732283463</v>
      </c>
      <c r="AX273" s="54">
        <v>19.685039370078741</v>
      </c>
      <c r="AY273" s="68">
        <v>0.39370078740157477</v>
      </c>
      <c r="AZ273" s="59">
        <v>0.20723684210526316</v>
      </c>
      <c r="BA273" s="59">
        <v>0.15953947368421054</v>
      </c>
      <c r="BB273" s="76">
        <v>91.600058519764801</v>
      </c>
      <c r="BC273" s="49">
        <v>29.769736842105299</v>
      </c>
      <c r="BD273" s="90" t="s">
        <v>83</v>
      </c>
      <c r="BE273" s="90" t="s">
        <v>83</v>
      </c>
      <c r="BF273" s="49">
        <v>0.7</v>
      </c>
      <c r="BG273" s="49">
        <v>2.1</v>
      </c>
      <c r="BH273" s="49">
        <v>1.8</v>
      </c>
      <c r="BI273" s="49">
        <v>1.8</v>
      </c>
      <c r="BJ273" s="85">
        <v>18.3</v>
      </c>
      <c r="BK273" s="129">
        <v>10125</v>
      </c>
      <c r="BL273" s="129">
        <v>56865</v>
      </c>
      <c r="BM273" s="129">
        <v>52923</v>
      </c>
      <c r="BN273" s="129">
        <v>43450</v>
      </c>
      <c r="BO273" s="59">
        <v>0</v>
      </c>
      <c r="BP273" s="59">
        <v>0.25619999999999998</v>
      </c>
      <c r="BQ273" s="59">
        <v>0.27289999999999998</v>
      </c>
      <c r="BR273" s="59">
        <v>0</v>
      </c>
      <c r="BS273" s="59">
        <v>0</v>
      </c>
      <c r="BT273" s="49">
        <v>14.9</v>
      </c>
      <c r="BU273" s="59">
        <f t="shared" si="20"/>
        <v>0.5290999999999999</v>
      </c>
      <c r="BV273" s="59">
        <v>3.3500000000000002E-2</v>
      </c>
      <c r="BW273" s="59">
        <v>0</v>
      </c>
      <c r="BX273" s="59">
        <v>5.0200000000000002E-2</v>
      </c>
      <c r="BY273" s="59">
        <v>0</v>
      </c>
      <c r="BZ273" s="59">
        <v>0</v>
      </c>
      <c r="CA273" s="49">
        <v>14.2</v>
      </c>
      <c r="CB273" s="59">
        <f t="shared" si="21"/>
        <v>8.3699999999999997E-2</v>
      </c>
      <c r="CC273" s="59">
        <v>0.38719999999999999</v>
      </c>
      <c r="CD273" s="125">
        <v>0.25619999999999998</v>
      </c>
      <c r="CE273" s="125">
        <v>0.35659999999999997</v>
      </c>
      <c r="CF273" s="125">
        <v>0</v>
      </c>
      <c r="CG273" s="125">
        <v>0</v>
      </c>
      <c r="CH273" s="85">
        <v>12.9</v>
      </c>
      <c r="CI273" s="39" t="s">
        <v>407</v>
      </c>
      <c r="CJ273" s="18" t="s">
        <v>80</v>
      </c>
      <c r="CK273" s="20"/>
    </row>
    <row r="274" spans="1:99" x14ac:dyDescent="0.25">
      <c r="A274" s="18" t="s">
        <v>80</v>
      </c>
      <c r="B274" s="19" t="s">
        <v>408</v>
      </c>
      <c r="C274" s="39" t="s">
        <v>409</v>
      </c>
      <c r="D274" s="40">
        <v>21</v>
      </c>
      <c r="E274" s="40" t="s">
        <v>83</v>
      </c>
      <c r="F274" s="40">
        <v>21</v>
      </c>
      <c r="G274" s="162" t="s">
        <v>83</v>
      </c>
      <c r="H274" s="162" t="s">
        <v>83</v>
      </c>
      <c r="I274" s="166">
        <v>0</v>
      </c>
      <c r="J274" s="166">
        <v>7</v>
      </c>
      <c r="K274" s="166">
        <v>6</v>
      </c>
      <c r="L274" s="166">
        <v>6</v>
      </c>
      <c r="M274" s="166">
        <v>2</v>
      </c>
      <c r="N274" s="119">
        <v>3.3816425120772903E-2</v>
      </c>
      <c r="O274" s="119">
        <v>3.3816425120772903E-2</v>
      </c>
      <c r="P274" s="116" t="s">
        <v>83</v>
      </c>
      <c r="Q274" s="116" t="s">
        <v>83</v>
      </c>
      <c r="R274" s="119">
        <v>0</v>
      </c>
      <c r="S274" s="119">
        <v>4.5161290322580601E-2</v>
      </c>
      <c r="T274" s="119">
        <v>3.3707865168539297E-2</v>
      </c>
      <c r="U274" s="119">
        <v>3.94736842105263E-2</v>
      </c>
      <c r="V274" s="119">
        <v>1.5625E-2</v>
      </c>
      <c r="W274" s="40">
        <v>592</v>
      </c>
      <c r="X274" s="40">
        <f t="shared" si="18"/>
        <v>592</v>
      </c>
      <c r="Y274" s="40">
        <f t="shared" si="19"/>
        <v>592</v>
      </c>
      <c r="Z274" s="105">
        <v>0.46600000000000003</v>
      </c>
      <c r="AA274" s="105">
        <v>0.53400000000000003</v>
      </c>
      <c r="AB274" s="106">
        <f>1/592</f>
        <v>1.6891891891891893E-3</v>
      </c>
      <c r="AC274" s="106">
        <f>3/592</f>
        <v>5.0675675675675678E-3</v>
      </c>
      <c r="AD274" s="106">
        <f>215/592</f>
        <v>0.36317567567567566</v>
      </c>
      <c r="AE274" s="106">
        <f>19/592</f>
        <v>3.2094594594594593E-2</v>
      </c>
      <c r="AF274" s="106">
        <v>0</v>
      </c>
      <c r="AG274" s="106">
        <f>354/592</f>
        <v>0.59797297297297303</v>
      </c>
      <c r="AH274" s="106">
        <v>0</v>
      </c>
      <c r="AI274" s="106">
        <f>238/592</f>
        <v>0.40202702702702703</v>
      </c>
      <c r="AJ274" s="105">
        <v>0.44256756756756754</v>
      </c>
      <c r="AK274" s="105">
        <v>3.0000000000000001E-3</v>
      </c>
      <c r="AL274" s="12">
        <v>0</v>
      </c>
      <c r="AM274" s="12">
        <v>0</v>
      </c>
      <c r="AN274" s="12">
        <v>12</v>
      </c>
      <c r="AO274" s="12">
        <v>140</v>
      </c>
      <c r="AP274" s="12">
        <v>170</v>
      </c>
      <c r="AQ274" s="12">
        <v>148</v>
      </c>
      <c r="AR274" s="12">
        <v>122</v>
      </c>
      <c r="AS274" s="59">
        <v>7.8947368421052627E-2</v>
      </c>
      <c r="AT274" s="3">
        <v>9</v>
      </c>
      <c r="AU274" s="3">
        <v>6</v>
      </c>
      <c r="AV274" s="54">
        <v>74.380165289256198</v>
      </c>
      <c r="AW274" s="54">
        <v>18.732782369146005</v>
      </c>
      <c r="AX274" s="54">
        <v>6.6115702479338845</v>
      </c>
      <c r="AY274" s="68">
        <v>0.27548209366391185</v>
      </c>
      <c r="AZ274" s="59">
        <v>6.0457516339869281E-2</v>
      </c>
      <c r="BA274" s="59">
        <v>1.6306546203800457E-2</v>
      </c>
      <c r="BB274" s="76">
        <v>94.550182913684097</v>
      </c>
      <c r="BC274" s="49">
        <v>21.568627450980401</v>
      </c>
      <c r="BD274" s="90" t="s">
        <v>83</v>
      </c>
      <c r="BE274" s="90" t="s">
        <v>83</v>
      </c>
      <c r="BF274" s="49">
        <v>11.1</v>
      </c>
      <c r="BG274" s="49">
        <v>4.5</v>
      </c>
      <c r="BH274" s="49">
        <v>1.5</v>
      </c>
      <c r="BI274" s="49">
        <v>0.9</v>
      </c>
      <c r="BJ274" s="85">
        <v>20.6</v>
      </c>
      <c r="BK274" s="129">
        <v>12169</v>
      </c>
      <c r="BL274" s="129">
        <v>51905</v>
      </c>
      <c r="BM274" s="129">
        <v>52351</v>
      </c>
      <c r="BN274" s="129">
        <v>45504</v>
      </c>
      <c r="BO274" s="59">
        <v>0</v>
      </c>
      <c r="BP274" s="59">
        <v>0.41360000000000002</v>
      </c>
      <c r="BQ274" s="59">
        <v>0.24690000000000001</v>
      </c>
      <c r="BR274" s="59">
        <v>0</v>
      </c>
      <c r="BS274" s="59">
        <v>1.54E-2</v>
      </c>
      <c r="BT274" s="49">
        <v>15.3</v>
      </c>
      <c r="BU274" s="59">
        <f t="shared" si="20"/>
        <v>0.67590000000000006</v>
      </c>
      <c r="BV274" s="59">
        <v>3.09E-2</v>
      </c>
      <c r="BW274" s="59">
        <v>0</v>
      </c>
      <c r="BX274" s="59">
        <v>4.6300000000000001E-2</v>
      </c>
      <c r="BY274" s="59">
        <v>0</v>
      </c>
      <c r="BZ274" s="59">
        <v>0</v>
      </c>
      <c r="CA274" s="49">
        <v>21</v>
      </c>
      <c r="CB274" s="59">
        <f t="shared" si="21"/>
        <v>7.7200000000000005E-2</v>
      </c>
      <c r="CC274" s="59">
        <v>0.216</v>
      </c>
      <c r="CD274" s="125">
        <v>0.44450000000000001</v>
      </c>
      <c r="CE274" s="125">
        <v>0.3241</v>
      </c>
      <c r="CF274" s="125">
        <v>0</v>
      </c>
      <c r="CG274" s="125">
        <v>1.54E-2</v>
      </c>
      <c r="CH274" s="85">
        <v>14.9</v>
      </c>
      <c r="CI274" s="39" t="s">
        <v>409</v>
      </c>
      <c r="CJ274" s="18" t="s">
        <v>80</v>
      </c>
      <c r="CK274" s="20"/>
    </row>
    <row r="275" spans="1:99" x14ac:dyDescent="0.25">
      <c r="A275" s="18" t="s">
        <v>80</v>
      </c>
      <c r="B275" s="19" t="s">
        <v>408</v>
      </c>
      <c r="C275" s="39" t="s">
        <v>410</v>
      </c>
      <c r="D275" s="40">
        <v>23</v>
      </c>
      <c r="E275" s="40" t="s">
        <v>83</v>
      </c>
      <c r="F275" s="40">
        <v>23</v>
      </c>
      <c r="G275" s="162" t="s">
        <v>83</v>
      </c>
      <c r="H275" s="162" t="s">
        <v>83</v>
      </c>
      <c r="I275" s="166">
        <v>0</v>
      </c>
      <c r="J275" s="166">
        <v>12</v>
      </c>
      <c r="K275" s="166">
        <v>3</v>
      </c>
      <c r="L275" s="166">
        <v>4</v>
      </c>
      <c r="M275" s="166">
        <v>4</v>
      </c>
      <c r="N275" s="119">
        <v>4.60921843687375E-2</v>
      </c>
      <c r="O275" s="119">
        <v>4.60921843687375E-2</v>
      </c>
      <c r="P275" s="116" t="s">
        <v>83</v>
      </c>
      <c r="Q275" s="116" t="s">
        <v>83</v>
      </c>
      <c r="R275" s="119">
        <v>0</v>
      </c>
      <c r="S275" s="119">
        <v>6.7796610169491497E-2</v>
      </c>
      <c r="T275" s="119">
        <v>2.80373831775701E-2</v>
      </c>
      <c r="U275" s="119">
        <v>3.7383177570093497E-2</v>
      </c>
      <c r="V275" s="119">
        <v>4.1666666666666699E-2</v>
      </c>
      <c r="W275" s="40">
        <v>445</v>
      </c>
      <c r="X275" s="40">
        <f t="shared" si="18"/>
        <v>445</v>
      </c>
      <c r="Y275" s="40">
        <f t="shared" si="19"/>
        <v>445</v>
      </c>
      <c r="Z275" s="105">
        <v>0.44700000000000001</v>
      </c>
      <c r="AA275" s="105">
        <v>0.55300000000000005</v>
      </c>
      <c r="AB275" s="106">
        <v>0</v>
      </c>
      <c r="AC275" s="106">
        <v>0</v>
      </c>
      <c r="AD275" s="106">
        <f>321/445</f>
        <v>0.72134831460674154</v>
      </c>
      <c r="AE275" s="106">
        <f>8/445</f>
        <v>1.7977528089887642E-2</v>
      </c>
      <c r="AF275" s="106">
        <v>0</v>
      </c>
      <c r="AG275" s="106">
        <f>116/445</f>
        <v>0.26067415730337079</v>
      </c>
      <c r="AH275" s="106">
        <v>0</v>
      </c>
      <c r="AI275" s="106">
        <f>329/445</f>
        <v>0.73932584269662927</v>
      </c>
      <c r="AJ275" s="105">
        <v>0.74831460674157302</v>
      </c>
      <c r="AK275" s="105">
        <v>2E-3</v>
      </c>
      <c r="AL275" s="12">
        <v>0</v>
      </c>
      <c r="AM275" s="12">
        <v>0</v>
      </c>
      <c r="AN275" s="12">
        <v>13</v>
      </c>
      <c r="AO275" s="12">
        <v>146</v>
      </c>
      <c r="AP275" s="12">
        <v>100</v>
      </c>
      <c r="AQ275" s="12">
        <v>101</v>
      </c>
      <c r="AR275" s="12">
        <v>85</v>
      </c>
      <c r="AS275" s="59">
        <v>8.1761006289308172E-2</v>
      </c>
      <c r="AT275" s="3">
        <v>9</v>
      </c>
      <c r="AU275" s="3">
        <v>6</v>
      </c>
      <c r="AV275" s="54">
        <v>80.06872852233677</v>
      </c>
      <c r="AW275" s="54">
        <v>14.776632302405499</v>
      </c>
      <c r="AX275" s="54">
        <v>5.1546391752577314</v>
      </c>
      <c r="AY275" s="68">
        <v>0</v>
      </c>
      <c r="AZ275" s="59">
        <v>0.3515151515151515</v>
      </c>
      <c r="BA275" s="59">
        <v>1.0679873290620078E-2</v>
      </c>
      <c r="BB275" s="77">
        <v>91.405926717743299</v>
      </c>
      <c r="BC275" s="49">
        <v>44.064386317907399</v>
      </c>
      <c r="BD275" s="90" t="s">
        <v>83</v>
      </c>
      <c r="BE275" s="90" t="s">
        <v>83</v>
      </c>
      <c r="BF275" s="49">
        <v>3</v>
      </c>
      <c r="BG275" s="49">
        <v>3.3</v>
      </c>
      <c r="BH275" s="49">
        <v>1.2</v>
      </c>
      <c r="BI275" s="49">
        <v>9.6</v>
      </c>
      <c r="BJ275" s="85">
        <v>17.600000000000001</v>
      </c>
      <c r="BK275" s="129">
        <v>14112</v>
      </c>
      <c r="BL275" s="129">
        <v>48327</v>
      </c>
      <c r="BM275" s="129">
        <v>48063</v>
      </c>
      <c r="BN275" s="129">
        <v>40449</v>
      </c>
      <c r="BO275" s="59">
        <v>0</v>
      </c>
      <c r="BP275" s="59">
        <v>0.38550000000000001</v>
      </c>
      <c r="BQ275" s="59">
        <v>0.2109</v>
      </c>
      <c r="BR275" s="59">
        <v>1.5100000000000001E-2</v>
      </c>
      <c r="BS275" s="59">
        <v>1.5100000000000001E-2</v>
      </c>
      <c r="BT275" s="49">
        <v>8.9</v>
      </c>
      <c r="BU275" s="59">
        <f t="shared" si="20"/>
        <v>0.62660000000000005</v>
      </c>
      <c r="BV275" s="59">
        <v>3.0099999999999998E-2</v>
      </c>
      <c r="BW275" s="59">
        <v>0</v>
      </c>
      <c r="BX275" s="59">
        <v>3.0099999999999998E-2</v>
      </c>
      <c r="BY275" s="59">
        <v>0</v>
      </c>
      <c r="BZ275" s="59">
        <v>0</v>
      </c>
      <c r="CA275" s="49">
        <v>14.3</v>
      </c>
      <c r="CB275" s="59">
        <f t="shared" si="21"/>
        <v>6.0199999999999997E-2</v>
      </c>
      <c r="CC275" s="59">
        <v>0.27289999999999998</v>
      </c>
      <c r="CD275" s="125">
        <v>0.4108</v>
      </c>
      <c r="CE275" s="125">
        <v>0.27110000000000001</v>
      </c>
      <c r="CF275" s="125">
        <v>1.5100000000000001E-2</v>
      </c>
      <c r="CG275" s="125">
        <v>3.0099999999999998E-2</v>
      </c>
      <c r="CH275" s="85">
        <v>9.1</v>
      </c>
      <c r="CI275" s="39" t="s">
        <v>410</v>
      </c>
      <c r="CJ275" s="18" t="s">
        <v>80</v>
      </c>
      <c r="CK275" s="20"/>
    </row>
    <row r="276" spans="1:99" x14ac:dyDescent="0.25">
      <c r="A276" s="18" t="s">
        <v>80</v>
      </c>
      <c r="B276" s="19" t="s">
        <v>411</v>
      </c>
      <c r="C276" s="39" t="s">
        <v>412</v>
      </c>
      <c r="D276" s="40">
        <v>4</v>
      </c>
      <c r="E276" s="40">
        <v>0</v>
      </c>
      <c r="F276" s="40">
        <v>4</v>
      </c>
      <c r="G276" s="166">
        <v>0</v>
      </c>
      <c r="H276" s="166">
        <v>0</v>
      </c>
      <c r="I276" s="166">
        <v>0</v>
      </c>
      <c r="J276" s="166">
        <v>2</v>
      </c>
      <c r="K276" s="166">
        <v>2</v>
      </c>
      <c r="L276" s="166">
        <v>0</v>
      </c>
      <c r="M276" s="166">
        <v>0</v>
      </c>
      <c r="N276" s="119">
        <v>3.0769230769230799E-2</v>
      </c>
      <c r="O276" s="119">
        <v>4.5977011494252901E-2</v>
      </c>
      <c r="P276" s="119">
        <v>0</v>
      </c>
      <c r="Q276" s="119">
        <v>0</v>
      </c>
      <c r="R276" s="119">
        <v>0</v>
      </c>
      <c r="S276" s="119">
        <v>8.6956521739130405E-2</v>
      </c>
      <c r="T276" s="119">
        <v>7.69230769230769E-2</v>
      </c>
      <c r="U276" s="119">
        <v>0</v>
      </c>
      <c r="V276" s="119">
        <v>0</v>
      </c>
      <c r="W276" s="40">
        <v>295</v>
      </c>
      <c r="X276" s="40">
        <f t="shared" si="18"/>
        <v>77</v>
      </c>
      <c r="Y276" s="40">
        <f t="shared" si="19"/>
        <v>115</v>
      </c>
      <c r="Z276" s="105">
        <v>0.45400000000000001</v>
      </c>
      <c r="AA276" s="105">
        <v>0.54600000000000004</v>
      </c>
      <c r="AB276" s="106">
        <v>0</v>
      </c>
      <c r="AC276" s="106">
        <f>1/295</f>
        <v>3.3898305084745762E-3</v>
      </c>
      <c r="AD276" s="106">
        <f>108/295</f>
        <v>0.36610169491525424</v>
      </c>
      <c r="AE276" s="106">
        <f>3/295</f>
        <v>1.0169491525423728E-2</v>
      </c>
      <c r="AF276" s="106">
        <v>0</v>
      </c>
      <c r="AG276" s="106">
        <f>180/295</f>
        <v>0.61016949152542377</v>
      </c>
      <c r="AH276" s="106">
        <f>3/295</f>
        <v>1.0169491525423728E-2</v>
      </c>
      <c r="AI276" s="106">
        <f>115/295</f>
        <v>0.38983050847457629</v>
      </c>
      <c r="AJ276" s="105">
        <v>0.87118644067796613</v>
      </c>
      <c r="AK276" s="105">
        <v>0.01</v>
      </c>
      <c r="AL276" s="12">
        <v>20</v>
      </c>
      <c r="AM276" s="12">
        <v>18</v>
      </c>
      <c r="AN276" s="12">
        <v>5</v>
      </c>
      <c r="AO276" s="12">
        <v>19</v>
      </c>
      <c r="AP276" s="12">
        <v>23</v>
      </c>
      <c r="AQ276" s="12">
        <v>17</v>
      </c>
      <c r="AR276" s="12">
        <v>13</v>
      </c>
      <c r="AS276" s="59">
        <v>0.20833333333333334</v>
      </c>
      <c r="AT276" s="3">
        <v>1</v>
      </c>
      <c r="AU276" s="3">
        <v>6</v>
      </c>
      <c r="AV276" s="54">
        <v>84.507042253521121</v>
      </c>
      <c r="AW276" s="54">
        <v>10.56338028169014</v>
      </c>
      <c r="AX276" s="54">
        <v>4.929577464788732</v>
      </c>
      <c r="AY276" s="68">
        <v>0</v>
      </c>
      <c r="AZ276" s="59">
        <v>4.3854588580493986E-2</v>
      </c>
      <c r="BA276" s="59">
        <v>5.3521126760563378E-2</v>
      </c>
      <c r="BB276" s="76">
        <v>93.279722161034798</v>
      </c>
      <c r="BC276" s="49">
        <v>29.4478527607362</v>
      </c>
      <c r="BD276" s="93">
        <v>0</v>
      </c>
      <c r="BE276" s="49">
        <v>5.9</v>
      </c>
      <c r="BF276" s="49">
        <v>0</v>
      </c>
      <c r="BG276" s="49">
        <v>0</v>
      </c>
      <c r="BH276" s="49">
        <v>0</v>
      </c>
      <c r="BI276" s="49">
        <v>0</v>
      </c>
      <c r="BJ276" s="85">
        <v>18.2</v>
      </c>
      <c r="BK276" s="129">
        <v>11022</v>
      </c>
      <c r="BL276" s="129">
        <v>48652</v>
      </c>
      <c r="BM276" s="129">
        <v>48017</v>
      </c>
      <c r="BN276" s="129">
        <v>37759</v>
      </c>
      <c r="BO276" s="59">
        <v>0</v>
      </c>
      <c r="BP276" s="59">
        <v>0.30709999999999998</v>
      </c>
      <c r="BQ276" s="59">
        <v>0.25729999999999997</v>
      </c>
      <c r="BR276" s="59">
        <v>0</v>
      </c>
      <c r="BS276" s="59">
        <v>0</v>
      </c>
      <c r="BT276" s="49">
        <v>13.3</v>
      </c>
      <c r="BU276" s="59">
        <f t="shared" si="20"/>
        <v>0.56440000000000001</v>
      </c>
      <c r="BV276" s="59">
        <v>2.5700000000000001E-2</v>
      </c>
      <c r="BW276" s="59">
        <v>0</v>
      </c>
      <c r="BX276" s="59">
        <v>2.5700000000000001E-2</v>
      </c>
      <c r="BY276" s="59">
        <v>0</v>
      </c>
      <c r="BZ276" s="59">
        <v>0</v>
      </c>
      <c r="CA276" s="49">
        <v>14.5</v>
      </c>
      <c r="CB276" s="59">
        <f t="shared" si="21"/>
        <v>5.1400000000000001E-2</v>
      </c>
      <c r="CC276" s="59">
        <v>0.40989999999999999</v>
      </c>
      <c r="CD276" s="125">
        <v>0.30709999999999998</v>
      </c>
      <c r="CE276" s="125">
        <v>0.28310000000000002</v>
      </c>
      <c r="CF276" s="125">
        <v>0</v>
      </c>
      <c r="CG276" s="125">
        <v>0</v>
      </c>
      <c r="CH276" s="85">
        <v>14.3</v>
      </c>
      <c r="CI276" s="39" t="s">
        <v>412</v>
      </c>
      <c r="CJ276" s="18" t="s">
        <v>80</v>
      </c>
      <c r="CK276" s="20"/>
    </row>
    <row r="277" spans="1:99" x14ac:dyDescent="0.25">
      <c r="A277" s="18" t="s">
        <v>80</v>
      </c>
      <c r="B277" s="19" t="s">
        <v>411</v>
      </c>
      <c r="C277" s="39" t="s">
        <v>413</v>
      </c>
      <c r="D277" s="40">
        <v>7</v>
      </c>
      <c r="E277" s="40">
        <v>1</v>
      </c>
      <c r="F277" s="40">
        <v>6</v>
      </c>
      <c r="G277" s="166">
        <v>0</v>
      </c>
      <c r="H277" s="166">
        <v>1</v>
      </c>
      <c r="I277" s="166">
        <v>0</v>
      </c>
      <c r="J277" s="166">
        <v>0</v>
      </c>
      <c r="K277" s="166">
        <v>2</v>
      </c>
      <c r="L277" s="166">
        <v>3</v>
      </c>
      <c r="M277" s="166">
        <v>1</v>
      </c>
      <c r="N277" s="119">
        <v>2.5735294117647099E-2</v>
      </c>
      <c r="O277" s="119">
        <v>3.6809815950920199E-2</v>
      </c>
      <c r="P277" s="119">
        <v>0</v>
      </c>
      <c r="Q277" s="119">
        <v>1.9230769230769201E-2</v>
      </c>
      <c r="R277" s="119">
        <v>0</v>
      </c>
      <c r="S277" s="119">
        <v>0</v>
      </c>
      <c r="T277" s="119">
        <v>0.05</v>
      </c>
      <c r="U277" s="119">
        <v>7.69230769230769E-2</v>
      </c>
      <c r="V277" s="119">
        <v>2.7777777777777801E-2</v>
      </c>
      <c r="W277" s="40">
        <v>563</v>
      </c>
      <c r="X277" s="40">
        <f t="shared" si="18"/>
        <v>146</v>
      </c>
      <c r="Y277" s="40">
        <f t="shared" si="19"/>
        <v>238</v>
      </c>
      <c r="Z277" s="105">
        <v>0.47299999999999998</v>
      </c>
      <c r="AA277" s="105">
        <v>0.52800000000000002</v>
      </c>
      <c r="AB277" s="106">
        <v>0</v>
      </c>
      <c r="AC277" s="106">
        <v>0</v>
      </c>
      <c r="AD277" s="106">
        <f>53/563</f>
        <v>9.4138543516873896E-2</v>
      </c>
      <c r="AE277" s="106">
        <f>18/563</f>
        <v>3.1971580817051509E-2</v>
      </c>
      <c r="AF277" s="106">
        <v>0</v>
      </c>
      <c r="AG277" s="106">
        <f>491/563</f>
        <v>0.87211367673179396</v>
      </c>
      <c r="AH277" s="106">
        <f>1/563</f>
        <v>1.7761989342806395E-3</v>
      </c>
      <c r="AI277" s="106">
        <f>72/563</f>
        <v>0.12788632326820604</v>
      </c>
      <c r="AJ277" s="105">
        <v>0.7619893428063943</v>
      </c>
      <c r="AK277" s="105">
        <v>1.2E-2</v>
      </c>
      <c r="AL277" s="12">
        <v>46</v>
      </c>
      <c r="AM277" s="12">
        <v>46</v>
      </c>
      <c r="AN277" s="12">
        <v>1</v>
      </c>
      <c r="AO277" s="12">
        <v>44</v>
      </c>
      <c r="AP277" s="12">
        <v>32</v>
      </c>
      <c r="AQ277" s="12">
        <v>34</v>
      </c>
      <c r="AR277" s="12">
        <v>35</v>
      </c>
      <c r="AS277" s="59">
        <v>2.2222222222222223E-2</v>
      </c>
      <c r="AT277" s="3">
        <v>1</v>
      </c>
      <c r="AU277" s="3">
        <v>6</v>
      </c>
      <c r="AV277" s="54">
        <v>75.769230769230774</v>
      </c>
      <c r="AW277" s="54">
        <v>22.30769230769231</v>
      </c>
      <c r="AX277" s="54">
        <v>0.76923076923076927</v>
      </c>
      <c r="AY277" s="68">
        <v>1.153846153846154</v>
      </c>
      <c r="AZ277" s="59">
        <v>7.8582434514637908E-2</v>
      </c>
      <c r="BA277" s="59">
        <v>2.6677204074464348E-3</v>
      </c>
      <c r="BB277" s="81">
        <v>96</v>
      </c>
      <c r="BC277" s="49">
        <v>23.6666666666667</v>
      </c>
      <c r="BD277" s="49">
        <v>0</v>
      </c>
      <c r="BE277" s="49">
        <v>6.4</v>
      </c>
      <c r="BF277" s="49">
        <v>2.2999999999999998</v>
      </c>
      <c r="BG277" s="49">
        <v>3.3</v>
      </c>
      <c r="BH277" s="49">
        <v>0</v>
      </c>
      <c r="BI277" s="49">
        <v>5.7</v>
      </c>
      <c r="BJ277" s="85">
        <v>20.2</v>
      </c>
      <c r="BK277" s="129">
        <v>10488</v>
      </c>
      <c r="BL277" s="129">
        <v>50576</v>
      </c>
      <c r="BM277" s="129">
        <v>43786</v>
      </c>
      <c r="BN277" s="129">
        <v>37062</v>
      </c>
      <c r="BO277" s="59">
        <v>0</v>
      </c>
      <c r="BP277" s="59">
        <v>0.22700000000000001</v>
      </c>
      <c r="BQ277" s="59">
        <v>0.25609999999999999</v>
      </c>
      <c r="BR277" s="59">
        <v>1.3899999999999999E-2</v>
      </c>
      <c r="BS277" s="59">
        <v>0</v>
      </c>
      <c r="BT277" s="49">
        <v>18.100000000000001</v>
      </c>
      <c r="BU277" s="59">
        <f t="shared" si="20"/>
        <v>0.497</v>
      </c>
      <c r="BV277" s="59">
        <v>2.7799999999999998E-2</v>
      </c>
      <c r="BW277" s="59">
        <v>0</v>
      </c>
      <c r="BX277" s="59">
        <v>2.7400000000000001E-2</v>
      </c>
      <c r="BY277" s="59">
        <v>0</v>
      </c>
      <c r="BZ277" s="59">
        <v>0</v>
      </c>
      <c r="CA277" s="49">
        <v>20.3</v>
      </c>
      <c r="CB277" s="59">
        <f t="shared" si="21"/>
        <v>5.5199999999999999E-2</v>
      </c>
      <c r="CC277" s="59">
        <v>0.40589999999999998</v>
      </c>
      <c r="CD277" s="125">
        <v>0.28270000000000001</v>
      </c>
      <c r="CE277" s="125">
        <v>0.2974</v>
      </c>
      <c r="CF277" s="125">
        <v>1.3899999999999999E-2</v>
      </c>
      <c r="CG277" s="125">
        <v>0</v>
      </c>
      <c r="CH277" s="85">
        <v>15.2</v>
      </c>
      <c r="CI277" s="39" t="s">
        <v>413</v>
      </c>
      <c r="CJ277" s="18" t="s">
        <v>80</v>
      </c>
      <c r="CK277" s="20"/>
    </row>
    <row r="278" spans="1:99" x14ac:dyDescent="0.25">
      <c r="A278" s="18" t="s">
        <v>80</v>
      </c>
      <c r="B278" s="19" t="s">
        <v>411</v>
      </c>
      <c r="C278" s="39" t="s">
        <v>414</v>
      </c>
      <c r="D278" s="40">
        <v>3</v>
      </c>
      <c r="E278" s="40">
        <v>0</v>
      </c>
      <c r="F278" s="40">
        <v>3</v>
      </c>
      <c r="G278" s="166">
        <v>0</v>
      </c>
      <c r="H278" s="166">
        <v>0</v>
      </c>
      <c r="I278" s="166">
        <v>0</v>
      </c>
      <c r="J278" s="166">
        <v>2</v>
      </c>
      <c r="K278" s="166">
        <v>1</v>
      </c>
      <c r="L278" s="166">
        <v>0</v>
      </c>
      <c r="M278" s="166">
        <v>0</v>
      </c>
      <c r="N278" s="119">
        <v>2.0270270270270299E-2</v>
      </c>
      <c r="O278" s="119">
        <v>3.2608695652173898E-2</v>
      </c>
      <c r="P278" s="119">
        <v>0</v>
      </c>
      <c r="Q278" s="119">
        <v>0</v>
      </c>
      <c r="R278" s="119">
        <v>0</v>
      </c>
      <c r="S278" s="119">
        <v>8.3333333333333301E-2</v>
      </c>
      <c r="T278" s="119">
        <v>4.1666666666666699E-2</v>
      </c>
      <c r="U278" s="119">
        <v>0</v>
      </c>
      <c r="V278" s="119">
        <v>0</v>
      </c>
      <c r="W278" s="40">
        <v>356</v>
      </c>
      <c r="X278" s="40">
        <f t="shared" si="18"/>
        <v>84</v>
      </c>
      <c r="Y278" s="40">
        <f t="shared" si="19"/>
        <v>137</v>
      </c>
      <c r="Z278" s="105">
        <v>0.497</v>
      </c>
      <c r="AA278" s="105">
        <v>0.503</v>
      </c>
      <c r="AB278" s="106">
        <v>0</v>
      </c>
      <c r="AC278" s="106">
        <v>0</v>
      </c>
      <c r="AD278" s="106">
        <f>45/356</f>
        <v>0.12640449438202248</v>
      </c>
      <c r="AE278" s="106">
        <f>8/356</f>
        <v>2.247191011235955E-2</v>
      </c>
      <c r="AF278" s="106">
        <v>0</v>
      </c>
      <c r="AG278" s="106">
        <f>296/356</f>
        <v>0.8314606741573034</v>
      </c>
      <c r="AH278" s="106">
        <f>7/356</f>
        <v>1.9662921348314606E-2</v>
      </c>
      <c r="AI278" s="106">
        <f>60/356</f>
        <v>0.16853932584269662</v>
      </c>
      <c r="AJ278" s="105">
        <v>0.6713483146067416</v>
      </c>
      <c r="AK278" s="105">
        <v>1.7000000000000001E-2</v>
      </c>
      <c r="AL278" s="12">
        <v>25</v>
      </c>
      <c r="AM278" s="12">
        <v>28</v>
      </c>
      <c r="AN278" s="12">
        <v>3</v>
      </c>
      <c r="AO278" s="12">
        <v>21</v>
      </c>
      <c r="AP278" s="12">
        <v>22</v>
      </c>
      <c r="AQ278" s="12">
        <v>14</v>
      </c>
      <c r="AR278" s="12">
        <v>24</v>
      </c>
      <c r="AS278" s="59">
        <v>0.125</v>
      </c>
      <c r="AT278" s="3">
        <v>1</v>
      </c>
      <c r="AU278" s="3">
        <v>6</v>
      </c>
      <c r="AV278" s="54">
        <v>77.89473684210526</v>
      </c>
      <c r="AW278" s="54">
        <v>12.105263157894736</v>
      </c>
      <c r="AX278" s="54">
        <v>7.3684210526315779</v>
      </c>
      <c r="AY278" s="68">
        <v>2.6315789473684208</v>
      </c>
      <c r="AZ278" s="59">
        <v>4.8974457465424018E-2</v>
      </c>
      <c r="BA278" s="59">
        <v>2.5310408846778484E-2</v>
      </c>
      <c r="BB278" s="81">
        <v>96</v>
      </c>
      <c r="BC278" s="49">
        <v>16.931216931216898</v>
      </c>
      <c r="BD278" s="49">
        <v>4.5</v>
      </c>
      <c r="BE278" s="93">
        <v>0</v>
      </c>
      <c r="BF278" s="49">
        <v>0</v>
      </c>
      <c r="BG278" s="49">
        <v>0</v>
      </c>
      <c r="BH278" s="49">
        <v>0</v>
      </c>
      <c r="BI278" s="49">
        <v>0</v>
      </c>
      <c r="BJ278" s="85">
        <v>19.2</v>
      </c>
      <c r="BK278" s="129">
        <v>10296</v>
      </c>
      <c r="BL278" s="129">
        <v>48495</v>
      </c>
      <c r="BM278" s="129">
        <v>26124</v>
      </c>
      <c r="BN278" s="129">
        <v>37447</v>
      </c>
      <c r="BO278" s="59">
        <v>0</v>
      </c>
      <c r="BP278" s="59">
        <v>0.37209999999999999</v>
      </c>
      <c r="BQ278" s="59">
        <v>0.18659999999999999</v>
      </c>
      <c r="BR278" s="59">
        <v>0</v>
      </c>
      <c r="BS278" s="59">
        <v>0</v>
      </c>
      <c r="BT278" s="49">
        <v>15.4</v>
      </c>
      <c r="BU278" s="59">
        <f t="shared" si="20"/>
        <v>0.55869999999999997</v>
      </c>
      <c r="BV278" s="59">
        <v>2.3800000000000002E-2</v>
      </c>
      <c r="BW278" s="59">
        <v>0</v>
      </c>
      <c r="BX278" s="59">
        <v>2.3800000000000002E-2</v>
      </c>
      <c r="BY278" s="59">
        <v>0</v>
      </c>
      <c r="BZ278" s="59">
        <v>0</v>
      </c>
      <c r="CA278" s="49">
        <v>33.5</v>
      </c>
      <c r="CB278" s="59">
        <f t="shared" si="21"/>
        <v>4.7600000000000003E-2</v>
      </c>
      <c r="CC278" s="59">
        <v>0.33850000000000002</v>
      </c>
      <c r="CD278" s="125">
        <v>0.4511</v>
      </c>
      <c r="CE278" s="125">
        <v>0.2104</v>
      </c>
      <c r="CF278" s="125">
        <v>0</v>
      </c>
      <c r="CG278" s="125">
        <v>0</v>
      </c>
      <c r="CH278" s="85">
        <v>14.2</v>
      </c>
      <c r="CI278" s="39" t="s">
        <v>414</v>
      </c>
      <c r="CJ278" s="18" t="s">
        <v>80</v>
      </c>
      <c r="CK278" s="20"/>
    </row>
    <row r="279" spans="1:99" x14ac:dyDescent="0.25">
      <c r="A279" s="18" t="s">
        <v>80</v>
      </c>
      <c r="B279" s="19" t="s">
        <v>411</v>
      </c>
      <c r="C279" s="39" t="s">
        <v>415</v>
      </c>
      <c r="D279" s="40">
        <v>0</v>
      </c>
      <c r="E279" s="40">
        <v>0</v>
      </c>
      <c r="F279" s="40">
        <v>0</v>
      </c>
      <c r="G279" s="166">
        <v>0</v>
      </c>
      <c r="H279" s="166">
        <v>0</v>
      </c>
      <c r="I279" s="166">
        <v>0</v>
      </c>
      <c r="J279" s="166">
        <v>0</v>
      </c>
      <c r="K279" s="166">
        <v>0</v>
      </c>
      <c r="L279" s="166">
        <v>0</v>
      </c>
      <c r="M279" s="166">
        <v>0</v>
      </c>
      <c r="N279" s="119">
        <v>0</v>
      </c>
      <c r="O279" s="119">
        <v>0</v>
      </c>
      <c r="P279" s="119">
        <v>0</v>
      </c>
      <c r="Q279" s="119">
        <v>0</v>
      </c>
      <c r="R279" s="119">
        <v>0</v>
      </c>
      <c r="S279" s="119">
        <v>0</v>
      </c>
      <c r="T279" s="119">
        <v>0</v>
      </c>
      <c r="U279" s="119">
        <v>0</v>
      </c>
      <c r="V279" s="119">
        <v>0</v>
      </c>
      <c r="W279" s="40">
        <v>448</v>
      </c>
      <c r="X279" s="40">
        <f t="shared" si="18"/>
        <v>227</v>
      </c>
      <c r="Y279" s="40">
        <f t="shared" si="19"/>
        <v>378</v>
      </c>
      <c r="Z279" s="105">
        <v>0.442</v>
      </c>
      <c r="AA279" s="105">
        <v>0.55800000000000005</v>
      </c>
      <c r="AB279" s="106">
        <v>0</v>
      </c>
      <c r="AC279" s="106">
        <f>3/448</f>
        <v>6.6964285714285711E-3</v>
      </c>
      <c r="AD279" s="106">
        <f>88/448</f>
        <v>0.19642857142857142</v>
      </c>
      <c r="AE279" s="106">
        <f>10/448</f>
        <v>2.2321428571428572E-2</v>
      </c>
      <c r="AF279" s="106">
        <v>0</v>
      </c>
      <c r="AG279" s="106">
        <f>347/448</f>
        <v>0.7745535714285714</v>
      </c>
      <c r="AH279" s="106">
        <v>0</v>
      </c>
      <c r="AI279" s="106">
        <f>101/448</f>
        <v>0.22544642857142858</v>
      </c>
      <c r="AJ279" s="105">
        <v>0.6763392857142857</v>
      </c>
      <c r="AK279" s="105">
        <v>7.0000000000000001E-3</v>
      </c>
      <c r="AL279" s="12">
        <v>83</v>
      </c>
      <c r="AM279" s="12">
        <v>68</v>
      </c>
      <c r="AN279" s="12">
        <v>3</v>
      </c>
      <c r="AO279" s="12">
        <v>60</v>
      </c>
      <c r="AP279" s="12">
        <v>62</v>
      </c>
      <c r="AQ279" s="12">
        <v>52</v>
      </c>
      <c r="AR279" s="12">
        <v>50</v>
      </c>
      <c r="AS279" s="59">
        <v>4.7619047619047616E-2</v>
      </c>
      <c r="AT279" s="3">
        <v>6</v>
      </c>
      <c r="AU279" s="3">
        <v>6</v>
      </c>
      <c r="AV279" s="54">
        <v>72.489082969432317</v>
      </c>
      <c r="AW279" s="54">
        <v>17.030567685589521</v>
      </c>
      <c r="AX279" s="54">
        <v>9.1703056768558966</v>
      </c>
      <c r="AY279" s="68">
        <v>1.3100436681222707</v>
      </c>
      <c r="AZ279" s="59">
        <v>0.11627906976744186</v>
      </c>
      <c r="BA279" s="59">
        <v>3.9314138212267861E-3</v>
      </c>
      <c r="BB279" s="81">
        <v>96</v>
      </c>
      <c r="BC279" s="49">
        <v>19.450317124735701</v>
      </c>
      <c r="BD279" s="49">
        <v>8.8000000000000007</v>
      </c>
      <c r="BE279" s="49">
        <v>9.1</v>
      </c>
      <c r="BF279" s="49">
        <v>6</v>
      </c>
      <c r="BG279" s="49">
        <v>0</v>
      </c>
      <c r="BH279" s="49">
        <v>3.9</v>
      </c>
      <c r="BI279" s="49">
        <v>0</v>
      </c>
      <c r="BJ279" s="85">
        <v>20.9</v>
      </c>
      <c r="BK279" s="129">
        <v>9560</v>
      </c>
      <c r="BL279" s="129">
        <v>49354</v>
      </c>
      <c r="BM279" s="129">
        <v>42826</v>
      </c>
      <c r="BN279" s="129">
        <v>37236</v>
      </c>
      <c r="BO279" s="59">
        <v>0</v>
      </c>
      <c r="BP279" s="59">
        <v>0.34110000000000001</v>
      </c>
      <c r="BQ279" s="59">
        <v>0.14560000000000001</v>
      </c>
      <c r="BR279" s="59">
        <v>0</v>
      </c>
      <c r="BS279" s="59">
        <v>0</v>
      </c>
      <c r="BT279" s="49">
        <v>12.5</v>
      </c>
      <c r="BU279" s="59">
        <f t="shared" si="20"/>
        <v>0.48670000000000002</v>
      </c>
      <c r="BV279" s="59">
        <v>4.1300000000000003E-2</v>
      </c>
      <c r="BW279" s="59">
        <v>0</v>
      </c>
      <c r="BX279" s="59">
        <v>3.9899999999999998E-2</v>
      </c>
      <c r="BY279" s="59">
        <v>0</v>
      </c>
      <c r="BZ279" s="59">
        <v>0</v>
      </c>
      <c r="CA279" s="49">
        <v>20</v>
      </c>
      <c r="CB279" s="59">
        <f t="shared" si="21"/>
        <v>8.1199999999999994E-2</v>
      </c>
      <c r="CC279" s="59">
        <v>0.39439999999999997</v>
      </c>
      <c r="CD279" s="125">
        <v>0.37880000000000003</v>
      </c>
      <c r="CE279" s="125">
        <v>0.2268</v>
      </c>
      <c r="CF279" s="125">
        <v>0</v>
      </c>
      <c r="CG279" s="125">
        <v>0</v>
      </c>
      <c r="CH279" s="85">
        <v>13.6</v>
      </c>
      <c r="CI279" s="39" t="s">
        <v>415</v>
      </c>
      <c r="CJ279" s="18" t="s">
        <v>80</v>
      </c>
      <c r="CK279" s="20"/>
    </row>
    <row r="280" spans="1:99" x14ac:dyDescent="0.25">
      <c r="A280" s="18" t="s">
        <v>80</v>
      </c>
      <c r="B280" s="19" t="s">
        <v>416</v>
      </c>
      <c r="C280" s="39" t="s">
        <v>417</v>
      </c>
      <c r="D280" s="40">
        <v>11</v>
      </c>
      <c r="E280" s="40" t="s">
        <v>83</v>
      </c>
      <c r="F280" s="40">
        <v>11</v>
      </c>
      <c r="G280" s="162" t="s">
        <v>83</v>
      </c>
      <c r="H280" s="162" t="s">
        <v>83</v>
      </c>
      <c r="I280" s="166">
        <v>0</v>
      </c>
      <c r="J280" s="166">
        <v>3</v>
      </c>
      <c r="K280" s="166">
        <v>3</v>
      </c>
      <c r="L280" s="166">
        <v>4</v>
      </c>
      <c r="M280" s="166">
        <v>1</v>
      </c>
      <c r="N280" s="119">
        <v>1.7432646592709999E-2</v>
      </c>
      <c r="O280" s="119">
        <v>1.7432646592709999E-2</v>
      </c>
      <c r="P280" s="116" t="s">
        <v>83</v>
      </c>
      <c r="Q280" s="116" t="s">
        <v>83</v>
      </c>
      <c r="R280" s="119">
        <v>0</v>
      </c>
      <c r="S280" s="119">
        <v>1.60427807486631E-2</v>
      </c>
      <c r="T280" s="119">
        <v>1.8072289156626498E-2</v>
      </c>
      <c r="U280" s="119">
        <v>2.8776978417266199E-2</v>
      </c>
      <c r="V280" s="119">
        <v>7.8125E-3</v>
      </c>
      <c r="W280" s="40">
        <v>604</v>
      </c>
      <c r="X280" s="40">
        <f t="shared" si="18"/>
        <v>604</v>
      </c>
      <c r="Y280" s="40">
        <f t="shared" si="19"/>
        <v>604</v>
      </c>
      <c r="Z280" s="105">
        <v>0.48499999999999999</v>
      </c>
      <c r="AA280" s="105">
        <v>0.51500000000000001</v>
      </c>
      <c r="AB280" s="106">
        <v>0</v>
      </c>
      <c r="AC280" s="106">
        <f>2/604</f>
        <v>3.3112582781456954E-3</v>
      </c>
      <c r="AD280" s="106">
        <f>237/604</f>
        <v>0.39238410596026491</v>
      </c>
      <c r="AE280" s="106">
        <f>8/604</f>
        <v>1.3245033112582781E-2</v>
      </c>
      <c r="AF280" s="106">
        <v>0</v>
      </c>
      <c r="AG280" s="106">
        <f>355/604</f>
        <v>0.58774834437086088</v>
      </c>
      <c r="AH280" s="106">
        <f>2/604</f>
        <v>3.3112582781456954E-3</v>
      </c>
      <c r="AI280" s="106">
        <f>249/604</f>
        <v>0.41225165562913907</v>
      </c>
      <c r="AJ280" s="105">
        <v>0.45860927152317882</v>
      </c>
      <c r="AK280" s="105">
        <v>3.0000000000000001E-3</v>
      </c>
      <c r="AL280" s="12">
        <v>0</v>
      </c>
      <c r="AM280" s="12">
        <v>0</v>
      </c>
      <c r="AN280" s="12">
        <v>12</v>
      </c>
      <c r="AO280" s="12">
        <v>176</v>
      </c>
      <c r="AP280" s="12">
        <v>155</v>
      </c>
      <c r="AQ280" s="12">
        <v>132</v>
      </c>
      <c r="AR280" s="12">
        <v>129</v>
      </c>
      <c r="AS280" s="59">
        <v>6.3829787234042548E-2</v>
      </c>
      <c r="AT280" s="3">
        <v>9</v>
      </c>
      <c r="AU280" s="3">
        <v>6</v>
      </c>
      <c r="AV280" s="54">
        <v>67.514124293785315</v>
      </c>
      <c r="AW280" s="54">
        <v>24.858757062146893</v>
      </c>
      <c r="AX280" s="54">
        <v>7.6271186440677967</v>
      </c>
      <c r="AY280" s="68">
        <v>0</v>
      </c>
      <c r="AZ280" s="59">
        <v>7.32484076433121E-2</v>
      </c>
      <c r="BA280" s="59">
        <v>0.15445859872611464</v>
      </c>
      <c r="BB280" s="77">
        <v>94.501783838909802</v>
      </c>
      <c r="BC280" s="49">
        <v>0.95541401273885396</v>
      </c>
      <c r="BD280" s="90" t="s">
        <v>83</v>
      </c>
      <c r="BE280" s="90" t="s">
        <v>83</v>
      </c>
      <c r="BF280" s="49">
        <v>4.7</v>
      </c>
      <c r="BG280" s="49">
        <v>0.7</v>
      </c>
      <c r="BH280" s="49">
        <v>3.1</v>
      </c>
      <c r="BI280" s="49">
        <v>2.4</v>
      </c>
      <c r="BJ280" s="85">
        <v>20.5</v>
      </c>
      <c r="BK280" s="129">
        <v>13471</v>
      </c>
      <c r="BL280" s="129">
        <v>54018</v>
      </c>
      <c r="BM280" s="129">
        <v>61459</v>
      </c>
      <c r="BN280" s="129">
        <v>47715</v>
      </c>
      <c r="BO280" s="59">
        <v>0</v>
      </c>
      <c r="BP280" s="59">
        <v>0.28870000000000001</v>
      </c>
      <c r="BQ280" s="59">
        <v>0.2455</v>
      </c>
      <c r="BR280" s="59">
        <v>0</v>
      </c>
      <c r="BS280" s="59">
        <v>1.0500000000000001E-2</v>
      </c>
      <c r="BT280" s="49">
        <v>13</v>
      </c>
      <c r="BU280" s="59">
        <f t="shared" si="20"/>
        <v>0.54469999999999996</v>
      </c>
      <c r="BV280" s="59">
        <v>2.29E-2</v>
      </c>
      <c r="BW280" s="59">
        <v>1.15E-2</v>
      </c>
      <c r="BX280" s="59">
        <v>5.4899999999999997E-2</v>
      </c>
      <c r="BY280" s="59">
        <v>0</v>
      </c>
      <c r="BZ280" s="59">
        <v>0</v>
      </c>
      <c r="CA280" s="49">
        <v>19.399999999999999</v>
      </c>
      <c r="CB280" s="59">
        <f t="shared" si="21"/>
        <v>8.929999999999999E-2</v>
      </c>
      <c r="CC280" s="59">
        <v>0.26519999999999999</v>
      </c>
      <c r="CD280" s="125">
        <v>0.3367</v>
      </c>
      <c r="CE280" s="125">
        <v>0.3876</v>
      </c>
      <c r="CF280" s="125">
        <v>0</v>
      </c>
      <c r="CG280" s="125">
        <v>1.0500000000000001E-2</v>
      </c>
      <c r="CH280" s="85">
        <v>13.6</v>
      </c>
      <c r="CI280" s="39" t="s">
        <v>417</v>
      </c>
      <c r="CJ280" s="18" t="s">
        <v>80</v>
      </c>
      <c r="CK280" s="20"/>
    </row>
    <row r="281" spans="1:99" x14ac:dyDescent="0.25">
      <c r="A281" s="18" t="s">
        <v>80</v>
      </c>
      <c r="B281" s="19" t="s">
        <v>418</v>
      </c>
      <c r="C281" s="39" t="s">
        <v>419</v>
      </c>
      <c r="D281" s="40">
        <v>0</v>
      </c>
      <c r="E281" s="40">
        <v>0</v>
      </c>
      <c r="F281" s="40">
        <v>0</v>
      </c>
      <c r="G281" s="166">
        <v>0</v>
      </c>
      <c r="H281" s="166">
        <v>0</v>
      </c>
      <c r="I281" s="166">
        <v>0</v>
      </c>
      <c r="J281" s="166">
        <v>0</v>
      </c>
      <c r="K281" s="166">
        <v>0</v>
      </c>
      <c r="L281" s="166">
        <v>0</v>
      </c>
      <c r="M281" s="166">
        <v>0</v>
      </c>
      <c r="N281" s="119">
        <v>0</v>
      </c>
      <c r="O281" s="119">
        <v>0</v>
      </c>
      <c r="P281" s="119">
        <v>0</v>
      </c>
      <c r="Q281" s="119">
        <v>0</v>
      </c>
      <c r="R281" s="119">
        <v>0</v>
      </c>
      <c r="S281" s="119">
        <v>0</v>
      </c>
      <c r="T281" s="119">
        <v>0</v>
      </c>
      <c r="U281" s="119">
        <v>0</v>
      </c>
      <c r="V281" s="119">
        <v>0</v>
      </c>
      <c r="W281" s="40">
        <v>235</v>
      </c>
      <c r="X281" s="40">
        <f t="shared" si="18"/>
        <v>63</v>
      </c>
      <c r="Y281" s="40">
        <f t="shared" si="19"/>
        <v>99</v>
      </c>
      <c r="Z281" s="105">
        <v>0.52300000000000002</v>
      </c>
      <c r="AA281" s="105">
        <v>0.47699999999999998</v>
      </c>
      <c r="AB281" s="106">
        <v>0</v>
      </c>
      <c r="AC281" s="106">
        <v>0</v>
      </c>
      <c r="AD281" s="106">
        <f>110/235</f>
        <v>0.46808510638297873</v>
      </c>
      <c r="AE281" s="106">
        <f>6/235</f>
        <v>2.553191489361702E-2</v>
      </c>
      <c r="AF281" s="106">
        <v>0</v>
      </c>
      <c r="AG281" s="106">
        <f>118/235</f>
        <v>0.50212765957446803</v>
      </c>
      <c r="AH281" s="106">
        <f>1/235</f>
        <v>4.2553191489361703E-3</v>
      </c>
      <c r="AI281" s="106">
        <f>117/235</f>
        <v>0.49787234042553191</v>
      </c>
      <c r="AJ281" s="105">
        <v>0.80851063829787229</v>
      </c>
      <c r="AK281" s="105">
        <v>0</v>
      </c>
      <c r="AL281" s="12">
        <v>17</v>
      </c>
      <c r="AM281" s="12">
        <v>19</v>
      </c>
      <c r="AN281" s="12">
        <v>1</v>
      </c>
      <c r="AO281" s="12">
        <v>16</v>
      </c>
      <c r="AP281" s="12">
        <v>21</v>
      </c>
      <c r="AQ281" s="12">
        <v>16</v>
      </c>
      <c r="AR281" s="12">
        <v>9</v>
      </c>
      <c r="AS281" s="59">
        <v>5.8823529411764705E-2</v>
      </c>
      <c r="AT281" s="3">
        <v>1</v>
      </c>
      <c r="AU281" s="3">
        <v>6</v>
      </c>
      <c r="AV281" s="54">
        <v>90.532544378698219</v>
      </c>
      <c r="AW281" s="54">
        <v>9.4674556213017755</v>
      </c>
      <c r="AX281" s="54">
        <v>0</v>
      </c>
      <c r="AY281" s="68">
        <v>0</v>
      </c>
      <c r="AZ281" s="59">
        <v>0.19318181818181818</v>
      </c>
      <c r="BA281" s="59">
        <v>6.0606060606060608E-2</v>
      </c>
      <c r="BB281" s="81">
        <v>96</v>
      </c>
      <c r="BC281" s="49">
        <v>21.862348178137701</v>
      </c>
      <c r="BD281" s="93">
        <v>0</v>
      </c>
      <c r="BE281" s="93">
        <v>0</v>
      </c>
      <c r="BF281" s="49">
        <v>0</v>
      </c>
      <c r="BG281" s="49">
        <v>0</v>
      </c>
      <c r="BH281" s="49">
        <v>0</v>
      </c>
      <c r="BI281" s="49">
        <v>0</v>
      </c>
      <c r="BJ281" s="85"/>
      <c r="BK281" s="129">
        <v>12649</v>
      </c>
      <c r="BL281" s="129">
        <v>48819</v>
      </c>
      <c r="BM281" s="129">
        <v>47645</v>
      </c>
      <c r="BN281" s="129">
        <v>33471</v>
      </c>
      <c r="BO281" s="59">
        <v>0</v>
      </c>
      <c r="BP281" s="59">
        <v>0.24959999999999999</v>
      </c>
      <c r="BQ281" s="59">
        <v>0.1633</v>
      </c>
      <c r="BR281" s="59">
        <v>0</v>
      </c>
      <c r="BS281" s="59">
        <v>0</v>
      </c>
      <c r="BT281" s="49">
        <v>16.899999999999999</v>
      </c>
      <c r="BU281" s="59">
        <f t="shared" si="20"/>
        <v>0.41289999999999999</v>
      </c>
      <c r="BV281" s="59">
        <v>2.3300000000000001E-2</v>
      </c>
      <c r="BW281" s="59">
        <v>0</v>
      </c>
      <c r="BX281" s="59">
        <v>4.6399999999999997E-2</v>
      </c>
      <c r="BY281" s="59">
        <v>0</v>
      </c>
      <c r="BZ281" s="59">
        <v>0</v>
      </c>
      <c r="CA281" s="49">
        <v>10.7</v>
      </c>
      <c r="CB281" s="59">
        <f t="shared" si="21"/>
        <v>6.9699999999999998E-2</v>
      </c>
      <c r="CC281" s="59">
        <v>0.48699999999999999</v>
      </c>
      <c r="CD281" s="125">
        <v>0.28000000000000003</v>
      </c>
      <c r="CE281" s="125">
        <v>0.2331</v>
      </c>
      <c r="CF281" s="125">
        <v>0</v>
      </c>
      <c r="CG281" s="125">
        <v>0</v>
      </c>
      <c r="CH281" s="85">
        <v>13.7</v>
      </c>
      <c r="CI281" s="39" t="s">
        <v>419</v>
      </c>
      <c r="CJ281" s="18" t="s">
        <v>80</v>
      </c>
      <c r="CK281" s="20"/>
    </row>
    <row r="282" spans="1:99" x14ac:dyDescent="0.25">
      <c r="A282" s="18" t="s">
        <v>80</v>
      </c>
      <c r="B282" s="19" t="s">
        <v>418</v>
      </c>
      <c r="C282" s="39" t="s">
        <v>420</v>
      </c>
      <c r="D282" s="40">
        <v>1</v>
      </c>
      <c r="E282" s="40">
        <v>1</v>
      </c>
      <c r="F282" s="40">
        <v>0</v>
      </c>
      <c r="G282" s="166">
        <v>0</v>
      </c>
      <c r="H282" s="166">
        <v>1</v>
      </c>
      <c r="I282" s="166">
        <v>0</v>
      </c>
      <c r="J282" s="166">
        <v>0</v>
      </c>
      <c r="K282" s="166">
        <v>0</v>
      </c>
      <c r="L282" s="166">
        <v>0</v>
      </c>
      <c r="M282" s="166">
        <v>0</v>
      </c>
      <c r="N282" s="119">
        <v>6.9930069930069904E-3</v>
      </c>
      <c r="O282" s="119">
        <v>0</v>
      </c>
      <c r="P282" s="119">
        <v>0</v>
      </c>
      <c r="Q282" s="119">
        <v>4.1666666666666699E-2</v>
      </c>
      <c r="R282" s="119">
        <v>0</v>
      </c>
      <c r="S282" s="119">
        <v>0</v>
      </c>
      <c r="T282" s="119">
        <v>0</v>
      </c>
      <c r="U282" s="119">
        <v>0</v>
      </c>
      <c r="V282" s="119">
        <v>0</v>
      </c>
      <c r="W282" s="40">
        <v>313</v>
      </c>
      <c r="X282" s="40">
        <f t="shared" si="18"/>
        <v>93</v>
      </c>
      <c r="Y282" s="40">
        <f t="shared" si="19"/>
        <v>133</v>
      </c>
      <c r="Z282" s="105">
        <v>0.53</v>
      </c>
      <c r="AA282" s="105">
        <v>0.47</v>
      </c>
      <c r="AB282" s="106">
        <v>0</v>
      </c>
      <c r="AC282" s="106">
        <v>0</v>
      </c>
      <c r="AD282" s="106">
        <f>42/313</f>
        <v>0.13418530351437699</v>
      </c>
      <c r="AE282" s="106">
        <f>22/313</f>
        <v>7.0287539936102233E-2</v>
      </c>
      <c r="AF282" s="106">
        <v>0</v>
      </c>
      <c r="AG282" s="106">
        <f>248/313</f>
        <v>0.792332268370607</v>
      </c>
      <c r="AH282" s="106">
        <f>1/313</f>
        <v>3.1948881789137379E-3</v>
      </c>
      <c r="AI282" s="106">
        <f>65/313</f>
        <v>0.20766773162939298</v>
      </c>
      <c r="AJ282" s="105">
        <v>0.61022364217252401</v>
      </c>
      <c r="AK282" s="105">
        <v>0.01</v>
      </c>
      <c r="AL282" s="12">
        <v>20</v>
      </c>
      <c r="AM282" s="12">
        <v>20</v>
      </c>
      <c r="AN282" s="12">
        <v>1</v>
      </c>
      <c r="AO282" s="12">
        <v>28</v>
      </c>
      <c r="AP282" s="12">
        <v>22</v>
      </c>
      <c r="AQ282" s="12">
        <v>22</v>
      </c>
      <c r="AR282" s="12">
        <v>20</v>
      </c>
      <c r="AS282" s="59">
        <v>3.4482758620689655E-2</v>
      </c>
      <c r="AT282" s="3">
        <v>1</v>
      </c>
      <c r="AU282" s="3">
        <v>6</v>
      </c>
      <c r="AV282" s="54">
        <v>70.068027210884352</v>
      </c>
      <c r="AW282" s="54">
        <v>21.768707482993197</v>
      </c>
      <c r="AX282" s="54">
        <v>8.1632653061224492</v>
      </c>
      <c r="AY282" s="68">
        <v>0</v>
      </c>
      <c r="AZ282" s="59">
        <v>2.3665377832044511E-3</v>
      </c>
      <c r="BA282" s="59">
        <v>3.9555264339747105E-2</v>
      </c>
      <c r="BB282" s="77">
        <v>93.293355047462796</v>
      </c>
      <c r="BC282" s="49">
        <v>33.4375</v>
      </c>
      <c r="BD282" s="93">
        <v>0</v>
      </c>
      <c r="BE282" s="93">
        <v>0</v>
      </c>
      <c r="BF282" s="49">
        <v>0</v>
      </c>
      <c r="BG282" s="49">
        <v>0</v>
      </c>
      <c r="BH282" s="49">
        <v>0</v>
      </c>
      <c r="BI282" s="49">
        <v>5.3</v>
      </c>
      <c r="BJ282" s="85">
        <v>21.5</v>
      </c>
      <c r="BK282" s="129">
        <v>10881</v>
      </c>
      <c r="BL282" s="129">
        <v>48221</v>
      </c>
      <c r="BM282" s="129">
        <v>44324</v>
      </c>
      <c r="BN282" s="129">
        <v>33285</v>
      </c>
      <c r="BO282" s="59">
        <v>0</v>
      </c>
      <c r="BP282" s="59">
        <v>0.33489999999999998</v>
      </c>
      <c r="BQ282" s="59">
        <v>9.11E-2</v>
      </c>
      <c r="BR282" s="59">
        <v>0</v>
      </c>
      <c r="BS282" s="59">
        <v>0</v>
      </c>
      <c r="BT282" s="49">
        <v>18.100000000000001</v>
      </c>
      <c r="BU282" s="59">
        <f t="shared" si="20"/>
        <v>0.42599999999999999</v>
      </c>
      <c r="BV282" s="59">
        <v>3.32E-2</v>
      </c>
      <c r="BW282" s="59">
        <v>0</v>
      </c>
      <c r="BX282" s="59">
        <v>2.06E-2</v>
      </c>
      <c r="BY282" s="59">
        <v>2.2800000000000001E-2</v>
      </c>
      <c r="BZ282" s="59">
        <v>0</v>
      </c>
      <c r="CA282" s="49">
        <v>21.2</v>
      </c>
      <c r="CB282" s="59">
        <f t="shared" si="21"/>
        <v>7.6600000000000001E-2</v>
      </c>
      <c r="CC282" s="59">
        <v>0.4753</v>
      </c>
      <c r="CD282" s="125">
        <v>0.36499999999999999</v>
      </c>
      <c r="CE282" s="125">
        <v>0.13689999999999999</v>
      </c>
      <c r="CF282" s="125">
        <v>2.2800000000000001E-2</v>
      </c>
      <c r="CG282" s="125">
        <v>0</v>
      </c>
      <c r="CH282" s="85">
        <v>14.4</v>
      </c>
      <c r="CI282" s="39" t="s">
        <v>420</v>
      </c>
      <c r="CJ282" s="18" t="s">
        <v>80</v>
      </c>
      <c r="CK282" s="20"/>
    </row>
    <row r="283" spans="1:99" x14ac:dyDescent="0.25">
      <c r="A283" s="18" t="s">
        <v>80</v>
      </c>
      <c r="B283" s="19" t="s">
        <v>418</v>
      </c>
      <c r="C283" s="39" t="s">
        <v>421</v>
      </c>
      <c r="D283" s="40">
        <v>3</v>
      </c>
      <c r="E283" s="40">
        <v>0</v>
      </c>
      <c r="F283" s="40">
        <v>3</v>
      </c>
      <c r="G283" s="166">
        <v>0</v>
      </c>
      <c r="H283" s="166">
        <v>0</v>
      </c>
      <c r="I283" s="166">
        <v>0</v>
      </c>
      <c r="J283" s="166">
        <v>1</v>
      </c>
      <c r="K283" s="166">
        <v>1</v>
      </c>
      <c r="L283" s="166">
        <v>0</v>
      </c>
      <c r="M283" s="166">
        <v>1</v>
      </c>
      <c r="N283" s="119">
        <v>1.8072289156626498E-2</v>
      </c>
      <c r="O283" s="119">
        <v>2.6785714285714302E-2</v>
      </c>
      <c r="P283" s="119">
        <v>0</v>
      </c>
      <c r="Q283" s="119">
        <v>0</v>
      </c>
      <c r="R283" s="119">
        <v>0</v>
      </c>
      <c r="S283" s="119">
        <v>3.7037037037037E-2</v>
      </c>
      <c r="T283" s="119">
        <v>2.9411764705882401E-2</v>
      </c>
      <c r="U283" s="119">
        <v>0</v>
      </c>
      <c r="V283" s="119">
        <v>3.7037037037037E-2</v>
      </c>
      <c r="W283" s="40">
        <v>343</v>
      </c>
      <c r="X283" s="40">
        <f t="shared" si="18"/>
        <v>103</v>
      </c>
      <c r="Y283" s="40">
        <f t="shared" si="19"/>
        <v>153</v>
      </c>
      <c r="Z283" s="105">
        <v>0.496</v>
      </c>
      <c r="AA283" s="105">
        <v>0.504</v>
      </c>
      <c r="AB283" s="106">
        <v>0</v>
      </c>
      <c r="AC283" s="106">
        <v>0</v>
      </c>
      <c r="AD283" s="106">
        <f>25/343</f>
        <v>7.2886297376093298E-2</v>
      </c>
      <c r="AE283" s="106">
        <f>3/343</f>
        <v>8.7463556851311956E-3</v>
      </c>
      <c r="AF283" s="106">
        <v>0</v>
      </c>
      <c r="AG283" s="106">
        <f>309/343</f>
        <v>0.9008746355685131</v>
      </c>
      <c r="AH283" s="106">
        <f>6/343</f>
        <v>1.7492711370262391E-2</v>
      </c>
      <c r="AI283" s="106">
        <f>34/343</f>
        <v>9.9125364431486881E-2</v>
      </c>
      <c r="AJ283" s="105">
        <v>0.72594752186588918</v>
      </c>
      <c r="AK283" s="105">
        <v>0</v>
      </c>
      <c r="AL283" s="12">
        <v>23</v>
      </c>
      <c r="AM283" s="12">
        <v>27</v>
      </c>
      <c r="AN283" s="12">
        <v>2</v>
      </c>
      <c r="AO283" s="12">
        <v>24</v>
      </c>
      <c r="AP283" s="12">
        <v>30</v>
      </c>
      <c r="AQ283" s="12">
        <v>21</v>
      </c>
      <c r="AR283" s="12">
        <v>26</v>
      </c>
      <c r="AS283" s="59">
        <v>7.6923076923076927E-2</v>
      </c>
      <c r="AT283" s="3">
        <v>1</v>
      </c>
      <c r="AU283" s="3">
        <v>6</v>
      </c>
      <c r="AV283" s="54">
        <v>65.384615384615387</v>
      </c>
      <c r="AW283" s="54">
        <v>25.274725274725274</v>
      </c>
      <c r="AX283" s="54">
        <v>9.3406593406593412</v>
      </c>
      <c r="AY283" s="68">
        <v>0</v>
      </c>
      <c r="AZ283" s="59">
        <v>0.18121020522384226</v>
      </c>
      <c r="BA283" s="59">
        <v>7.8328981723237601E-2</v>
      </c>
      <c r="BB283" s="76">
        <v>92.441973361996403</v>
      </c>
      <c r="BC283" s="49">
        <v>40</v>
      </c>
      <c r="BD283" s="93">
        <v>0</v>
      </c>
      <c r="BE283" s="93">
        <v>0</v>
      </c>
      <c r="BF283" s="49">
        <v>0</v>
      </c>
      <c r="BG283" s="49">
        <v>0</v>
      </c>
      <c r="BH283" s="49">
        <v>0</v>
      </c>
      <c r="BI283" s="49">
        <v>0</v>
      </c>
      <c r="BJ283" s="85">
        <v>19</v>
      </c>
      <c r="BK283" s="129">
        <v>10341</v>
      </c>
      <c r="BL283" s="129">
        <v>46661</v>
      </c>
      <c r="BM283" s="129">
        <v>34614</v>
      </c>
      <c r="BN283" s="129">
        <v>32942</v>
      </c>
      <c r="BO283" s="59">
        <v>0</v>
      </c>
      <c r="BP283" s="59">
        <v>0.34110000000000001</v>
      </c>
      <c r="BQ283" s="59">
        <v>8.5099999999999995E-2</v>
      </c>
      <c r="BR283" s="59">
        <v>0</v>
      </c>
      <c r="BS283" s="59">
        <v>0</v>
      </c>
      <c r="BT283" s="49">
        <v>12.9</v>
      </c>
      <c r="BU283" s="59">
        <f t="shared" si="20"/>
        <v>0.42620000000000002</v>
      </c>
      <c r="BV283" s="59">
        <v>2.12E-2</v>
      </c>
      <c r="BW283" s="59">
        <v>0</v>
      </c>
      <c r="BX283" s="59">
        <v>4.0099999999999997E-2</v>
      </c>
      <c r="BY283" s="59">
        <v>0</v>
      </c>
      <c r="BZ283" s="59">
        <v>0</v>
      </c>
      <c r="CA283" s="49">
        <v>16.100000000000001</v>
      </c>
      <c r="CB283" s="59">
        <f t="shared" si="21"/>
        <v>6.1299999999999993E-2</v>
      </c>
      <c r="CC283" s="59">
        <v>0.45319999999999999</v>
      </c>
      <c r="CD283" s="125">
        <v>0.37740000000000001</v>
      </c>
      <c r="CE283" s="125">
        <v>0.1694</v>
      </c>
      <c r="CF283" s="125">
        <v>0</v>
      </c>
      <c r="CG283" s="125">
        <v>0</v>
      </c>
      <c r="CH283" s="85">
        <v>12.9</v>
      </c>
      <c r="CI283" s="39" t="s">
        <v>421</v>
      </c>
      <c r="CJ283" s="18" t="s">
        <v>80</v>
      </c>
      <c r="CK283" s="20"/>
    </row>
    <row r="284" spans="1:99" ht="15.75" thickBot="1" x14ac:dyDescent="0.3">
      <c r="A284" s="18" t="s">
        <v>80</v>
      </c>
      <c r="B284" s="19" t="s">
        <v>418</v>
      </c>
      <c r="C284" s="39" t="s">
        <v>422</v>
      </c>
      <c r="D284" s="40">
        <v>15</v>
      </c>
      <c r="E284" s="40" t="s">
        <v>83</v>
      </c>
      <c r="F284" s="40">
        <v>15</v>
      </c>
      <c r="G284" s="162" t="s">
        <v>83</v>
      </c>
      <c r="H284" s="162" t="s">
        <v>83</v>
      </c>
      <c r="I284" s="166">
        <v>1</v>
      </c>
      <c r="J284" s="166">
        <v>6</v>
      </c>
      <c r="K284" s="166">
        <v>3</v>
      </c>
      <c r="L284" s="166">
        <v>2</v>
      </c>
      <c r="M284" s="166">
        <v>3</v>
      </c>
      <c r="N284" s="119">
        <v>3.1120331950207501E-2</v>
      </c>
      <c r="O284" s="119">
        <v>3.1120331950207501E-2</v>
      </c>
      <c r="P284" s="116" t="s">
        <v>83</v>
      </c>
      <c r="Q284" s="116" t="s">
        <v>83</v>
      </c>
      <c r="R284" s="119">
        <v>0.04</v>
      </c>
      <c r="S284" s="119">
        <v>4.6875E-2</v>
      </c>
      <c r="T284" s="119">
        <v>2.3076923076923099E-2</v>
      </c>
      <c r="U284" s="119">
        <v>1.88679245283019E-2</v>
      </c>
      <c r="V284" s="119">
        <v>3.2258064516128997E-2</v>
      </c>
      <c r="W284" s="40">
        <v>438</v>
      </c>
      <c r="X284" s="40">
        <f t="shared" si="18"/>
        <v>438</v>
      </c>
      <c r="Y284" s="40">
        <f t="shared" si="19"/>
        <v>438</v>
      </c>
      <c r="Z284" s="105">
        <v>0.50900000000000001</v>
      </c>
      <c r="AA284" s="105">
        <v>0.49099999999999999</v>
      </c>
      <c r="AB284" s="106">
        <f>3/438</f>
        <v>6.8493150684931503E-3</v>
      </c>
      <c r="AC284" s="106">
        <v>0</v>
      </c>
      <c r="AD284" s="106">
        <f>202/438</f>
        <v>0.46118721461187212</v>
      </c>
      <c r="AE284" s="106">
        <f>5/438</f>
        <v>1.1415525114155251E-2</v>
      </c>
      <c r="AF284" s="106">
        <v>0</v>
      </c>
      <c r="AG284" s="106">
        <f>228/438</f>
        <v>0.52054794520547942</v>
      </c>
      <c r="AH284" s="106">
        <v>0</v>
      </c>
      <c r="AI284" s="106">
        <f>210/438</f>
        <v>0.47945205479452052</v>
      </c>
      <c r="AJ284" s="105">
        <v>0.64840182648401823</v>
      </c>
      <c r="AK284" s="105">
        <v>2E-3</v>
      </c>
      <c r="AL284" s="12">
        <v>0</v>
      </c>
      <c r="AM284" s="12">
        <v>0</v>
      </c>
      <c r="AN284" s="12">
        <v>24</v>
      </c>
      <c r="AO284" s="12">
        <v>108</v>
      </c>
      <c r="AP284" s="12">
        <v>120</v>
      </c>
      <c r="AQ284" s="12">
        <v>101</v>
      </c>
      <c r="AR284" s="12">
        <v>85</v>
      </c>
      <c r="AS284" s="59">
        <v>0.18181818181818182</v>
      </c>
      <c r="AT284" s="3">
        <v>9</v>
      </c>
      <c r="AU284" s="3">
        <v>6</v>
      </c>
      <c r="AV284" s="54">
        <v>56.422018348623851</v>
      </c>
      <c r="AW284" s="54">
        <v>23.853211009174313</v>
      </c>
      <c r="AX284" s="54">
        <v>19.26605504587156</v>
      </c>
      <c r="AY284" s="68">
        <v>0.45871559633027525</v>
      </c>
      <c r="AZ284" s="59">
        <v>0.22428758721026271</v>
      </c>
      <c r="BA284" s="59">
        <v>0.13778705636743216</v>
      </c>
      <c r="BB284" s="77">
        <v>91.628288973398</v>
      </c>
      <c r="BC284" s="49">
        <v>31.0416666666667</v>
      </c>
      <c r="BD284" s="90" t="s">
        <v>83</v>
      </c>
      <c r="BE284" s="90" t="s">
        <v>83</v>
      </c>
      <c r="BF284" s="49">
        <v>0.9</v>
      </c>
      <c r="BG284" s="49">
        <v>0.9</v>
      </c>
      <c r="BH284" s="49">
        <v>1</v>
      </c>
      <c r="BI284" s="49">
        <v>2.2000000000000002</v>
      </c>
      <c r="BJ284" s="85">
        <v>18.2</v>
      </c>
      <c r="BK284" s="129">
        <v>10099</v>
      </c>
      <c r="BL284" s="129">
        <v>47762</v>
      </c>
      <c r="BM284" s="129">
        <v>29054</v>
      </c>
      <c r="BN284" s="129">
        <v>38660</v>
      </c>
      <c r="BO284" s="59">
        <v>0</v>
      </c>
      <c r="BP284" s="59">
        <v>0.38119999999999998</v>
      </c>
      <c r="BQ284" s="59">
        <v>0.20799999999999999</v>
      </c>
      <c r="BR284" s="59">
        <v>0</v>
      </c>
      <c r="BS284" s="59">
        <v>0</v>
      </c>
      <c r="BT284" s="49">
        <v>14.4</v>
      </c>
      <c r="BU284" s="59">
        <f t="shared" si="20"/>
        <v>0.58919999999999995</v>
      </c>
      <c r="BV284" s="59">
        <v>5.28E-2</v>
      </c>
      <c r="BW284" s="59">
        <v>0</v>
      </c>
      <c r="BX284" s="59">
        <v>1.9599999999999999E-2</v>
      </c>
      <c r="BY284" s="59">
        <v>0</v>
      </c>
      <c r="BZ284" s="59">
        <v>2.1299999999999999E-2</v>
      </c>
      <c r="CA284" s="49">
        <v>27</v>
      </c>
      <c r="CB284" s="59">
        <f t="shared" si="21"/>
        <v>9.3699999999999992E-2</v>
      </c>
      <c r="CC284" s="59">
        <v>0.29849999999999999</v>
      </c>
      <c r="CD284" s="125">
        <v>0.42509999999999998</v>
      </c>
      <c r="CE284" s="125">
        <v>0.23380000000000001</v>
      </c>
      <c r="CF284" s="125">
        <v>0</v>
      </c>
      <c r="CG284" s="125">
        <v>4.2500000000000003E-2</v>
      </c>
      <c r="CH284" s="85">
        <v>14.8</v>
      </c>
      <c r="CI284" s="39" t="s">
        <v>422</v>
      </c>
      <c r="CJ284" s="18" t="s">
        <v>80</v>
      </c>
      <c r="CK284" s="20"/>
    </row>
    <row r="285" spans="1:99" s="1" customFormat="1" ht="21" customHeight="1" x14ac:dyDescent="0.25">
      <c r="A285" s="21" t="s">
        <v>0</v>
      </c>
      <c r="B285" s="22" t="s">
        <v>1</v>
      </c>
      <c r="C285" s="22" t="s">
        <v>2</v>
      </c>
      <c r="D285" s="9" t="s">
        <v>3</v>
      </c>
      <c r="E285" s="9" t="s">
        <v>4</v>
      </c>
      <c r="F285" s="9" t="s">
        <v>5</v>
      </c>
      <c r="G285" s="161" t="s">
        <v>565</v>
      </c>
      <c r="H285" s="161" t="s">
        <v>566</v>
      </c>
      <c r="I285" s="161" t="s">
        <v>567</v>
      </c>
      <c r="J285" s="161" t="s">
        <v>568</v>
      </c>
      <c r="K285" s="161" t="s">
        <v>569</v>
      </c>
      <c r="L285" s="161" t="s">
        <v>570</v>
      </c>
      <c r="M285" s="161" t="s">
        <v>571</v>
      </c>
      <c r="N285" s="120" t="s">
        <v>6</v>
      </c>
      <c r="O285" s="120" t="s">
        <v>7</v>
      </c>
      <c r="P285" s="120" t="s">
        <v>8</v>
      </c>
      <c r="Q285" s="120" t="s">
        <v>9</v>
      </c>
      <c r="R285" s="120" t="s">
        <v>10</v>
      </c>
      <c r="S285" s="120" t="s">
        <v>11</v>
      </c>
      <c r="T285" s="120" t="s">
        <v>12</v>
      </c>
      <c r="U285" s="120" t="s">
        <v>13</v>
      </c>
      <c r="V285" s="120" t="s">
        <v>14</v>
      </c>
      <c r="W285" s="41" t="s">
        <v>15</v>
      </c>
      <c r="X285" s="41" t="s">
        <v>16</v>
      </c>
      <c r="Y285" s="41" t="s">
        <v>17</v>
      </c>
      <c r="Z285" s="107" t="s">
        <v>18</v>
      </c>
      <c r="AA285" s="107" t="s">
        <v>19</v>
      </c>
      <c r="AB285" s="95" t="s">
        <v>20</v>
      </c>
      <c r="AC285" s="95" t="s">
        <v>21</v>
      </c>
      <c r="AD285" s="95" t="s">
        <v>22</v>
      </c>
      <c r="AE285" s="95" t="s">
        <v>23</v>
      </c>
      <c r="AF285" s="95" t="s">
        <v>24</v>
      </c>
      <c r="AG285" s="95" t="s">
        <v>25</v>
      </c>
      <c r="AH285" s="95" t="s">
        <v>26</v>
      </c>
      <c r="AI285" s="95" t="s">
        <v>27</v>
      </c>
      <c r="AJ285" s="95" t="s">
        <v>28</v>
      </c>
      <c r="AK285" s="107" t="s">
        <v>29</v>
      </c>
      <c r="AL285" s="42" t="s">
        <v>30</v>
      </c>
      <c r="AM285" s="42" t="s">
        <v>31</v>
      </c>
      <c r="AN285" s="42" t="s">
        <v>32</v>
      </c>
      <c r="AO285" s="42" t="s">
        <v>33</v>
      </c>
      <c r="AP285" s="42" t="s">
        <v>34</v>
      </c>
      <c r="AQ285" s="42" t="s">
        <v>35</v>
      </c>
      <c r="AR285" s="42" t="s">
        <v>36</v>
      </c>
      <c r="AS285" s="100" t="s">
        <v>37</v>
      </c>
      <c r="AT285" s="41" t="s">
        <v>38</v>
      </c>
      <c r="AU285" s="23" t="s">
        <v>39</v>
      </c>
      <c r="AV285" s="51" t="s">
        <v>40</v>
      </c>
      <c r="AW285" s="51" t="s">
        <v>41</v>
      </c>
      <c r="AX285" s="51" t="s">
        <v>42</v>
      </c>
      <c r="AY285" s="66" t="s">
        <v>43</v>
      </c>
      <c r="AZ285" s="58" t="s">
        <v>44</v>
      </c>
      <c r="BA285" s="58" t="s">
        <v>45</v>
      </c>
      <c r="BB285" s="75" t="s">
        <v>46</v>
      </c>
      <c r="BC285" s="83" t="s">
        <v>47</v>
      </c>
      <c r="BD285" s="89" t="s">
        <v>48</v>
      </c>
      <c r="BE285" s="89" t="s">
        <v>49</v>
      </c>
      <c r="BF285" s="89" t="s">
        <v>50</v>
      </c>
      <c r="BG285" s="89" t="s">
        <v>51</v>
      </c>
      <c r="BH285" s="89" t="s">
        <v>52</v>
      </c>
      <c r="BI285" s="89" t="s">
        <v>53</v>
      </c>
      <c r="BJ285" s="86" t="s">
        <v>54</v>
      </c>
      <c r="BK285" s="123" t="s">
        <v>55</v>
      </c>
      <c r="BL285" s="123" t="s">
        <v>56</v>
      </c>
      <c r="BM285" s="123" t="s">
        <v>57</v>
      </c>
      <c r="BN285" s="123" t="s">
        <v>58</v>
      </c>
      <c r="BO285" s="131" t="s">
        <v>59</v>
      </c>
      <c r="BP285" s="131" t="s">
        <v>60</v>
      </c>
      <c r="BQ285" s="131" t="s">
        <v>61</v>
      </c>
      <c r="BR285" s="131" t="s">
        <v>62</v>
      </c>
      <c r="BS285" s="131" t="s">
        <v>63</v>
      </c>
      <c r="BT285" s="131" t="s">
        <v>64</v>
      </c>
      <c r="BU285" s="131" t="s">
        <v>65</v>
      </c>
      <c r="BV285" s="132" t="s">
        <v>66</v>
      </c>
      <c r="BW285" s="132" t="s">
        <v>67</v>
      </c>
      <c r="BX285" s="132" t="s">
        <v>68</v>
      </c>
      <c r="BY285" s="132" t="s">
        <v>69</v>
      </c>
      <c r="BZ285" s="132" t="s">
        <v>70</v>
      </c>
      <c r="CA285" s="132" t="s">
        <v>71</v>
      </c>
      <c r="CB285" s="132" t="s">
        <v>72</v>
      </c>
      <c r="CC285" s="123" t="s">
        <v>73</v>
      </c>
      <c r="CD285" s="123" t="s">
        <v>74</v>
      </c>
      <c r="CE285" s="123" t="s">
        <v>75</v>
      </c>
      <c r="CF285" s="123" t="s">
        <v>76</v>
      </c>
      <c r="CG285" s="123" t="s">
        <v>77</v>
      </c>
      <c r="CH285" s="123" t="s">
        <v>78</v>
      </c>
      <c r="CI285" s="22" t="s">
        <v>2</v>
      </c>
      <c r="CJ285" s="21" t="s">
        <v>0</v>
      </c>
      <c r="CK285" s="24" t="s">
        <v>79</v>
      </c>
      <c r="CL285"/>
      <c r="CM285"/>
      <c r="CN285"/>
      <c r="CO285"/>
      <c r="CP285"/>
      <c r="CQ285"/>
      <c r="CR285"/>
      <c r="CS285"/>
      <c r="CT285"/>
      <c r="CU285"/>
    </row>
    <row r="286" spans="1:99" x14ac:dyDescent="0.25">
      <c r="A286" s="18" t="s">
        <v>80</v>
      </c>
      <c r="B286" s="19" t="s">
        <v>423</v>
      </c>
      <c r="C286" s="39" t="s">
        <v>424</v>
      </c>
      <c r="D286" s="40">
        <v>8</v>
      </c>
      <c r="E286" s="40" t="s">
        <v>83</v>
      </c>
      <c r="F286" s="40">
        <v>8</v>
      </c>
      <c r="G286" s="162" t="s">
        <v>83</v>
      </c>
      <c r="H286" s="162" t="s">
        <v>83</v>
      </c>
      <c r="I286" s="166">
        <v>1</v>
      </c>
      <c r="J286" s="166">
        <v>3</v>
      </c>
      <c r="K286" s="166">
        <v>2</v>
      </c>
      <c r="L286" s="166">
        <v>1</v>
      </c>
      <c r="M286" s="166">
        <v>1</v>
      </c>
      <c r="N286" s="119">
        <v>1.4519056261343E-2</v>
      </c>
      <c r="O286" s="119">
        <v>1.4519056261343E-2</v>
      </c>
      <c r="P286" s="116" t="s">
        <v>83</v>
      </c>
      <c r="Q286" s="116" t="s">
        <v>83</v>
      </c>
      <c r="R286" s="119">
        <v>1.85185185185185E-2</v>
      </c>
      <c r="S286" s="119">
        <v>1.9736842105263198E-2</v>
      </c>
      <c r="T286" s="119">
        <v>1.4705882352941201E-2</v>
      </c>
      <c r="U286" s="119">
        <v>9.1743119266055103E-3</v>
      </c>
      <c r="V286" s="119">
        <v>0.01</v>
      </c>
      <c r="W286" s="40">
        <v>480</v>
      </c>
      <c r="X286" s="40">
        <f t="shared" ref="X286:X320" si="22">SUM(AN286:AR286)</f>
        <v>480</v>
      </c>
      <c r="Y286" s="40">
        <f t="shared" ref="Y286:Y320" si="23">SUM(AL286:AR286)</f>
        <v>480</v>
      </c>
      <c r="Z286" s="105">
        <v>0.54</v>
      </c>
      <c r="AA286" s="105">
        <v>0.46</v>
      </c>
      <c r="AB286" s="106">
        <v>0</v>
      </c>
      <c r="AC286" s="106">
        <v>0</v>
      </c>
      <c r="AD286" s="106">
        <f>478/480</f>
        <v>0.99583333333333335</v>
      </c>
      <c r="AE286" s="106">
        <f>1/480</f>
        <v>2.0833333333333333E-3</v>
      </c>
      <c r="AF286" s="106">
        <v>0</v>
      </c>
      <c r="AG286" s="106">
        <f>1/480</f>
        <v>2.0833333333333333E-3</v>
      </c>
      <c r="AH286" s="106">
        <v>0</v>
      </c>
      <c r="AI286" s="106">
        <f>479/480</f>
        <v>0.99791666666666667</v>
      </c>
      <c r="AJ286" s="105">
        <v>0.92500000000000004</v>
      </c>
      <c r="AK286" s="105">
        <v>0</v>
      </c>
      <c r="AL286" s="12">
        <v>0</v>
      </c>
      <c r="AM286" s="12">
        <v>0</v>
      </c>
      <c r="AN286" s="12">
        <v>62</v>
      </c>
      <c r="AO286" s="12">
        <v>101</v>
      </c>
      <c r="AP286" s="12">
        <v>121</v>
      </c>
      <c r="AQ286" s="12">
        <v>101</v>
      </c>
      <c r="AR286" s="12">
        <v>95</v>
      </c>
      <c r="AS286" s="59">
        <v>0.38036809815950923</v>
      </c>
      <c r="AT286" s="3">
        <v>9</v>
      </c>
      <c r="AU286" s="3">
        <v>6</v>
      </c>
      <c r="AV286" s="54">
        <v>77.272727272727266</v>
      </c>
      <c r="AW286" s="54">
        <v>20.075757575757574</v>
      </c>
      <c r="AX286" s="54">
        <v>2.6515151515151514</v>
      </c>
      <c r="AY286" s="68">
        <v>0</v>
      </c>
      <c r="AZ286" s="59">
        <v>2.604124898808197E-2</v>
      </c>
      <c r="BA286" s="59">
        <v>0.27404718693284935</v>
      </c>
      <c r="BB286" s="76">
        <v>91.149097086608606</v>
      </c>
      <c r="BC286" s="49">
        <v>51.681415929203503</v>
      </c>
      <c r="BD286" s="90" t="s">
        <v>83</v>
      </c>
      <c r="BE286" s="90" t="s">
        <v>83</v>
      </c>
      <c r="BF286" s="49">
        <v>35.700000000000003</v>
      </c>
      <c r="BG286" s="49">
        <v>17.8</v>
      </c>
      <c r="BH286" s="49">
        <v>5.4</v>
      </c>
      <c r="BI286" s="49">
        <v>6.7</v>
      </c>
      <c r="BJ286" s="85">
        <v>17.8</v>
      </c>
      <c r="BK286" s="129">
        <v>15122</v>
      </c>
      <c r="BL286" s="129">
        <v>51917</v>
      </c>
      <c r="BM286" s="129">
        <v>51828</v>
      </c>
      <c r="BN286" s="129">
        <v>40484</v>
      </c>
      <c r="BO286" s="59">
        <v>0</v>
      </c>
      <c r="BP286" s="59">
        <v>0.24340000000000001</v>
      </c>
      <c r="BQ286" s="59">
        <v>0.21060000000000001</v>
      </c>
      <c r="BR286" s="59">
        <v>0</v>
      </c>
      <c r="BS286" s="59">
        <v>2.4400000000000002E-2</v>
      </c>
      <c r="BT286" s="49">
        <v>14.3</v>
      </c>
      <c r="BU286" s="59">
        <f t="shared" si="20"/>
        <v>0.47839999999999999</v>
      </c>
      <c r="BV286" s="59">
        <v>4.2999999999999997E-2</v>
      </c>
      <c r="BW286" s="59">
        <v>1.72E-2</v>
      </c>
      <c r="BX286" s="59">
        <v>3.4700000000000002E-2</v>
      </c>
      <c r="BY286" s="59">
        <v>0</v>
      </c>
      <c r="BZ286" s="59">
        <v>0</v>
      </c>
      <c r="CA286" s="49">
        <v>21</v>
      </c>
      <c r="CB286" s="59">
        <f t="shared" si="21"/>
        <v>9.4899999999999998E-2</v>
      </c>
      <c r="CC286" s="59">
        <v>0.34329999999999999</v>
      </c>
      <c r="CD286" s="125">
        <v>0.3241</v>
      </c>
      <c r="CE286" s="125">
        <v>0.30520000000000003</v>
      </c>
      <c r="CF286" s="125">
        <v>3.0000000000000001E-3</v>
      </c>
      <c r="CG286" s="125">
        <v>2.4400000000000002E-2</v>
      </c>
      <c r="CH286" s="85">
        <v>14.9</v>
      </c>
      <c r="CI286" s="39" t="s">
        <v>424</v>
      </c>
      <c r="CJ286" s="18" t="s">
        <v>80</v>
      </c>
      <c r="CK286" s="20"/>
    </row>
    <row r="287" spans="1:99" x14ac:dyDescent="0.25">
      <c r="A287" s="18" t="s">
        <v>80</v>
      </c>
      <c r="B287" s="19" t="s">
        <v>423</v>
      </c>
      <c r="C287" s="39" t="s">
        <v>425</v>
      </c>
      <c r="D287" s="40">
        <v>26</v>
      </c>
      <c r="E287" s="40" t="s">
        <v>83</v>
      </c>
      <c r="F287" s="40">
        <v>26</v>
      </c>
      <c r="G287" s="162" t="s">
        <v>83</v>
      </c>
      <c r="H287" s="162" t="s">
        <v>83</v>
      </c>
      <c r="I287" s="166">
        <v>4</v>
      </c>
      <c r="J287" s="166">
        <v>8</v>
      </c>
      <c r="K287" s="166">
        <v>8</v>
      </c>
      <c r="L287" s="166">
        <v>2</v>
      </c>
      <c r="M287" s="166">
        <v>4</v>
      </c>
      <c r="N287" s="119">
        <v>2.4714828897338399E-2</v>
      </c>
      <c r="O287" s="119">
        <v>2.4714828897338399E-2</v>
      </c>
      <c r="P287" s="116" t="s">
        <v>83</v>
      </c>
      <c r="Q287" s="116" t="s">
        <v>83</v>
      </c>
      <c r="R287" s="119">
        <v>0.148148148148148</v>
      </c>
      <c r="S287" s="119">
        <v>2.3880597014925401E-2</v>
      </c>
      <c r="T287" s="119">
        <v>3.2128514056224897E-2</v>
      </c>
      <c r="U287" s="119">
        <v>9.5693779904306199E-3</v>
      </c>
      <c r="V287" s="119">
        <v>1.72413793103448E-2</v>
      </c>
      <c r="W287" s="40">
        <v>972</v>
      </c>
      <c r="X287" s="40">
        <f t="shared" si="22"/>
        <v>972</v>
      </c>
      <c r="Y287" s="40">
        <f t="shared" si="23"/>
        <v>972</v>
      </c>
      <c r="Z287" s="105">
        <v>0.50700000000000001</v>
      </c>
      <c r="AA287" s="105">
        <v>0.49299999999999999</v>
      </c>
      <c r="AB287" s="106">
        <f>2/972</f>
        <v>2.05761316872428E-3</v>
      </c>
      <c r="AC287" s="106">
        <f>25/972</f>
        <v>2.5720164609053499E-2</v>
      </c>
      <c r="AD287" s="106">
        <f>595/972</f>
        <v>0.61213991769547327</v>
      </c>
      <c r="AE287" s="106">
        <f>17/972</f>
        <v>1.7489711934156379E-2</v>
      </c>
      <c r="AF287" s="106">
        <f>1/972</f>
        <v>1.02880658436214E-3</v>
      </c>
      <c r="AG287" s="106">
        <f>328/972</f>
        <v>0.33744855967078191</v>
      </c>
      <c r="AH287" s="106">
        <f>4/972</f>
        <v>4.11522633744856E-3</v>
      </c>
      <c r="AI287" s="106">
        <f>644/972</f>
        <v>0.66255144032921809</v>
      </c>
      <c r="AJ287" s="105">
        <v>0.53497942386831276</v>
      </c>
      <c r="AK287" s="105">
        <v>1E-3</v>
      </c>
      <c r="AL287" s="12">
        <v>0</v>
      </c>
      <c r="AM287" s="12">
        <v>0</v>
      </c>
      <c r="AN287" s="12">
        <v>17</v>
      </c>
      <c r="AO287" s="12">
        <v>312</v>
      </c>
      <c r="AP287" s="12">
        <v>225</v>
      </c>
      <c r="AQ287" s="12">
        <v>195</v>
      </c>
      <c r="AR287" s="12">
        <v>223</v>
      </c>
      <c r="AS287" s="59">
        <v>5.1671732522796353E-2</v>
      </c>
      <c r="AT287" s="3">
        <v>9</v>
      </c>
      <c r="AU287" s="3">
        <v>6</v>
      </c>
      <c r="AV287" s="54">
        <v>71.894093686354381</v>
      </c>
      <c r="AW287" s="54">
        <v>20.570264765784113</v>
      </c>
      <c r="AX287" s="54">
        <v>6.9246435845213856</v>
      </c>
      <c r="AY287" s="68">
        <v>0.61099796334012213</v>
      </c>
      <c r="AZ287" s="59">
        <v>5.2657973921765248E-3</v>
      </c>
      <c r="BA287" s="59">
        <v>0.05</v>
      </c>
      <c r="BB287" s="77">
        <v>94.8485884469452</v>
      </c>
      <c r="BC287" s="49">
        <v>18.426103646832999</v>
      </c>
      <c r="BD287" s="90" t="s">
        <v>83</v>
      </c>
      <c r="BE287" s="90" t="s">
        <v>83</v>
      </c>
      <c r="BF287" s="49">
        <v>18.600000000000001</v>
      </c>
      <c r="BG287" s="49">
        <v>4.0999999999999996</v>
      </c>
      <c r="BH287" s="49">
        <v>2.6</v>
      </c>
      <c r="BI287" s="49">
        <v>1.4</v>
      </c>
      <c r="BJ287" s="85">
        <v>21.6</v>
      </c>
      <c r="BK287" s="129">
        <v>11067</v>
      </c>
      <c r="BL287" s="129">
        <v>54911</v>
      </c>
      <c r="BM287" s="129">
        <v>49938</v>
      </c>
      <c r="BN287" s="129">
        <v>45445</v>
      </c>
      <c r="BO287" s="59">
        <v>9.1999999999999998E-3</v>
      </c>
      <c r="BP287" s="59">
        <v>0.28699999999999998</v>
      </c>
      <c r="BQ287" s="59">
        <v>0.2843</v>
      </c>
      <c r="BR287" s="59">
        <v>0</v>
      </c>
      <c r="BS287" s="59">
        <v>9.1999999999999998E-3</v>
      </c>
      <c r="BT287" s="49">
        <v>16.899999999999999</v>
      </c>
      <c r="BU287" s="59">
        <f t="shared" si="20"/>
        <v>0.5897</v>
      </c>
      <c r="BV287" s="59">
        <v>3.49E-2</v>
      </c>
      <c r="BW287" s="59">
        <v>1.5900000000000001E-2</v>
      </c>
      <c r="BX287" s="59">
        <v>1.77E-2</v>
      </c>
      <c r="BY287" s="59">
        <v>0</v>
      </c>
      <c r="BZ287" s="59">
        <v>9.1999999999999998E-3</v>
      </c>
      <c r="CA287" s="49">
        <v>21.9</v>
      </c>
      <c r="CB287" s="59">
        <f t="shared" si="21"/>
        <v>7.7700000000000005E-2</v>
      </c>
      <c r="CC287" s="59">
        <v>0.28489999999999999</v>
      </c>
      <c r="CD287" s="125">
        <v>0.34010000000000001</v>
      </c>
      <c r="CE287" s="125">
        <v>0.35420000000000001</v>
      </c>
      <c r="CF287" s="125">
        <v>2.5000000000000001E-3</v>
      </c>
      <c r="CG287" s="125">
        <v>1.83E-2</v>
      </c>
      <c r="CH287" s="85">
        <v>16.600000000000001</v>
      </c>
      <c r="CI287" s="39" t="s">
        <v>425</v>
      </c>
      <c r="CJ287" s="18" t="s">
        <v>80</v>
      </c>
      <c r="CK287" s="20"/>
    </row>
    <row r="288" spans="1:99" x14ac:dyDescent="0.25">
      <c r="A288" s="18" t="s">
        <v>80</v>
      </c>
      <c r="B288" s="19" t="s">
        <v>423</v>
      </c>
      <c r="C288" s="39" t="s">
        <v>426</v>
      </c>
      <c r="D288" s="40">
        <v>36</v>
      </c>
      <c r="E288" s="40" t="s">
        <v>83</v>
      </c>
      <c r="F288" s="40">
        <v>36</v>
      </c>
      <c r="G288" s="162" t="s">
        <v>83</v>
      </c>
      <c r="H288" s="162" t="s">
        <v>83</v>
      </c>
      <c r="I288" s="166">
        <v>2</v>
      </c>
      <c r="J288" s="166">
        <v>16</v>
      </c>
      <c r="K288" s="166">
        <v>10</v>
      </c>
      <c r="L288" s="166">
        <v>6</v>
      </c>
      <c r="M288" s="166">
        <v>2</v>
      </c>
      <c r="N288" s="119">
        <v>5.3731343283582103E-2</v>
      </c>
      <c r="O288" s="119">
        <v>5.3731343283582103E-2</v>
      </c>
      <c r="P288" s="116" t="s">
        <v>83</v>
      </c>
      <c r="Q288" s="116" t="s">
        <v>83</v>
      </c>
      <c r="R288" s="119">
        <v>3.125E-2</v>
      </c>
      <c r="S288" s="119">
        <v>7.5117370892018795E-2</v>
      </c>
      <c r="T288" s="119">
        <v>7.2463768115942004E-2</v>
      </c>
      <c r="U288" s="119">
        <v>4.8780487804878099E-2</v>
      </c>
      <c r="V288" s="119">
        <v>1.5151515151515201E-2</v>
      </c>
      <c r="W288" s="40">
        <v>566</v>
      </c>
      <c r="X288" s="40">
        <f t="shared" si="22"/>
        <v>566</v>
      </c>
      <c r="Y288" s="40">
        <f t="shared" si="23"/>
        <v>566</v>
      </c>
      <c r="Z288" s="105">
        <v>0.52800000000000002</v>
      </c>
      <c r="AA288" s="105">
        <v>0.47199999999999998</v>
      </c>
      <c r="AB288" s="106">
        <v>0</v>
      </c>
      <c r="AC288" s="106">
        <v>0</v>
      </c>
      <c r="AD288" s="106">
        <f>560/566</f>
        <v>0.98939929328621912</v>
      </c>
      <c r="AE288" s="106">
        <f>1/566</f>
        <v>1.7667844522968198E-3</v>
      </c>
      <c r="AF288" s="106">
        <v>0</v>
      </c>
      <c r="AG288" s="106">
        <f>3/566</f>
        <v>5.3003533568904597E-3</v>
      </c>
      <c r="AH288" s="106">
        <f>2/566</f>
        <v>3.5335689045936395E-3</v>
      </c>
      <c r="AI288" s="106">
        <f>563/566</f>
        <v>0.9946996466431095</v>
      </c>
      <c r="AJ288" s="105">
        <v>0.89575971731448767</v>
      </c>
      <c r="AK288" s="105">
        <v>2E-3</v>
      </c>
      <c r="AL288" s="12">
        <v>0</v>
      </c>
      <c r="AM288" s="12">
        <v>0</v>
      </c>
      <c r="AN288" s="12">
        <v>51</v>
      </c>
      <c r="AO288" s="12">
        <v>162</v>
      </c>
      <c r="AP288" s="12">
        <v>122</v>
      </c>
      <c r="AQ288" s="12">
        <v>112</v>
      </c>
      <c r="AR288" s="12">
        <v>119</v>
      </c>
      <c r="AS288" s="59">
        <v>0.23943661971830985</v>
      </c>
      <c r="AT288" s="3">
        <v>9</v>
      </c>
      <c r="AU288" s="3">
        <v>6</v>
      </c>
      <c r="AV288" s="54">
        <v>77.744807121661722</v>
      </c>
      <c r="AW288" s="54">
        <v>16.320474777448073</v>
      </c>
      <c r="AX288" s="54">
        <v>5.637982195845697</v>
      </c>
      <c r="AY288" s="68">
        <v>0.29673590504451042</v>
      </c>
      <c r="AZ288" s="59">
        <v>7.8691634576085079E-2</v>
      </c>
      <c r="BA288" s="59">
        <v>7.0336391437308868E-2</v>
      </c>
      <c r="BB288" s="76">
        <v>90.134849422351493</v>
      </c>
      <c r="BC288" s="49">
        <v>49.548192771084302</v>
      </c>
      <c r="BD288" s="90" t="s">
        <v>83</v>
      </c>
      <c r="BE288" s="90" t="s">
        <v>83</v>
      </c>
      <c r="BF288" s="49">
        <v>17.100000000000001</v>
      </c>
      <c r="BG288" s="49">
        <v>11.5</v>
      </c>
      <c r="BH288" s="49">
        <v>1.8</v>
      </c>
      <c r="BI288" s="49">
        <v>8.4</v>
      </c>
      <c r="BJ288" s="85">
        <v>16.899999999999999</v>
      </c>
      <c r="BK288" s="129">
        <v>15022</v>
      </c>
      <c r="BL288" s="129">
        <v>55410</v>
      </c>
      <c r="BM288" s="129">
        <v>56942</v>
      </c>
      <c r="BN288" s="129">
        <v>42301</v>
      </c>
      <c r="BO288" s="59">
        <v>0</v>
      </c>
      <c r="BP288" s="59">
        <v>0.21579999999999999</v>
      </c>
      <c r="BQ288" s="59">
        <v>0.27450000000000002</v>
      </c>
      <c r="BR288" s="59">
        <v>0</v>
      </c>
      <c r="BS288" s="59">
        <v>0</v>
      </c>
      <c r="BT288" s="49">
        <v>17.100000000000001</v>
      </c>
      <c r="BU288" s="59">
        <f t="shared" si="20"/>
        <v>0.49030000000000001</v>
      </c>
      <c r="BV288" s="59">
        <v>2.7799999999999998E-2</v>
      </c>
      <c r="BW288" s="59">
        <v>1.49E-2</v>
      </c>
      <c r="BX288" s="59">
        <v>2.7300000000000001E-2</v>
      </c>
      <c r="BY288" s="59">
        <v>0</v>
      </c>
      <c r="BZ288" s="59">
        <v>0</v>
      </c>
      <c r="CA288" s="49">
        <v>22.1</v>
      </c>
      <c r="CB288" s="59">
        <f t="shared" si="21"/>
        <v>7.0000000000000007E-2</v>
      </c>
      <c r="CC288" s="59">
        <v>0.35859999999999997</v>
      </c>
      <c r="CD288" s="125">
        <v>0.31890000000000002</v>
      </c>
      <c r="CE288" s="125">
        <v>0.31919999999999998</v>
      </c>
      <c r="CF288" s="125">
        <v>3.3999999999999998E-3</v>
      </c>
      <c r="CG288" s="125">
        <v>0</v>
      </c>
      <c r="CH288" s="85">
        <v>15.8</v>
      </c>
      <c r="CI288" s="39" t="s">
        <v>426</v>
      </c>
      <c r="CJ288" s="18" t="s">
        <v>80</v>
      </c>
      <c r="CK288" s="20"/>
    </row>
    <row r="289" spans="1:89" x14ac:dyDescent="0.25">
      <c r="A289" s="18" t="s">
        <v>80</v>
      </c>
      <c r="B289" s="19" t="s">
        <v>427</v>
      </c>
      <c r="C289" s="39" t="s">
        <v>428</v>
      </c>
      <c r="D289" s="40">
        <v>22</v>
      </c>
      <c r="E289" s="40">
        <v>3</v>
      </c>
      <c r="F289" s="40">
        <v>19</v>
      </c>
      <c r="G289" s="166">
        <v>1</v>
      </c>
      <c r="H289" s="166">
        <v>2</v>
      </c>
      <c r="I289" s="166">
        <v>0</v>
      </c>
      <c r="J289" s="166">
        <v>8</v>
      </c>
      <c r="K289" s="166">
        <v>0</v>
      </c>
      <c r="L289" s="166">
        <v>5</v>
      </c>
      <c r="M289" s="166">
        <v>6</v>
      </c>
      <c r="N289" s="119">
        <v>2.53164556962025E-2</v>
      </c>
      <c r="O289" s="119">
        <v>3.6893203883495103E-2</v>
      </c>
      <c r="P289" s="119">
        <v>5.78034682080925E-3</v>
      </c>
      <c r="Q289" s="119">
        <v>1.1049723756906099E-2</v>
      </c>
      <c r="R289" s="119">
        <v>0</v>
      </c>
      <c r="S289" s="119">
        <v>5.4054054054054099E-2</v>
      </c>
      <c r="T289" s="119">
        <v>0</v>
      </c>
      <c r="U289" s="119">
        <v>0.04</v>
      </c>
      <c r="V289" s="119">
        <v>5.5555555555555601E-2</v>
      </c>
      <c r="W289" s="40">
        <v>918</v>
      </c>
      <c r="X289" s="40">
        <f t="shared" si="22"/>
        <v>454</v>
      </c>
      <c r="Y289" s="40">
        <f t="shared" si="23"/>
        <v>775</v>
      </c>
      <c r="Z289" s="105">
        <v>0.48</v>
      </c>
      <c r="AA289" s="105">
        <v>0.52</v>
      </c>
      <c r="AB289" s="106">
        <v>0</v>
      </c>
      <c r="AC289" s="106">
        <f>7/918</f>
        <v>7.6252723311546842E-3</v>
      </c>
      <c r="AD289" s="106">
        <f>675/918</f>
        <v>0.73529411764705888</v>
      </c>
      <c r="AE289" s="106">
        <f>10/918</f>
        <v>1.0893246187363835E-2</v>
      </c>
      <c r="AF289" s="106">
        <v>0</v>
      </c>
      <c r="AG289" s="106">
        <f>222/918</f>
        <v>0.24183006535947713</v>
      </c>
      <c r="AH289" s="106">
        <f>4/918</f>
        <v>4.3572984749455342E-3</v>
      </c>
      <c r="AI289" s="106">
        <f>696/918</f>
        <v>0.75816993464052285</v>
      </c>
      <c r="AJ289" s="105">
        <v>0.89433551198257077</v>
      </c>
      <c r="AK289" s="105">
        <v>1.4E-2</v>
      </c>
      <c r="AL289" s="12">
        <v>155</v>
      </c>
      <c r="AM289" s="12">
        <v>166</v>
      </c>
      <c r="AN289" s="12">
        <v>4</v>
      </c>
      <c r="AO289" s="12">
        <v>137</v>
      </c>
      <c r="AP289" s="12">
        <v>93</v>
      </c>
      <c r="AQ289" s="12">
        <v>122</v>
      </c>
      <c r="AR289" s="12">
        <v>98</v>
      </c>
      <c r="AS289" s="59">
        <v>2.8368794326241134E-2</v>
      </c>
      <c r="AT289" s="3">
        <v>6</v>
      </c>
      <c r="AU289" s="3">
        <v>6</v>
      </c>
      <c r="AV289" s="54">
        <v>60.941828254847643</v>
      </c>
      <c r="AW289" s="54">
        <v>22.437673130193904</v>
      </c>
      <c r="AX289" s="54">
        <v>14.40443213296399</v>
      </c>
      <c r="AY289" s="68">
        <v>2.21606648199446</v>
      </c>
      <c r="AZ289" s="59">
        <v>0.33595284872298625</v>
      </c>
      <c r="BA289" s="59">
        <v>0.05</v>
      </c>
      <c r="BB289" s="77">
        <v>92.262437867114997</v>
      </c>
      <c r="BC289" s="49">
        <v>49.607843137254903</v>
      </c>
      <c r="BD289" s="49">
        <v>12.4</v>
      </c>
      <c r="BE289" s="49">
        <v>1.9</v>
      </c>
      <c r="BF289" s="49">
        <v>5.9</v>
      </c>
      <c r="BG289" s="49">
        <v>4.3</v>
      </c>
      <c r="BH289" s="49">
        <v>2.8</v>
      </c>
      <c r="BI289" s="49">
        <v>2.1</v>
      </c>
      <c r="BJ289" s="85">
        <v>17.2</v>
      </c>
      <c r="BK289" s="129">
        <v>14697</v>
      </c>
      <c r="BL289" s="129">
        <v>51857</v>
      </c>
      <c r="BM289" s="129">
        <v>54910</v>
      </c>
      <c r="BN289" s="129">
        <v>46268</v>
      </c>
      <c r="BO289" s="59">
        <v>0</v>
      </c>
      <c r="BP289" s="59">
        <v>0.37790000000000001</v>
      </c>
      <c r="BQ289" s="59">
        <v>0.22209999999999999</v>
      </c>
      <c r="BR289" s="59">
        <v>9.4000000000000004E-3</v>
      </c>
      <c r="BS289" s="59">
        <v>0</v>
      </c>
      <c r="BT289" s="49">
        <v>15.7</v>
      </c>
      <c r="BU289" s="59">
        <f t="shared" si="20"/>
        <v>0.60939999999999994</v>
      </c>
      <c r="BV289" s="59">
        <v>2.63E-2</v>
      </c>
      <c r="BW289" s="59">
        <v>0</v>
      </c>
      <c r="BX289" s="59">
        <v>3.6700000000000003E-2</v>
      </c>
      <c r="BY289" s="59">
        <v>4.1000000000000003E-3</v>
      </c>
      <c r="BZ289" s="59">
        <v>0</v>
      </c>
      <c r="CA289" s="49">
        <v>19.7</v>
      </c>
      <c r="CB289" s="59">
        <f t="shared" si="21"/>
        <v>6.7100000000000007E-2</v>
      </c>
      <c r="CC289" s="59">
        <v>0.27439999999999998</v>
      </c>
      <c r="CD289" s="125">
        <v>0.4133</v>
      </c>
      <c r="CE289" s="125">
        <v>0.29880000000000001</v>
      </c>
      <c r="CF289" s="125">
        <v>1.35E-2</v>
      </c>
      <c r="CG289" s="125">
        <v>0</v>
      </c>
      <c r="CH289" s="85">
        <v>14.7</v>
      </c>
      <c r="CI289" s="39" t="s">
        <v>428</v>
      </c>
      <c r="CJ289" s="18" t="s">
        <v>80</v>
      </c>
      <c r="CK289" s="20"/>
    </row>
    <row r="290" spans="1:89" x14ac:dyDescent="0.25">
      <c r="A290" s="18" t="s">
        <v>80</v>
      </c>
      <c r="B290" s="19" t="s">
        <v>429</v>
      </c>
      <c r="C290" s="39" t="s">
        <v>430</v>
      </c>
      <c r="D290" s="40">
        <v>8</v>
      </c>
      <c r="E290" s="40" t="s">
        <v>83</v>
      </c>
      <c r="F290" s="40">
        <v>8</v>
      </c>
      <c r="G290" s="162" t="s">
        <v>83</v>
      </c>
      <c r="H290" s="162" t="s">
        <v>83</v>
      </c>
      <c r="I290" s="166">
        <v>0</v>
      </c>
      <c r="J290" s="166">
        <v>4</v>
      </c>
      <c r="K290" s="166">
        <v>1</v>
      </c>
      <c r="L290" s="166">
        <v>2</v>
      </c>
      <c r="M290" s="166">
        <v>1</v>
      </c>
      <c r="N290" s="119">
        <v>4.9079754601226997E-3</v>
      </c>
      <c r="O290" s="119">
        <v>4.9109883364026998E-3</v>
      </c>
      <c r="P290" s="116" t="s">
        <v>83</v>
      </c>
      <c r="Q290" s="116" t="s">
        <v>83</v>
      </c>
      <c r="R290" s="119">
        <v>0</v>
      </c>
      <c r="S290" s="119">
        <v>8.8691796008869197E-3</v>
      </c>
      <c r="T290" s="119">
        <v>2.4213075060532702E-3</v>
      </c>
      <c r="U290" s="119">
        <v>5.4495912806539499E-3</v>
      </c>
      <c r="V290" s="119">
        <v>2.66666666666667E-3</v>
      </c>
      <c r="W290" s="40">
        <v>1577</v>
      </c>
      <c r="X290" s="40">
        <f t="shared" si="22"/>
        <v>1577</v>
      </c>
      <c r="Y290" s="40">
        <f t="shared" si="23"/>
        <v>1577</v>
      </c>
      <c r="Z290" s="105">
        <v>0.48</v>
      </c>
      <c r="AA290" s="105">
        <v>0.52</v>
      </c>
      <c r="AB290" s="106">
        <v>0</v>
      </c>
      <c r="AC290" s="106">
        <f>21/1577</f>
        <v>1.3316423589093214E-2</v>
      </c>
      <c r="AD290" s="106">
        <f>729/1577</f>
        <v>0.46227013316423587</v>
      </c>
      <c r="AE290" s="106">
        <f>13/1577</f>
        <v>8.2435003170577038E-3</v>
      </c>
      <c r="AF290" s="106">
        <v>0</v>
      </c>
      <c r="AG290" s="106">
        <f>796/1577</f>
        <v>0.50475586556753327</v>
      </c>
      <c r="AH290" s="106">
        <f>18/1577</f>
        <v>1.1414077362079899E-2</v>
      </c>
      <c r="AI290" s="106">
        <f>781/1577</f>
        <v>0.49524413443246673</v>
      </c>
      <c r="AJ290" s="105">
        <v>0.36207989854153455</v>
      </c>
      <c r="AK290" s="105">
        <v>7.0000000000000001E-3</v>
      </c>
      <c r="AL290" s="12">
        <v>0</v>
      </c>
      <c r="AM290" s="12">
        <v>0</v>
      </c>
      <c r="AN290" s="12">
        <v>23</v>
      </c>
      <c r="AO290" s="12">
        <v>428</v>
      </c>
      <c r="AP290" s="12">
        <v>406</v>
      </c>
      <c r="AQ290" s="12">
        <v>374</v>
      </c>
      <c r="AR290" s="12">
        <v>346</v>
      </c>
      <c r="AS290" s="59">
        <v>5.0997782705099776E-2</v>
      </c>
      <c r="AT290" s="3">
        <v>9</v>
      </c>
      <c r="AU290" s="3">
        <v>6</v>
      </c>
      <c r="AV290" s="54">
        <v>58.40220385674931</v>
      </c>
      <c r="AW290" s="54">
        <v>23.829201101928373</v>
      </c>
      <c r="AX290" s="54">
        <v>17.4931129476584</v>
      </c>
      <c r="AY290" s="68">
        <v>0.27548209366391185</v>
      </c>
      <c r="AZ290" s="59">
        <v>0.15488629379225569</v>
      </c>
      <c r="BA290" s="59">
        <v>4.5966151057245935E-4</v>
      </c>
      <c r="BB290" s="81">
        <v>96</v>
      </c>
      <c r="BC290" s="49">
        <v>24.769514443761501</v>
      </c>
      <c r="BD290" s="90" t="s">
        <v>83</v>
      </c>
      <c r="BE290" s="90" t="s">
        <v>83</v>
      </c>
      <c r="BF290" s="49">
        <v>4.7</v>
      </c>
      <c r="BG290" s="49">
        <v>0.3</v>
      </c>
      <c r="BH290" s="49">
        <v>0.9</v>
      </c>
      <c r="BI290" s="49">
        <v>4.0999999999999996</v>
      </c>
      <c r="BJ290" s="85">
        <v>20.7</v>
      </c>
      <c r="BK290" s="129">
        <v>9845</v>
      </c>
      <c r="BL290" s="129">
        <v>53956</v>
      </c>
      <c r="BM290" s="129">
        <v>57859</v>
      </c>
      <c r="BN290" s="129">
        <v>48394</v>
      </c>
      <c r="BO290" s="59">
        <v>1.23E-2</v>
      </c>
      <c r="BP290" s="59">
        <v>0.44330000000000003</v>
      </c>
      <c r="BQ290" s="59">
        <v>0.18770000000000001</v>
      </c>
      <c r="BR290" s="59">
        <v>0</v>
      </c>
      <c r="BS290" s="59">
        <v>1.23E-2</v>
      </c>
      <c r="BT290" s="49">
        <v>12.4</v>
      </c>
      <c r="BU290" s="59">
        <f t="shared" si="20"/>
        <v>0.65559999999999996</v>
      </c>
      <c r="BV290" s="59">
        <v>4.2999999999999997E-2</v>
      </c>
      <c r="BW290" s="59">
        <v>6.1000000000000004E-3</v>
      </c>
      <c r="BX290" s="59">
        <v>2.3300000000000001E-2</v>
      </c>
      <c r="BY290" s="59">
        <v>6.1000000000000004E-3</v>
      </c>
      <c r="BZ290" s="59">
        <v>0</v>
      </c>
      <c r="CA290" s="49">
        <v>11.5</v>
      </c>
      <c r="CB290" s="59">
        <f t="shared" si="21"/>
        <v>7.8499999999999986E-2</v>
      </c>
      <c r="CC290" s="59">
        <v>0.18079999999999999</v>
      </c>
      <c r="CD290" s="125">
        <v>0.57669999999999999</v>
      </c>
      <c r="CE290" s="125">
        <v>0.24249999999999999</v>
      </c>
      <c r="CF290" s="125">
        <v>0</v>
      </c>
      <c r="CG290" s="125">
        <v>0</v>
      </c>
      <c r="CH290" s="85">
        <v>10.7</v>
      </c>
      <c r="CI290" s="39" t="s">
        <v>430</v>
      </c>
      <c r="CJ290" s="18" t="s">
        <v>80</v>
      </c>
      <c r="CK290" s="20"/>
    </row>
    <row r="291" spans="1:89" x14ac:dyDescent="0.25">
      <c r="A291" s="18" t="s">
        <v>80</v>
      </c>
      <c r="B291" s="19" t="s">
        <v>431</v>
      </c>
      <c r="C291" s="39" t="s">
        <v>432</v>
      </c>
      <c r="D291" s="40">
        <v>40</v>
      </c>
      <c r="E291" s="40" t="s">
        <v>83</v>
      </c>
      <c r="F291" s="40">
        <v>40</v>
      </c>
      <c r="G291" s="162" t="s">
        <v>83</v>
      </c>
      <c r="H291" s="162" t="s">
        <v>83</v>
      </c>
      <c r="I291" s="166">
        <v>1</v>
      </c>
      <c r="J291" s="166">
        <v>15</v>
      </c>
      <c r="K291" s="166">
        <v>10</v>
      </c>
      <c r="L291" s="166">
        <v>9</v>
      </c>
      <c r="M291" s="166">
        <v>5</v>
      </c>
      <c r="N291" s="119">
        <v>7.0671378091872794E-2</v>
      </c>
      <c r="O291" s="119">
        <v>7.0671378091872794E-2</v>
      </c>
      <c r="P291" s="116" t="s">
        <v>83</v>
      </c>
      <c r="Q291" s="116" t="s">
        <v>83</v>
      </c>
      <c r="R291" s="119">
        <v>4.7619047619047603E-2</v>
      </c>
      <c r="S291" s="119">
        <v>9.1463414634146298E-2</v>
      </c>
      <c r="T291" s="119">
        <v>6.9930069930069894E-2</v>
      </c>
      <c r="U291" s="119">
        <v>6.8181818181818205E-2</v>
      </c>
      <c r="V291" s="119">
        <v>4.71698113207547E-2</v>
      </c>
      <c r="W291" s="40">
        <v>482</v>
      </c>
      <c r="X291" s="40">
        <f t="shared" si="22"/>
        <v>482</v>
      </c>
      <c r="Y291" s="40">
        <f t="shared" si="23"/>
        <v>482</v>
      </c>
      <c r="Z291" s="105">
        <v>0.46500000000000002</v>
      </c>
      <c r="AA291" s="105">
        <v>0.53500000000000003</v>
      </c>
      <c r="AB291" s="106">
        <v>0</v>
      </c>
      <c r="AC291" s="106">
        <f>1/482</f>
        <v>2.0746887966804979E-3</v>
      </c>
      <c r="AD291" s="106">
        <f>467/482</f>
        <v>0.96887966804979253</v>
      </c>
      <c r="AE291" s="106">
        <f>2/482</f>
        <v>4.1493775933609959E-3</v>
      </c>
      <c r="AF291" s="106">
        <v>0</v>
      </c>
      <c r="AG291" s="106">
        <f>12/482</f>
        <v>2.4896265560165973E-2</v>
      </c>
      <c r="AH291" s="106">
        <v>0</v>
      </c>
      <c r="AI291" s="106">
        <f>470/482</f>
        <v>0.975103734439834</v>
      </c>
      <c r="AJ291" s="105">
        <v>0.82780082987551862</v>
      </c>
      <c r="AK291" s="105">
        <v>0</v>
      </c>
      <c r="AL291" s="12">
        <v>0</v>
      </c>
      <c r="AM291" s="12">
        <v>0</v>
      </c>
      <c r="AN291" s="12">
        <v>10</v>
      </c>
      <c r="AO291" s="12">
        <v>136</v>
      </c>
      <c r="AP291" s="12">
        <v>121</v>
      </c>
      <c r="AQ291" s="12">
        <v>123</v>
      </c>
      <c r="AR291" s="12">
        <v>92</v>
      </c>
      <c r="AS291" s="59">
        <v>6.8493150684931503E-2</v>
      </c>
      <c r="AT291" s="3">
        <v>9</v>
      </c>
      <c r="AU291" s="3">
        <v>6</v>
      </c>
      <c r="AV291" s="54">
        <v>73.356401384083043</v>
      </c>
      <c r="AW291" s="54">
        <v>24.567474048442904</v>
      </c>
      <c r="AX291" s="54">
        <v>2.0761245674740483</v>
      </c>
      <c r="AY291" s="68">
        <v>0</v>
      </c>
      <c r="AZ291" s="59">
        <v>0.49367088607594939</v>
      </c>
      <c r="BA291" s="59">
        <v>3.1148174734268448E-3</v>
      </c>
      <c r="BB291" s="77">
        <v>93.310301024665506</v>
      </c>
      <c r="BC291" s="49">
        <v>47.016274864376101</v>
      </c>
      <c r="BD291" s="90" t="s">
        <v>83</v>
      </c>
      <c r="BE291" s="90" t="s">
        <v>83</v>
      </c>
      <c r="BF291" s="49">
        <v>11.8</v>
      </c>
      <c r="BG291" s="49">
        <v>13.6</v>
      </c>
      <c r="BH291" s="49">
        <v>6.4</v>
      </c>
      <c r="BI291" s="49">
        <v>7.4</v>
      </c>
      <c r="BJ291" s="85">
        <v>17.5</v>
      </c>
      <c r="BK291" s="129">
        <v>12798</v>
      </c>
      <c r="BL291" s="129">
        <v>46049</v>
      </c>
      <c r="BM291" s="129">
        <v>73227</v>
      </c>
      <c r="BN291" s="129">
        <v>40602</v>
      </c>
      <c r="BO291" s="59">
        <v>0</v>
      </c>
      <c r="BP291" s="59">
        <v>0.44640000000000002</v>
      </c>
      <c r="BQ291" s="59">
        <v>0.2077</v>
      </c>
      <c r="BR291" s="59">
        <v>0</v>
      </c>
      <c r="BS291" s="59">
        <v>2.2499999999999999E-2</v>
      </c>
      <c r="BT291" s="49">
        <v>16.600000000000001</v>
      </c>
      <c r="BU291" s="59">
        <f t="shared" si="20"/>
        <v>0.67659999999999998</v>
      </c>
      <c r="BV291" s="59">
        <v>0</v>
      </c>
      <c r="BW291" s="59">
        <v>0</v>
      </c>
      <c r="BX291" s="59">
        <v>0</v>
      </c>
      <c r="BY291" s="59">
        <v>0</v>
      </c>
      <c r="BZ291" s="59">
        <v>4.4699999999999997E-2</v>
      </c>
      <c r="CA291" s="49">
        <v>22.5</v>
      </c>
      <c r="CB291" s="59">
        <f t="shared" si="21"/>
        <v>4.4699999999999997E-2</v>
      </c>
      <c r="CC291" s="59">
        <v>0.16639999999999999</v>
      </c>
      <c r="CD291" s="125">
        <v>0.51380000000000003</v>
      </c>
      <c r="CE291" s="125">
        <v>0.25259999999999999</v>
      </c>
      <c r="CF291" s="125">
        <v>0</v>
      </c>
      <c r="CG291" s="125">
        <v>6.7199999999999996E-2</v>
      </c>
      <c r="CH291" s="85">
        <v>15.1</v>
      </c>
      <c r="CI291" s="39" t="s">
        <v>432</v>
      </c>
      <c r="CJ291" s="18" t="s">
        <v>80</v>
      </c>
      <c r="CK291" s="20"/>
    </row>
    <row r="292" spans="1:89" x14ac:dyDescent="0.25">
      <c r="A292" s="18" t="s">
        <v>80</v>
      </c>
      <c r="B292" s="19" t="s">
        <v>433</v>
      </c>
      <c r="C292" s="39" t="s">
        <v>160</v>
      </c>
      <c r="D292" s="40">
        <v>30</v>
      </c>
      <c r="E292" s="40" t="s">
        <v>83</v>
      </c>
      <c r="F292" s="40">
        <v>30</v>
      </c>
      <c r="G292" s="162" t="s">
        <v>83</v>
      </c>
      <c r="H292" s="162" t="s">
        <v>83</v>
      </c>
      <c r="I292" s="166">
        <v>0</v>
      </c>
      <c r="J292" s="166">
        <v>10</v>
      </c>
      <c r="K292" s="166">
        <v>9</v>
      </c>
      <c r="L292" s="166">
        <v>9</v>
      </c>
      <c r="M292" s="166">
        <v>2</v>
      </c>
      <c r="N292" s="119">
        <v>2.18978102189781E-2</v>
      </c>
      <c r="O292" s="119">
        <v>2.18978102189781E-2</v>
      </c>
      <c r="P292" s="116" t="s">
        <v>83</v>
      </c>
      <c r="Q292" s="116" t="s">
        <v>83</v>
      </c>
      <c r="R292" s="119">
        <v>0</v>
      </c>
      <c r="S292" s="119">
        <v>2.6455026455026499E-2</v>
      </c>
      <c r="T292" s="119">
        <v>2.3316062176165799E-2</v>
      </c>
      <c r="U292" s="119">
        <v>2.8753993610223599E-2</v>
      </c>
      <c r="V292" s="119">
        <v>6.9930069930069904E-3</v>
      </c>
      <c r="W292" s="40">
        <v>1310</v>
      </c>
      <c r="X292" s="40">
        <f t="shared" si="22"/>
        <v>1310</v>
      </c>
      <c r="Y292" s="40">
        <f t="shared" si="23"/>
        <v>1310</v>
      </c>
      <c r="Z292" s="105">
        <v>0.48199999999999998</v>
      </c>
      <c r="AA292" s="105">
        <v>0.51800000000000002</v>
      </c>
      <c r="AB292" s="106">
        <f>4/1310</f>
        <v>3.0534351145038168E-3</v>
      </c>
      <c r="AC292" s="106">
        <f>8/1310</f>
        <v>6.1068702290076335E-3</v>
      </c>
      <c r="AD292" s="106">
        <f>261/1310</f>
        <v>0.19923664122137405</v>
      </c>
      <c r="AE292" s="106">
        <f>34/1310</f>
        <v>2.5954198473282442E-2</v>
      </c>
      <c r="AF292" s="106">
        <v>0</v>
      </c>
      <c r="AG292" s="106">
        <f>995/1310</f>
        <v>0.75954198473282442</v>
      </c>
      <c r="AH292" s="106">
        <f>8/1310</f>
        <v>6.1068702290076335E-3</v>
      </c>
      <c r="AI292" s="106">
        <f>315/1310</f>
        <v>0.24045801526717558</v>
      </c>
      <c r="AJ292" s="105">
        <v>0.37709923664122136</v>
      </c>
      <c r="AK292" s="105">
        <v>5.0000000000000001E-3</v>
      </c>
      <c r="AL292" s="12">
        <v>0</v>
      </c>
      <c r="AM292" s="12">
        <v>0</v>
      </c>
      <c r="AN292" s="12">
        <v>8</v>
      </c>
      <c r="AO292" s="12">
        <v>360</v>
      </c>
      <c r="AP292" s="12">
        <v>363</v>
      </c>
      <c r="AQ292" s="12">
        <v>301</v>
      </c>
      <c r="AR292" s="12">
        <v>278</v>
      </c>
      <c r="AS292" s="59">
        <v>2.1739130434782608E-2</v>
      </c>
      <c r="AT292" s="3">
        <v>9</v>
      </c>
      <c r="AU292" s="3">
        <v>6</v>
      </c>
      <c r="AV292" s="54">
        <v>54.144385026737972</v>
      </c>
      <c r="AW292" s="54">
        <v>24.732620320855613</v>
      </c>
      <c r="AX292" s="54">
        <v>20.72192513368984</v>
      </c>
      <c r="AY292" s="68">
        <v>0.40106951871657759</v>
      </c>
      <c r="AZ292" s="59">
        <v>0.10514705882352941</v>
      </c>
      <c r="BA292" s="59">
        <v>6.143727293330796E-2</v>
      </c>
      <c r="BB292" s="77">
        <v>93.676170470126607</v>
      </c>
      <c r="BC292" s="49">
        <v>26.451138868479099</v>
      </c>
      <c r="BD292" s="90" t="s">
        <v>83</v>
      </c>
      <c r="BE292" s="90" t="s">
        <v>83</v>
      </c>
      <c r="BF292" s="49">
        <v>5.9</v>
      </c>
      <c r="BG292" s="49">
        <v>1.7</v>
      </c>
      <c r="BH292" s="49">
        <v>3.9</v>
      </c>
      <c r="BI292" s="49">
        <v>0.4</v>
      </c>
      <c r="BJ292" s="85">
        <v>21.1</v>
      </c>
      <c r="BK292" s="129">
        <v>9970</v>
      </c>
      <c r="BL292" s="129">
        <v>48697</v>
      </c>
      <c r="BM292" s="129">
        <v>50550</v>
      </c>
      <c r="BN292" s="129">
        <v>44581</v>
      </c>
      <c r="BO292" s="59">
        <v>8.3000000000000001E-3</v>
      </c>
      <c r="BP292" s="59">
        <v>0.39760000000000001</v>
      </c>
      <c r="BQ292" s="59">
        <v>0.27510000000000001</v>
      </c>
      <c r="BR292" s="59">
        <v>1.6999999999999999E-3</v>
      </c>
      <c r="BS292" s="59">
        <v>0</v>
      </c>
      <c r="BT292" s="49">
        <v>13.7</v>
      </c>
      <c r="BU292" s="59">
        <f t="shared" si="20"/>
        <v>0.68270000000000008</v>
      </c>
      <c r="BV292" s="59">
        <v>2.4899999999999999E-2</v>
      </c>
      <c r="BW292" s="59">
        <v>0</v>
      </c>
      <c r="BX292" s="59">
        <v>3.3300000000000003E-2</v>
      </c>
      <c r="BY292" s="59">
        <v>0</v>
      </c>
      <c r="BZ292" s="59">
        <v>0</v>
      </c>
      <c r="CA292" s="49">
        <v>23.3</v>
      </c>
      <c r="CB292" s="59">
        <f t="shared" si="21"/>
        <v>5.8200000000000002E-2</v>
      </c>
      <c r="CC292" s="59">
        <v>0.19120000000000001</v>
      </c>
      <c r="CD292" s="125">
        <v>0.43919999999999998</v>
      </c>
      <c r="CE292" s="125">
        <v>0.35410000000000003</v>
      </c>
      <c r="CF292" s="125">
        <v>1.55E-2</v>
      </c>
      <c r="CG292" s="125">
        <v>0</v>
      </c>
      <c r="CH292" s="85">
        <v>14.1</v>
      </c>
      <c r="CI292" s="39" t="s">
        <v>160</v>
      </c>
      <c r="CJ292" s="18" t="s">
        <v>80</v>
      </c>
      <c r="CK292" s="20"/>
    </row>
    <row r="293" spans="1:89" x14ac:dyDescent="0.25">
      <c r="A293" s="18" t="s">
        <v>80</v>
      </c>
      <c r="B293" s="19" t="s">
        <v>434</v>
      </c>
      <c r="C293" s="39" t="s">
        <v>435</v>
      </c>
      <c r="D293" s="40">
        <v>48</v>
      </c>
      <c r="E293" s="40" t="s">
        <v>83</v>
      </c>
      <c r="F293" s="40">
        <v>48</v>
      </c>
      <c r="G293" s="162" t="s">
        <v>83</v>
      </c>
      <c r="H293" s="162" t="s">
        <v>83</v>
      </c>
      <c r="I293" s="162" t="s">
        <v>83</v>
      </c>
      <c r="J293" s="166">
        <v>18</v>
      </c>
      <c r="K293" s="166">
        <v>18</v>
      </c>
      <c r="L293" s="166">
        <v>8</v>
      </c>
      <c r="M293" s="166">
        <v>4</v>
      </c>
      <c r="N293" s="119">
        <v>5.9701492537313397E-2</v>
      </c>
      <c r="O293" s="119">
        <v>5.9701492537313397E-2</v>
      </c>
      <c r="P293" s="116" t="s">
        <v>83</v>
      </c>
      <c r="Q293" s="116" t="s">
        <v>83</v>
      </c>
      <c r="R293" s="116" t="s">
        <v>83</v>
      </c>
      <c r="S293" s="119">
        <v>8.0357142857142905E-2</v>
      </c>
      <c r="T293" s="119">
        <v>7.69230769230769E-2</v>
      </c>
      <c r="U293" s="119">
        <v>4.9689440993788803E-2</v>
      </c>
      <c r="V293" s="119">
        <v>2.66666666666667E-2</v>
      </c>
      <c r="W293" s="40">
        <v>698</v>
      </c>
      <c r="X293" s="40">
        <f t="shared" si="22"/>
        <v>698</v>
      </c>
      <c r="Y293" s="40">
        <f t="shared" si="23"/>
        <v>698</v>
      </c>
      <c r="Z293" s="105">
        <v>0.52300000000000002</v>
      </c>
      <c r="AA293" s="105">
        <v>0.47699999999999998</v>
      </c>
      <c r="AB293" s="106">
        <v>0</v>
      </c>
      <c r="AC293" s="106">
        <v>0</v>
      </c>
      <c r="AD293" s="106">
        <f>692/698</f>
        <v>0.99140401146131807</v>
      </c>
      <c r="AE293" s="106">
        <f>2/698</f>
        <v>2.8653295128939827E-3</v>
      </c>
      <c r="AF293" s="106">
        <v>0</v>
      </c>
      <c r="AG293" s="106">
        <f>4/698</f>
        <v>5.7306590257879654E-3</v>
      </c>
      <c r="AH293" s="106">
        <v>0</v>
      </c>
      <c r="AI293" s="106">
        <f>694/698</f>
        <v>0.99426934097421205</v>
      </c>
      <c r="AJ293" s="105">
        <v>0.91977077363896853</v>
      </c>
      <c r="AK293" s="105">
        <v>0</v>
      </c>
      <c r="AL293" s="12">
        <v>0</v>
      </c>
      <c r="AM293" s="12">
        <v>0</v>
      </c>
      <c r="AN293" s="12">
        <v>0</v>
      </c>
      <c r="AO293" s="12">
        <v>206</v>
      </c>
      <c r="AP293" s="12">
        <v>201</v>
      </c>
      <c r="AQ293" s="12">
        <v>149</v>
      </c>
      <c r="AR293" s="12">
        <v>142</v>
      </c>
      <c r="AS293" s="59">
        <v>0</v>
      </c>
      <c r="AT293" s="3">
        <v>9</v>
      </c>
      <c r="AU293" s="3">
        <v>5</v>
      </c>
      <c r="AV293" s="54">
        <v>43.214285714285715</v>
      </c>
      <c r="AW293" s="54">
        <v>31.428571428571427</v>
      </c>
      <c r="AX293" s="54">
        <v>24.285714285714285</v>
      </c>
      <c r="AY293" s="68">
        <v>1.0714285714285714</v>
      </c>
      <c r="AZ293" s="65">
        <v>0</v>
      </c>
      <c r="BA293" s="59">
        <v>0.27849740932642486</v>
      </c>
      <c r="BB293" s="76">
        <v>94.005652616874201</v>
      </c>
      <c r="BC293" s="49">
        <v>20.336787564766801</v>
      </c>
      <c r="BD293" s="90" t="s">
        <v>83</v>
      </c>
      <c r="BE293" s="90" t="s">
        <v>83</v>
      </c>
      <c r="BF293" s="49">
        <v>5.3</v>
      </c>
      <c r="BG293" s="49">
        <v>3.4</v>
      </c>
      <c r="BH293" s="49">
        <v>0</v>
      </c>
      <c r="BI293" s="49">
        <v>3.8</v>
      </c>
      <c r="BJ293" s="85">
        <v>16.8</v>
      </c>
      <c r="BK293" s="129">
        <v>11105</v>
      </c>
      <c r="BL293" s="129">
        <v>44876</v>
      </c>
      <c r="BM293" s="129">
        <v>74973</v>
      </c>
      <c r="BN293" s="129">
        <v>41264</v>
      </c>
      <c r="BO293" s="59">
        <v>0</v>
      </c>
      <c r="BP293" s="59">
        <v>0.4163</v>
      </c>
      <c r="BQ293" s="59">
        <v>0.13389999999999999</v>
      </c>
      <c r="BR293" s="59">
        <v>0</v>
      </c>
      <c r="BS293" s="59">
        <v>2.7300000000000001E-2</v>
      </c>
      <c r="BT293" s="49">
        <v>5.2</v>
      </c>
      <c r="BU293" s="59">
        <f t="shared" si="20"/>
        <v>0.57750000000000001</v>
      </c>
      <c r="BV293" s="59">
        <v>1.3599999999999999E-2</v>
      </c>
      <c r="BW293" s="59">
        <v>0</v>
      </c>
      <c r="BX293" s="59">
        <v>2.6100000000000002E-2</v>
      </c>
      <c r="BY293" s="59">
        <v>0</v>
      </c>
      <c r="BZ293" s="59">
        <v>0</v>
      </c>
      <c r="CA293" s="49">
        <v>16.100000000000001</v>
      </c>
      <c r="CB293" s="59">
        <f t="shared" si="21"/>
        <v>3.9699999999999999E-2</v>
      </c>
      <c r="CC293" s="59">
        <v>0.18490000000000001</v>
      </c>
      <c r="CD293" s="125">
        <v>0.51859999999999995</v>
      </c>
      <c r="CE293" s="125">
        <v>0.2555</v>
      </c>
      <c r="CF293" s="125">
        <v>0</v>
      </c>
      <c r="CG293" s="125">
        <v>4.0899999999999999E-2</v>
      </c>
      <c r="CH293" s="85">
        <v>6.4</v>
      </c>
      <c r="CI293" s="39" t="s">
        <v>435</v>
      </c>
      <c r="CJ293" s="18" t="s">
        <v>80</v>
      </c>
      <c r="CK293" s="20"/>
    </row>
    <row r="294" spans="1:89" x14ac:dyDescent="0.25">
      <c r="A294" s="18" t="s">
        <v>80</v>
      </c>
      <c r="B294" s="39" t="s">
        <v>436</v>
      </c>
      <c r="C294" s="39" t="s">
        <v>436</v>
      </c>
      <c r="D294" s="40">
        <v>5</v>
      </c>
      <c r="E294" s="40" t="s">
        <v>83</v>
      </c>
      <c r="F294" s="40">
        <v>5</v>
      </c>
      <c r="G294" s="162" t="s">
        <v>83</v>
      </c>
      <c r="H294" s="162" t="s">
        <v>83</v>
      </c>
      <c r="I294" s="162" t="s">
        <v>83</v>
      </c>
      <c r="J294" s="162" t="s">
        <v>83</v>
      </c>
      <c r="K294" s="166">
        <v>3</v>
      </c>
      <c r="L294" s="166">
        <v>2</v>
      </c>
      <c r="M294" s="166">
        <v>0</v>
      </c>
      <c r="N294" s="119">
        <v>1.6025641025641E-2</v>
      </c>
      <c r="O294" s="119">
        <v>1.6025641025641E-2</v>
      </c>
      <c r="P294" s="116" t="s">
        <v>83</v>
      </c>
      <c r="Q294" s="116" t="s">
        <v>83</v>
      </c>
      <c r="R294" s="116" t="s">
        <v>83</v>
      </c>
      <c r="S294" s="116" t="s">
        <v>83</v>
      </c>
      <c r="T294" s="119">
        <v>3.7499999999999999E-2</v>
      </c>
      <c r="U294" s="119">
        <v>1.6E-2</v>
      </c>
      <c r="V294" s="119">
        <v>0</v>
      </c>
      <c r="W294" s="40">
        <v>308</v>
      </c>
      <c r="X294" s="40">
        <f t="shared" si="22"/>
        <v>308</v>
      </c>
      <c r="Y294" s="40">
        <f t="shared" si="23"/>
        <v>308</v>
      </c>
      <c r="Z294" s="105">
        <v>0.60399999999999998</v>
      </c>
      <c r="AA294" s="105">
        <v>0.39600000000000002</v>
      </c>
      <c r="AB294" s="106">
        <f>6/308</f>
        <v>1.948051948051948E-2</v>
      </c>
      <c r="AC294" s="106">
        <f>26/308</f>
        <v>8.4415584415584416E-2</v>
      </c>
      <c r="AD294" s="106">
        <f>31/308</f>
        <v>0.10064935064935066</v>
      </c>
      <c r="AE294" s="106">
        <f>8/308</f>
        <v>2.5974025974025976E-2</v>
      </c>
      <c r="AF294" s="106">
        <f>12/308</f>
        <v>3.896103896103896E-2</v>
      </c>
      <c r="AG294" s="106">
        <f>225/308</f>
        <v>0.73051948051948057</v>
      </c>
      <c r="AH294" s="106">
        <v>0</v>
      </c>
      <c r="AI294" s="106">
        <f>83/308</f>
        <v>0.26948051948051949</v>
      </c>
      <c r="AJ294" s="105">
        <v>0.22077922077922077</v>
      </c>
      <c r="AK294" s="105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78</v>
      </c>
      <c r="AQ294" s="12">
        <v>124</v>
      </c>
      <c r="AR294" s="12">
        <v>106</v>
      </c>
      <c r="AS294" s="59" t="s">
        <v>83</v>
      </c>
      <c r="AT294" s="3">
        <v>10</v>
      </c>
      <c r="AU294" s="3">
        <v>9</v>
      </c>
      <c r="AV294" s="54">
        <v>97.756410256410248</v>
      </c>
      <c r="AW294" s="54">
        <v>1.9230769230769231</v>
      </c>
      <c r="AX294" s="54">
        <v>0.32051282051282048</v>
      </c>
      <c r="AY294" s="68">
        <v>0</v>
      </c>
      <c r="AZ294" s="65">
        <v>0</v>
      </c>
      <c r="BA294" s="59">
        <v>2.2658610271903325E-3</v>
      </c>
      <c r="BB294" s="81">
        <v>96</v>
      </c>
      <c r="BC294" s="84"/>
      <c r="BD294" s="90" t="s">
        <v>83</v>
      </c>
      <c r="BE294" s="90" t="s">
        <v>83</v>
      </c>
      <c r="BF294" s="90" t="s">
        <v>83</v>
      </c>
      <c r="BG294" s="49">
        <v>0</v>
      </c>
      <c r="BH294" s="49">
        <v>0</v>
      </c>
      <c r="BI294" s="93">
        <v>0</v>
      </c>
      <c r="BJ294" s="85">
        <v>29.8</v>
      </c>
      <c r="BK294" s="129">
        <v>28770</v>
      </c>
      <c r="BL294" s="129">
        <v>60567</v>
      </c>
      <c r="BM294" s="129">
        <v>91507</v>
      </c>
      <c r="BN294" s="129">
        <v>52358</v>
      </c>
      <c r="BO294" s="59">
        <v>0</v>
      </c>
      <c r="BP294" s="59">
        <v>1.1599999999999999E-2</v>
      </c>
      <c r="BQ294" s="59">
        <v>0.15820000000000001</v>
      </c>
      <c r="BR294" s="59">
        <v>0</v>
      </c>
      <c r="BS294" s="59">
        <v>0.28489999999999999</v>
      </c>
      <c r="BT294" s="49">
        <v>14.7</v>
      </c>
      <c r="BU294" s="59">
        <f t="shared" si="20"/>
        <v>0.45469999999999999</v>
      </c>
      <c r="BV294" s="59">
        <v>0</v>
      </c>
      <c r="BW294" s="59">
        <v>0</v>
      </c>
      <c r="BX294" s="102">
        <v>1.1599999999999999E-2</v>
      </c>
      <c r="BY294" s="59">
        <v>0</v>
      </c>
      <c r="BZ294" s="59">
        <v>9.1999999999999998E-3</v>
      </c>
      <c r="CA294" s="49">
        <v>24.1</v>
      </c>
      <c r="CB294" s="59">
        <f t="shared" si="21"/>
        <v>2.0799999999999999E-2</v>
      </c>
      <c r="CC294" s="59">
        <v>0.1734</v>
      </c>
      <c r="CD294" s="125">
        <v>0.21959999999999999</v>
      </c>
      <c r="CE294" s="125">
        <v>0.30120000000000002</v>
      </c>
      <c r="CF294" s="125">
        <v>0</v>
      </c>
      <c r="CG294" s="125">
        <v>0.30570000000000003</v>
      </c>
      <c r="CH294" s="85">
        <v>13.7</v>
      </c>
      <c r="CI294" s="39" t="s">
        <v>436</v>
      </c>
      <c r="CJ294" s="18" t="s">
        <v>80</v>
      </c>
      <c r="CK294" s="20"/>
    </row>
    <row r="295" spans="1:89" x14ac:dyDescent="0.25">
      <c r="A295" s="18" t="s">
        <v>80</v>
      </c>
      <c r="B295" s="39" t="s">
        <v>437</v>
      </c>
      <c r="C295" s="39" t="s">
        <v>437</v>
      </c>
      <c r="D295" s="40">
        <v>0</v>
      </c>
      <c r="E295" s="40">
        <v>0</v>
      </c>
      <c r="F295" s="40">
        <v>0</v>
      </c>
      <c r="G295" s="166">
        <v>0</v>
      </c>
      <c r="H295" s="166">
        <v>0</v>
      </c>
      <c r="I295" s="162" t="s">
        <v>83</v>
      </c>
      <c r="J295" s="166">
        <v>0</v>
      </c>
      <c r="K295" s="166">
        <v>0</v>
      </c>
      <c r="L295" s="166">
        <v>0</v>
      </c>
      <c r="M295" s="166">
        <v>0</v>
      </c>
      <c r="N295" s="119">
        <v>0</v>
      </c>
      <c r="O295" s="119">
        <v>0</v>
      </c>
      <c r="P295" s="119">
        <v>0</v>
      </c>
      <c r="Q295" s="119">
        <v>0</v>
      </c>
      <c r="R295" s="116" t="s">
        <v>83</v>
      </c>
      <c r="S295" s="119">
        <v>0</v>
      </c>
      <c r="T295" s="119">
        <v>0</v>
      </c>
      <c r="U295" s="119">
        <v>0</v>
      </c>
      <c r="V295" s="119">
        <v>0</v>
      </c>
      <c r="W295" s="40">
        <v>1414</v>
      </c>
      <c r="X295" s="40">
        <f t="shared" si="22"/>
        <v>448</v>
      </c>
      <c r="Y295" s="40">
        <f t="shared" si="23"/>
        <v>673</v>
      </c>
      <c r="Z295" s="105">
        <v>0.51700000000000002</v>
      </c>
      <c r="AA295" s="105">
        <v>0.48299999999999998</v>
      </c>
      <c r="AB295" s="106">
        <f>2/1414</f>
        <v>1.4144271570014145E-3</v>
      </c>
      <c r="AC295" s="106">
        <f>44/1414</f>
        <v>3.1117397454031116E-2</v>
      </c>
      <c r="AD295" s="106">
        <f>138/1414</f>
        <v>9.7595473833097593E-2</v>
      </c>
      <c r="AE295" s="106">
        <f>11/1414</f>
        <v>7.7793493635077791E-3</v>
      </c>
      <c r="AF295" s="106">
        <v>0</v>
      </c>
      <c r="AG295" s="106">
        <f>1204/1414</f>
        <v>0.85148514851485146</v>
      </c>
      <c r="AH295" s="106">
        <f>15/1414</f>
        <v>1.0608203677510608E-2</v>
      </c>
      <c r="AI295" s="106">
        <f>210/1414</f>
        <v>0.14851485148514851</v>
      </c>
      <c r="AJ295" s="105">
        <v>4.1725601131541723E-2</v>
      </c>
      <c r="AK295" s="105">
        <v>0</v>
      </c>
      <c r="AL295" s="12">
        <v>112</v>
      </c>
      <c r="AM295" s="12">
        <v>113</v>
      </c>
      <c r="AN295" s="12">
        <v>0</v>
      </c>
      <c r="AO295" s="12">
        <v>114</v>
      </c>
      <c r="AP295" s="12">
        <v>114</v>
      </c>
      <c r="AQ295" s="12">
        <v>111</v>
      </c>
      <c r="AR295" s="12">
        <v>109</v>
      </c>
      <c r="AS295" s="59">
        <v>0</v>
      </c>
      <c r="AT295" s="3">
        <v>1</v>
      </c>
      <c r="AU295" s="3">
        <v>8</v>
      </c>
      <c r="AV295" s="54">
        <v>29.067641681901279</v>
      </c>
      <c r="AW295" s="54">
        <v>61.425959780621575</v>
      </c>
      <c r="AX295" s="54">
        <v>8.2266910420475323</v>
      </c>
      <c r="AY295" s="68">
        <v>1.2797074954296161</v>
      </c>
      <c r="AZ295" s="59">
        <v>5.4742821340749677E-3</v>
      </c>
      <c r="BA295" s="59">
        <v>5.090453373588248E-3</v>
      </c>
      <c r="BB295" s="81">
        <v>96</v>
      </c>
      <c r="BC295" s="49">
        <v>6.8917987594762198E-2</v>
      </c>
      <c r="BD295" s="93">
        <v>0</v>
      </c>
      <c r="BE295" s="93">
        <v>0</v>
      </c>
      <c r="BF295" s="93">
        <v>0</v>
      </c>
      <c r="BG295" s="49">
        <v>0</v>
      </c>
      <c r="BH295" s="49">
        <v>0</v>
      </c>
      <c r="BI295" s="93">
        <v>0</v>
      </c>
      <c r="BJ295" s="85">
        <v>24.9</v>
      </c>
      <c r="BK295" s="129">
        <v>9174</v>
      </c>
      <c r="BL295" s="129">
        <v>65004</v>
      </c>
      <c r="BM295" s="129">
        <v>68789</v>
      </c>
      <c r="BN295" s="129">
        <v>62274</v>
      </c>
      <c r="BO295" s="59">
        <v>0</v>
      </c>
      <c r="BP295" s="102">
        <v>2.3599999999999999E-2</v>
      </c>
      <c r="BQ295" s="59">
        <v>0.54859999999999998</v>
      </c>
      <c r="BR295" s="59">
        <v>3.9300000000000002E-2</v>
      </c>
      <c r="BS295" s="59">
        <v>3.0099999999999998E-2</v>
      </c>
      <c r="BT295" s="49">
        <v>17</v>
      </c>
      <c r="BU295" s="59">
        <f t="shared" si="20"/>
        <v>0.64159999999999995</v>
      </c>
      <c r="BV295" s="59">
        <v>1.5699999999999999E-2</v>
      </c>
      <c r="BW295" s="59">
        <v>1.5699999999999999E-2</v>
      </c>
      <c r="BX295" s="59">
        <v>1.5699999999999999E-2</v>
      </c>
      <c r="BY295" s="59">
        <v>0</v>
      </c>
      <c r="BZ295" s="59">
        <v>7.9000000000000008E-3</v>
      </c>
      <c r="CA295" s="49">
        <v>23.7</v>
      </c>
      <c r="CB295" s="59">
        <f t="shared" si="21"/>
        <v>5.4999999999999993E-2</v>
      </c>
      <c r="CC295" s="59">
        <v>4.7199999999999999E-2</v>
      </c>
      <c r="CD295" s="125">
        <v>0.17299999999999999</v>
      </c>
      <c r="CE295" s="125">
        <v>0.67100000000000004</v>
      </c>
      <c r="CF295" s="125">
        <v>4.7199999999999999E-2</v>
      </c>
      <c r="CG295" s="125">
        <v>6.1600000000000002E-2</v>
      </c>
      <c r="CH295" s="85">
        <v>17.3</v>
      </c>
      <c r="CI295" s="39" t="s">
        <v>437</v>
      </c>
      <c r="CJ295" s="18" t="s">
        <v>80</v>
      </c>
      <c r="CK295" s="20"/>
    </row>
    <row r="296" spans="1:89" x14ac:dyDescent="0.25">
      <c r="A296" s="18" t="s">
        <v>80</v>
      </c>
      <c r="B296" s="39" t="s">
        <v>438</v>
      </c>
      <c r="C296" s="39" t="s">
        <v>438</v>
      </c>
      <c r="D296" s="40">
        <v>21</v>
      </c>
      <c r="E296" s="40">
        <v>7</v>
      </c>
      <c r="F296" s="40">
        <v>14</v>
      </c>
      <c r="G296" s="166">
        <v>3</v>
      </c>
      <c r="H296" s="166">
        <v>4</v>
      </c>
      <c r="I296" s="162" t="s">
        <v>83</v>
      </c>
      <c r="J296" s="166">
        <v>5</v>
      </c>
      <c r="K296" s="166">
        <v>5</v>
      </c>
      <c r="L296" s="166">
        <v>4</v>
      </c>
      <c r="M296" s="166">
        <v>0</v>
      </c>
      <c r="N296" s="119">
        <v>6.1946902654867297E-2</v>
      </c>
      <c r="O296" s="119">
        <v>6.3063063063063099E-2</v>
      </c>
      <c r="P296" s="119">
        <v>5.7692307692307702E-2</v>
      </c>
      <c r="Q296" s="119">
        <v>6.15384615384615E-2</v>
      </c>
      <c r="R296" s="116" t="s">
        <v>83</v>
      </c>
      <c r="S296" s="119">
        <v>8.0645161290322606E-2</v>
      </c>
      <c r="T296" s="119">
        <v>8.7719298245614002E-2</v>
      </c>
      <c r="U296" s="119">
        <v>5.63380281690141E-2</v>
      </c>
      <c r="V296" s="119">
        <v>0</v>
      </c>
      <c r="W296" s="40">
        <v>483</v>
      </c>
      <c r="X296" s="40">
        <f t="shared" si="22"/>
        <v>203</v>
      </c>
      <c r="Y296" s="40">
        <f t="shared" si="23"/>
        <v>312</v>
      </c>
      <c r="Z296" s="105">
        <v>0.41799999999999998</v>
      </c>
      <c r="AA296" s="105">
        <v>0.58199999999999996</v>
      </c>
      <c r="AB296" s="106">
        <v>0</v>
      </c>
      <c r="AC296" s="106">
        <v>0</v>
      </c>
      <c r="AD296" s="106">
        <f>482/483</f>
        <v>0.99792960662525876</v>
      </c>
      <c r="AE296" s="106">
        <v>0</v>
      </c>
      <c r="AF296" s="106">
        <v>0</v>
      </c>
      <c r="AG296" s="106">
        <f>1/483</f>
        <v>2.070393374741201E-3</v>
      </c>
      <c r="AH296" s="106">
        <v>0</v>
      </c>
      <c r="AI296" s="106">
        <f>482/483</f>
        <v>0.99792960662525876</v>
      </c>
      <c r="AJ296" s="105">
        <v>0.64389233954451341</v>
      </c>
      <c r="AK296" s="105">
        <v>0</v>
      </c>
      <c r="AL296" s="12">
        <v>47</v>
      </c>
      <c r="AM296" s="12">
        <v>62</v>
      </c>
      <c r="AN296" s="12">
        <v>0</v>
      </c>
      <c r="AO296" s="12">
        <v>56</v>
      </c>
      <c r="AP296" s="12">
        <v>49</v>
      </c>
      <c r="AQ296" s="12">
        <v>65</v>
      </c>
      <c r="AR296" s="12">
        <v>33</v>
      </c>
      <c r="AS296" s="59">
        <v>0</v>
      </c>
      <c r="AT296" s="3">
        <v>1</v>
      </c>
      <c r="AU296" s="3">
        <v>8</v>
      </c>
      <c r="AV296" s="54">
        <v>65.3125</v>
      </c>
      <c r="AW296" s="54">
        <v>18.125</v>
      </c>
      <c r="AX296" s="54">
        <v>6.8750000000000009</v>
      </c>
      <c r="AY296" s="68">
        <v>9.6875</v>
      </c>
      <c r="AZ296" s="59">
        <v>6.6398390342052319E-2</v>
      </c>
      <c r="BA296" s="59">
        <v>0.10663983903420524</v>
      </c>
      <c r="BB296" s="81">
        <v>96</v>
      </c>
      <c r="BC296" s="49">
        <v>41.875</v>
      </c>
      <c r="BD296" s="49">
        <v>2.4</v>
      </c>
      <c r="BE296" s="93">
        <v>0</v>
      </c>
      <c r="BF296" s="93">
        <v>0</v>
      </c>
      <c r="BG296" s="49">
        <v>0</v>
      </c>
      <c r="BH296" s="49">
        <v>1.6</v>
      </c>
      <c r="BI296" s="93">
        <v>0</v>
      </c>
      <c r="BJ296" s="85">
        <v>18.899999999999999</v>
      </c>
      <c r="BK296" s="129">
        <v>13748</v>
      </c>
      <c r="BL296" s="129">
        <v>50143</v>
      </c>
      <c r="BM296" s="129">
        <v>44274</v>
      </c>
      <c r="BN296" s="129">
        <v>49415</v>
      </c>
      <c r="BO296" s="59">
        <v>0</v>
      </c>
      <c r="BP296" s="59">
        <v>0.50529999999999997</v>
      </c>
      <c r="BQ296" s="59">
        <v>0.22109999999999999</v>
      </c>
      <c r="BR296" s="59">
        <v>0</v>
      </c>
      <c r="BS296" s="59">
        <v>0</v>
      </c>
      <c r="BT296" s="49">
        <v>10.7</v>
      </c>
      <c r="BU296" s="59">
        <f t="shared" si="20"/>
        <v>0.72639999999999993</v>
      </c>
      <c r="BV296" s="59">
        <v>0</v>
      </c>
      <c r="BW296" s="59">
        <v>6.3200000000000006E-2</v>
      </c>
      <c r="BX296" s="59">
        <v>4.2099999999999999E-2</v>
      </c>
      <c r="BY296" s="59">
        <v>0</v>
      </c>
      <c r="BZ296" s="59">
        <v>0</v>
      </c>
      <c r="CA296" s="49">
        <v>17.399999999999999</v>
      </c>
      <c r="CB296" s="59">
        <f t="shared" si="21"/>
        <v>0.1053</v>
      </c>
      <c r="CC296" s="59">
        <v>2.1100000000000001E-2</v>
      </c>
      <c r="CD296" s="125">
        <v>0.63160000000000005</v>
      </c>
      <c r="CE296" s="125">
        <v>0.32629999999999998</v>
      </c>
      <c r="CF296" s="125">
        <v>0</v>
      </c>
      <c r="CG296" s="125">
        <v>2.1100000000000001E-2</v>
      </c>
      <c r="CH296" s="85">
        <v>11.6</v>
      </c>
      <c r="CI296" s="39" t="s">
        <v>438</v>
      </c>
      <c r="CJ296" s="18" t="s">
        <v>80</v>
      </c>
      <c r="CK296" s="20"/>
    </row>
    <row r="297" spans="1:89" x14ac:dyDescent="0.25">
      <c r="A297" s="18" t="s">
        <v>80</v>
      </c>
      <c r="B297" s="19" t="s">
        <v>439</v>
      </c>
      <c r="C297" s="39" t="s">
        <v>440</v>
      </c>
      <c r="D297" s="40">
        <v>3</v>
      </c>
      <c r="E297" s="40" t="s">
        <v>83</v>
      </c>
      <c r="F297" s="40">
        <v>3</v>
      </c>
      <c r="G297" s="162" t="s">
        <v>83</v>
      </c>
      <c r="H297" s="162" t="s">
        <v>83</v>
      </c>
      <c r="I297" s="166">
        <v>1</v>
      </c>
      <c r="J297" s="166">
        <v>2</v>
      </c>
      <c r="K297" s="162" t="s">
        <v>83</v>
      </c>
      <c r="L297" s="162" t="s">
        <v>83</v>
      </c>
      <c r="M297" s="162" t="s">
        <v>83</v>
      </c>
      <c r="N297" s="119">
        <v>2.4E-2</v>
      </c>
      <c r="O297" s="119">
        <v>2.4E-2</v>
      </c>
      <c r="P297" s="116" t="s">
        <v>83</v>
      </c>
      <c r="Q297" s="116" t="s">
        <v>83</v>
      </c>
      <c r="R297" s="119">
        <v>0.125</v>
      </c>
      <c r="S297" s="119">
        <v>1.7094017094017099E-2</v>
      </c>
      <c r="T297" s="116" t="s">
        <v>83</v>
      </c>
      <c r="U297" s="116" t="s">
        <v>83</v>
      </c>
      <c r="V297" s="116" t="s">
        <v>83</v>
      </c>
      <c r="W297" s="40">
        <v>103</v>
      </c>
      <c r="X297" s="40">
        <f t="shared" si="22"/>
        <v>103</v>
      </c>
      <c r="Y297" s="40">
        <f t="shared" si="23"/>
        <v>103</v>
      </c>
      <c r="Z297" s="105">
        <v>0.54400000000000004</v>
      </c>
      <c r="AA297" s="105">
        <v>0.45600000000000002</v>
      </c>
      <c r="AB297" s="106">
        <v>0</v>
      </c>
      <c r="AC297" s="106">
        <v>0</v>
      </c>
      <c r="AD297" s="106">
        <f>88/103</f>
        <v>0.85436893203883491</v>
      </c>
      <c r="AE297" s="106">
        <v>0</v>
      </c>
      <c r="AF297" s="106">
        <v>0</v>
      </c>
      <c r="AG297" s="106">
        <f>15/103</f>
        <v>0.14563106796116504</v>
      </c>
      <c r="AH297" s="106">
        <v>0</v>
      </c>
      <c r="AI297" s="106">
        <f>88/103</f>
        <v>0.85436893203883491</v>
      </c>
      <c r="AJ297" s="105">
        <v>0.76699029126213591</v>
      </c>
      <c r="AK297" s="105">
        <v>0</v>
      </c>
      <c r="AL297" s="12">
        <v>0</v>
      </c>
      <c r="AM297" s="12">
        <v>0</v>
      </c>
      <c r="AN297" s="12">
        <v>7</v>
      </c>
      <c r="AO297" s="12">
        <v>96</v>
      </c>
      <c r="AP297" s="12">
        <v>0</v>
      </c>
      <c r="AQ297" s="12">
        <v>0</v>
      </c>
      <c r="AR297" s="12">
        <v>0</v>
      </c>
      <c r="AS297" s="59">
        <v>6.7961165048543687E-2</v>
      </c>
      <c r="AT297" s="3">
        <v>9</v>
      </c>
      <c r="AU297" s="3">
        <v>2</v>
      </c>
      <c r="AV297" s="54">
        <v>49.473684210526315</v>
      </c>
      <c r="AW297" s="54">
        <v>38.94736842105263</v>
      </c>
      <c r="AX297" s="54">
        <v>10.526315789473683</v>
      </c>
      <c r="AY297" s="68">
        <v>1.0526315789473684</v>
      </c>
      <c r="AZ297" s="59">
        <v>1.07361963190184E-2</v>
      </c>
      <c r="BA297" s="59">
        <v>0.25600000000000001</v>
      </c>
      <c r="BB297" s="76">
        <v>94.127762123642995</v>
      </c>
      <c r="BC297" s="49">
        <v>10.4</v>
      </c>
      <c r="BD297" s="90" t="s">
        <v>83</v>
      </c>
      <c r="BE297" s="90" t="s">
        <v>83</v>
      </c>
      <c r="BF297" s="49">
        <v>4.2</v>
      </c>
      <c r="BG297" s="90" t="s">
        <v>83</v>
      </c>
      <c r="BH297" s="90" t="s">
        <v>83</v>
      </c>
      <c r="BI297" s="90" t="s">
        <v>83</v>
      </c>
      <c r="BJ297" s="49"/>
      <c r="BK297" s="129">
        <v>13619</v>
      </c>
      <c r="BL297" s="129">
        <v>47842</v>
      </c>
      <c r="BM297" s="129">
        <v>0</v>
      </c>
      <c r="BN297" s="129">
        <v>45951</v>
      </c>
      <c r="BO297" s="59">
        <v>0</v>
      </c>
      <c r="BP297" s="59">
        <v>9.3700000000000006E-2</v>
      </c>
      <c r="BQ297" s="59">
        <v>0.4022</v>
      </c>
      <c r="BR297" s="59">
        <v>0</v>
      </c>
      <c r="BS297" s="59">
        <v>0</v>
      </c>
      <c r="BT297" s="49">
        <v>18</v>
      </c>
      <c r="BU297" s="59">
        <f t="shared" si="20"/>
        <v>0.49590000000000001</v>
      </c>
      <c r="BV297" s="59">
        <v>0</v>
      </c>
      <c r="BW297" s="59">
        <v>0</v>
      </c>
      <c r="BX297" s="59">
        <v>0</v>
      </c>
      <c r="BY297" s="59">
        <v>0</v>
      </c>
      <c r="BZ297" s="59">
        <v>0</v>
      </c>
      <c r="CA297" s="49">
        <v>0</v>
      </c>
      <c r="CB297" s="59">
        <f t="shared" si="21"/>
        <v>0</v>
      </c>
      <c r="CC297" s="59">
        <v>0.2011</v>
      </c>
      <c r="CD297" s="59">
        <v>0.30259999999999998</v>
      </c>
      <c r="CE297" s="59">
        <v>0.49630000000000002</v>
      </c>
      <c r="CF297" s="59">
        <v>0</v>
      </c>
      <c r="CG297" s="59">
        <v>0</v>
      </c>
      <c r="CH297" s="49">
        <v>14.1</v>
      </c>
      <c r="CI297" s="39" t="s">
        <v>440</v>
      </c>
      <c r="CJ297" s="18" t="s">
        <v>80</v>
      </c>
      <c r="CK297" s="20"/>
    </row>
    <row r="298" spans="1:89" x14ac:dyDescent="0.25">
      <c r="A298" s="18" t="s">
        <v>80</v>
      </c>
      <c r="B298" s="39" t="s">
        <v>441</v>
      </c>
      <c r="C298" s="39" t="s">
        <v>441</v>
      </c>
      <c r="D298" s="40">
        <v>1</v>
      </c>
      <c r="E298" s="40">
        <v>0</v>
      </c>
      <c r="F298" s="40">
        <v>1</v>
      </c>
      <c r="G298" s="166">
        <v>0</v>
      </c>
      <c r="H298" s="166">
        <v>0</v>
      </c>
      <c r="I298" s="162" t="s">
        <v>83</v>
      </c>
      <c r="J298" s="166">
        <v>1</v>
      </c>
      <c r="K298" s="166">
        <v>0</v>
      </c>
      <c r="L298" s="166">
        <v>0</v>
      </c>
      <c r="M298" s="166">
        <v>0</v>
      </c>
      <c r="N298" s="119">
        <v>2.9498525073746299E-3</v>
      </c>
      <c r="O298" s="119">
        <v>4.3290043290043299E-3</v>
      </c>
      <c r="P298" s="119">
        <v>0</v>
      </c>
      <c r="Q298" s="119">
        <v>0</v>
      </c>
      <c r="R298" s="116" t="s">
        <v>83</v>
      </c>
      <c r="S298" s="119">
        <v>1.58730158730159E-2</v>
      </c>
      <c r="T298" s="119">
        <v>0</v>
      </c>
      <c r="U298" s="119">
        <v>0</v>
      </c>
      <c r="V298" s="119">
        <v>0</v>
      </c>
      <c r="W298" s="40">
        <v>721</v>
      </c>
      <c r="X298" s="40">
        <f t="shared" si="22"/>
        <v>226</v>
      </c>
      <c r="Y298" s="40">
        <f t="shared" si="23"/>
        <v>331</v>
      </c>
      <c r="Z298" s="105">
        <v>0.55900000000000005</v>
      </c>
      <c r="AA298" s="105">
        <v>0.441</v>
      </c>
      <c r="AB298" s="106">
        <f>17/721</f>
        <v>2.3578363384188627E-2</v>
      </c>
      <c r="AC298" s="106">
        <f>10/721</f>
        <v>1.3869625520110958E-2</v>
      </c>
      <c r="AD298" s="106">
        <f>163/721</f>
        <v>0.22607489597780861</v>
      </c>
      <c r="AE298" s="106">
        <f>23/721</f>
        <v>3.1900138696255201E-2</v>
      </c>
      <c r="AF298" s="106">
        <v>0</v>
      </c>
      <c r="AG298" s="106">
        <f>505/721</f>
        <v>0.70041608876560335</v>
      </c>
      <c r="AH298" s="106">
        <f>3/721</f>
        <v>4.160887656033287E-3</v>
      </c>
      <c r="AI298" s="106">
        <f>216/721</f>
        <v>0.29958391123439665</v>
      </c>
      <c r="AJ298" s="105">
        <v>0.43966712898751736</v>
      </c>
      <c r="AK298" s="105">
        <v>0</v>
      </c>
      <c r="AL298" s="12">
        <v>55</v>
      </c>
      <c r="AM298" s="12">
        <v>50</v>
      </c>
      <c r="AN298" s="12">
        <v>0</v>
      </c>
      <c r="AO298" s="12">
        <v>61</v>
      </c>
      <c r="AP298" s="12">
        <v>59</v>
      </c>
      <c r="AQ298" s="12">
        <v>57</v>
      </c>
      <c r="AR298" s="12">
        <v>49</v>
      </c>
      <c r="AS298" s="59">
        <v>0</v>
      </c>
      <c r="AT298" s="3">
        <v>1</v>
      </c>
      <c r="AU298" s="3">
        <v>2</v>
      </c>
      <c r="AV298" s="54">
        <v>52.542372881355938</v>
      </c>
      <c r="AW298" s="54">
        <v>14.237288135593221</v>
      </c>
      <c r="AX298" s="54">
        <v>31.864406779661014</v>
      </c>
      <c r="AY298" s="68">
        <v>1.3559322033898304</v>
      </c>
      <c r="AZ298" s="65">
        <v>0</v>
      </c>
      <c r="BA298" s="59">
        <v>2.0340586856018965E-2</v>
      </c>
      <c r="BB298" s="81">
        <v>96</v>
      </c>
      <c r="BC298" s="84"/>
      <c r="BD298" s="49">
        <v>7.4</v>
      </c>
      <c r="BE298" s="49">
        <v>2.2000000000000002</v>
      </c>
      <c r="BF298" s="93">
        <v>0</v>
      </c>
      <c r="BG298" s="49">
        <v>0</v>
      </c>
      <c r="BH298" s="49">
        <v>0</v>
      </c>
      <c r="BI298" s="93">
        <v>0</v>
      </c>
      <c r="BJ298" s="85">
        <v>22.2</v>
      </c>
      <c r="BK298" s="129">
        <v>6954</v>
      </c>
      <c r="BL298" s="129">
        <v>45811</v>
      </c>
      <c r="BM298" s="129">
        <v>97735</v>
      </c>
      <c r="BN298" s="129">
        <v>40918</v>
      </c>
      <c r="BO298" s="59">
        <v>0</v>
      </c>
      <c r="BP298" s="59">
        <v>0.43940000000000001</v>
      </c>
      <c r="BQ298" s="59">
        <v>0.17910000000000001</v>
      </c>
      <c r="BR298" s="59">
        <v>0</v>
      </c>
      <c r="BS298" s="59">
        <v>0</v>
      </c>
      <c r="BT298" s="49">
        <v>12.8</v>
      </c>
      <c r="BU298" s="59">
        <f t="shared" si="20"/>
        <v>0.61850000000000005</v>
      </c>
      <c r="BV298" s="59">
        <v>0</v>
      </c>
      <c r="BW298" s="102">
        <v>1.6299999999999999E-2</v>
      </c>
      <c r="BX298" s="59">
        <v>0</v>
      </c>
      <c r="BY298" s="59">
        <v>0</v>
      </c>
      <c r="BZ298" s="59">
        <v>0</v>
      </c>
      <c r="CA298" s="49">
        <v>18</v>
      </c>
      <c r="CB298" s="59">
        <f t="shared" si="21"/>
        <v>1.6299999999999999E-2</v>
      </c>
      <c r="CC298" s="59">
        <v>0.28770000000000001</v>
      </c>
      <c r="CD298" s="125">
        <v>0.50060000000000004</v>
      </c>
      <c r="CE298" s="125">
        <v>0.2117</v>
      </c>
      <c r="CF298" s="125">
        <v>0</v>
      </c>
      <c r="CG298" s="125">
        <v>0</v>
      </c>
      <c r="CH298" s="85">
        <v>12</v>
      </c>
      <c r="CI298" s="39" t="s">
        <v>441</v>
      </c>
      <c r="CJ298" s="18" t="s">
        <v>80</v>
      </c>
      <c r="CK298" s="20"/>
    </row>
    <row r="299" spans="1:89" x14ac:dyDescent="0.25">
      <c r="A299" s="18" t="s">
        <v>80</v>
      </c>
      <c r="B299" s="39" t="s">
        <v>442</v>
      </c>
      <c r="C299" s="39" t="s">
        <v>442</v>
      </c>
      <c r="D299" s="40">
        <v>10</v>
      </c>
      <c r="E299" s="40" t="s">
        <v>83</v>
      </c>
      <c r="F299" s="40">
        <v>10</v>
      </c>
      <c r="G299" s="162" t="s">
        <v>83</v>
      </c>
      <c r="H299" s="162" t="s">
        <v>83</v>
      </c>
      <c r="I299" s="162" t="s">
        <v>83</v>
      </c>
      <c r="J299" s="166">
        <v>6</v>
      </c>
      <c r="K299" s="166">
        <v>2</v>
      </c>
      <c r="L299" s="166">
        <v>2</v>
      </c>
      <c r="M299" s="166">
        <v>0</v>
      </c>
      <c r="N299" s="119">
        <v>4.2372881355932202E-2</v>
      </c>
      <c r="O299" s="119">
        <v>4.2372881355932202E-2</v>
      </c>
      <c r="P299" s="116" t="s">
        <v>83</v>
      </c>
      <c r="Q299" s="116" t="s">
        <v>83</v>
      </c>
      <c r="R299" s="116" t="s">
        <v>83</v>
      </c>
      <c r="S299" s="119">
        <v>8.5714285714285701E-2</v>
      </c>
      <c r="T299" s="119">
        <v>3.2786885245901599E-2</v>
      </c>
      <c r="U299" s="119">
        <v>3.2786885245901599E-2</v>
      </c>
      <c r="V299" s="119">
        <v>0</v>
      </c>
      <c r="W299" s="40">
        <v>242</v>
      </c>
      <c r="X299" s="40">
        <f t="shared" si="22"/>
        <v>242</v>
      </c>
      <c r="Y299" s="40">
        <f t="shared" si="23"/>
        <v>242</v>
      </c>
      <c r="Z299" s="105">
        <v>0.69799999999999995</v>
      </c>
      <c r="AA299" s="105">
        <v>0.30199999999999999</v>
      </c>
      <c r="AB299" s="106">
        <v>0</v>
      </c>
      <c r="AC299" s="106">
        <f>6/242</f>
        <v>2.4793388429752067E-2</v>
      </c>
      <c r="AD299" s="106">
        <f>73/242</f>
        <v>0.30165289256198347</v>
      </c>
      <c r="AE299" s="106">
        <f>16/242</f>
        <v>6.6115702479338845E-2</v>
      </c>
      <c r="AF299" s="106">
        <f>1/242</f>
        <v>4.1322314049586778E-3</v>
      </c>
      <c r="AG299" s="106">
        <f>136/242</f>
        <v>0.56198347107438018</v>
      </c>
      <c r="AH299" s="106">
        <f>10/242</f>
        <v>4.1322314049586778E-2</v>
      </c>
      <c r="AI299" s="106">
        <f>106/242</f>
        <v>0.43801652892561982</v>
      </c>
      <c r="AJ299" s="105">
        <v>0.38016528925619836</v>
      </c>
      <c r="AK299" s="105">
        <v>0</v>
      </c>
      <c r="AL299" s="12">
        <v>0</v>
      </c>
      <c r="AM299" s="12">
        <v>0</v>
      </c>
      <c r="AN299" s="12">
        <v>0</v>
      </c>
      <c r="AO299" s="12">
        <v>72</v>
      </c>
      <c r="AP299" s="12">
        <v>64</v>
      </c>
      <c r="AQ299" s="12">
        <v>61</v>
      </c>
      <c r="AR299" s="12">
        <v>45</v>
      </c>
      <c r="AS299" s="59">
        <v>0</v>
      </c>
      <c r="AT299" s="3">
        <v>9</v>
      </c>
      <c r="AU299" s="3">
        <v>9</v>
      </c>
      <c r="AV299" s="54">
        <v>63.063063063063062</v>
      </c>
      <c r="AW299" s="54">
        <v>12.612612612612612</v>
      </c>
      <c r="AX299" s="54">
        <v>15.315315315315313</v>
      </c>
      <c r="AY299" s="68">
        <v>9.0090090090090094</v>
      </c>
      <c r="AZ299" s="59">
        <v>1.0330578512396701E-3</v>
      </c>
      <c r="BA299" s="59">
        <v>4.2004951396220841E-3</v>
      </c>
      <c r="BB299" s="81">
        <v>96</v>
      </c>
      <c r="BC299" s="84"/>
      <c r="BD299" s="90" t="s">
        <v>83</v>
      </c>
      <c r="BE299" s="90" t="s">
        <v>83</v>
      </c>
      <c r="BF299" s="93">
        <v>0</v>
      </c>
      <c r="BG299" s="49">
        <v>0</v>
      </c>
      <c r="BH299" s="49">
        <v>0</v>
      </c>
      <c r="BI299" s="93">
        <v>0</v>
      </c>
      <c r="BJ299" s="85">
        <v>23.4</v>
      </c>
      <c r="BK299" s="129">
        <v>32689</v>
      </c>
      <c r="BL299" s="129">
        <v>50886</v>
      </c>
      <c r="BM299" s="129">
        <v>84213</v>
      </c>
      <c r="BN299" s="129">
        <v>53045</v>
      </c>
      <c r="BO299" s="59">
        <v>7.1199999999999999E-2</v>
      </c>
      <c r="BP299" s="59">
        <v>0.16819999999999999</v>
      </c>
      <c r="BQ299" s="59">
        <v>0.31009999999999999</v>
      </c>
      <c r="BR299" s="59">
        <v>1.32E-2</v>
      </c>
      <c r="BS299" s="59">
        <v>0.15570000000000001</v>
      </c>
      <c r="BT299" s="49">
        <v>11.7</v>
      </c>
      <c r="BU299" s="59">
        <f t="shared" si="20"/>
        <v>0.71839999999999993</v>
      </c>
      <c r="BV299" s="59">
        <v>8.6999999999999994E-3</v>
      </c>
      <c r="BW299" s="59">
        <v>1.32E-2</v>
      </c>
      <c r="BX299" s="59">
        <v>0</v>
      </c>
      <c r="BY299" s="59">
        <v>0</v>
      </c>
      <c r="BZ299" s="59">
        <v>0</v>
      </c>
      <c r="CA299" s="49">
        <v>19.8</v>
      </c>
      <c r="CB299" s="59">
        <f t="shared" si="21"/>
        <v>2.1899999999999999E-2</v>
      </c>
      <c r="CC299" s="59">
        <v>0.16830000000000001</v>
      </c>
      <c r="CD299" s="125">
        <v>0.24079999999999999</v>
      </c>
      <c r="CE299" s="125">
        <v>0.4088</v>
      </c>
      <c r="CF299" s="125">
        <v>2.64E-2</v>
      </c>
      <c r="CG299" s="125">
        <v>0.15570000000000001</v>
      </c>
      <c r="CH299" s="85">
        <v>12.8</v>
      </c>
      <c r="CI299" s="39" t="s">
        <v>442</v>
      </c>
      <c r="CJ299" s="18" t="s">
        <v>80</v>
      </c>
      <c r="CK299" s="20"/>
    </row>
    <row r="300" spans="1:89" x14ac:dyDescent="0.25">
      <c r="A300" s="18" t="s">
        <v>80</v>
      </c>
      <c r="B300" s="39" t="s">
        <v>443</v>
      </c>
      <c r="C300" s="39" t="s">
        <v>443</v>
      </c>
      <c r="D300" s="40">
        <v>6</v>
      </c>
      <c r="E300" s="40">
        <v>3</v>
      </c>
      <c r="F300" s="40">
        <v>3</v>
      </c>
      <c r="G300" s="166">
        <v>1</v>
      </c>
      <c r="H300" s="166">
        <v>2</v>
      </c>
      <c r="I300" s="166">
        <v>0</v>
      </c>
      <c r="J300" s="166">
        <v>1</v>
      </c>
      <c r="K300" s="166">
        <v>2</v>
      </c>
      <c r="L300" s="166">
        <v>0</v>
      </c>
      <c r="M300" s="166">
        <v>0</v>
      </c>
      <c r="N300" s="119">
        <v>1.5915119363395201E-2</v>
      </c>
      <c r="O300" s="119">
        <v>1.2987012987013E-2</v>
      </c>
      <c r="P300" s="119">
        <v>1.2987012987013E-2</v>
      </c>
      <c r="Q300" s="119">
        <v>2.8985507246376802E-2</v>
      </c>
      <c r="R300" s="119">
        <v>0</v>
      </c>
      <c r="S300" s="119">
        <v>1.5384615384615399E-2</v>
      </c>
      <c r="T300" s="119">
        <v>3.5087719298245598E-2</v>
      </c>
      <c r="U300" s="119">
        <v>0</v>
      </c>
      <c r="V300" s="119">
        <v>0</v>
      </c>
      <c r="W300" s="40">
        <v>832</v>
      </c>
      <c r="X300" s="40">
        <f t="shared" si="22"/>
        <v>230</v>
      </c>
      <c r="Y300" s="40">
        <f t="shared" si="23"/>
        <v>368</v>
      </c>
      <c r="Z300" s="105">
        <v>0.47499999999999998</v>
      </c>
      <c r="AA300" s="105">
        <v>0.52500000000000002</v>
      </c>
      <c r="AB300" s="106">
        <v>0</v>
      </c>
      <c r="AC300" s="106">
        <f>4/832</f>
        <v>4.807692307692308E-3</v>
      </c>
      <c r="AD300" s="106">
        <f>236/832</f>
        <v>0.28365384615384615</v>
      </c>
      <c r="AE300" s="106">
        <f>29/832</f>
        <v>3.4855769230769232E-2</v>
      </c>
      <c r="AF300" s="106">
        <f>1/832</f>
        <v>1.201923076923077E-3</v>
      </c>
      <c r="AG300" s="106">
        <f>556/832</f>
        <v>0.66826923076923073</v>
      </c>
      <c r="AH300" s="106">
        <f>6/832</f>
        <v>7.2115384615384619E-3</v>
      </c>
      <c r="AI300" s="106">
        <f>276/832</f>
        <v>0.33173076923076922</v>
      </c>
      <c r="AJ300" s="105">
        <v>0.59735576923076927</v>
      </c>
      <c r="AK300" s="105">
        <v>0</v>
      </c>
      <c r="AL300" s="12">
        <v>74</v>
      </c>
      <c r="AM300" s="12">
        <v>64</v>
      </c>
      <c r="AN300" s="12">
        <v>4</v>
      </c>
      <c r="AO300" s="12">
        <v>65</v>
      </c>
      <c r="AP300" s="12">
        <v>56</v>
      </c>
      <c r="AQ300" s="12">
        <v>52</v>
      </c>
      <c r="AR300" s="12">
        <v>53</v>
      </c>
      <c r="AS300" s="59">
        <v>5.7971014492753624E-2</v>
      </c>
      <c r="AT300" s="3">
        <v>1</v>
      </c>
      <c r="AU300" s="3">
        <v>2</v>
      </c>
      <c r="AV300" s="54">
        <v>34.090909090909086</v>
      </c>
      <c r="AW300" s="54">
        <v>62.878787878787875</v>
      </c>
      <c r="AX300" s="54">
        <v>2.2727272727272729</v>
      </c>
      <c r="AY300" s="68">
        <v>0.75757575757575757</v>
      </c>
      <c r="AZ300" s="59">
        <v>2.6876757110166721E-2</v>
      </c>
      <c r="BA300" s="59">
        <v>3.9438491114180713E-2</v>
      </c>
      <c r="BB300" s="81">
        <v>96</v>
      </c>
      <c r="BC300" s="49">
        <v>14.8584905660377</v>
      </c>
      <c r="BD300" s="49">
        <v>1.4</v>
      </c>
      <c r="BE300" s="49">
        <v>1.7</v>
      </c>
      <c r="BF300" s="49">
        <v>0</v>
      </c>
      <c r="BG300" s="49">
        <v>4</v>
      </c>
      <c r="BH300" s="49">
        <v>2</v>
      </c>
      <c r="BI300" s="49">
        <v>0</v>
      </c>
      <c r="BJ300" s="85">
        <v>19.899999999999999</v>
      </c>
      <c r="BK300" s="129">
        <v>9462</v>
      </c>
      <c r="BL300" s="129">
        <v>52631</v>
      </c>
      <c r="BM300" s="129">
        <v>74762</v>
      </c>
      <c r="BN300" s="129">
        <v>40374</v>
      </c>
      <c r="BO300" s="59">
        <v>0</v>
      </c>
      <c r="BP300" s="59">
        <v>0.33529999999999999</v>
      </c>
      <c r="BQ300" s="59">
        <v>0.14949999999999999</v>
      </c>
      <c r="BR300" s="59">
        <v>0</v>
      </c>
      <c r="BS300" s="59">
        <v>0</v>
      </c>
      <c r="BT300" s="49">
        <v>8.6</v>
      </c>
      <c r="BU300" s="59">
        <f t="shared" si="20"/>
        <v>0.48480000000000001</v>
      </c>
      <c r="BV300" s="59">
        <v>9.7000000000000003E-3</v>
      </c>
      <c r="BW300" s="59">
        <v>6.8999999999999999E-3</v>
      </c>
      <c r="BX300" s="59">
        <v>2.9000000000000001E-2</v>
      </c>
      <c r="BY300" s="59">
        <v>0</v>
      </c>
      <c r="BZ300" s="59">
        <v>0</v>
      </c>
      <c r="CA300" s="49">
        <v>15.5</v>
      </c>
      <c r="CB300" s="59">
        <f t="shared" si="21"/>
        <v>4.5600000000000002E-2</v>
      </c>
      <c r="CC300" s="59">
        <v>0.41339999999999999</v>
      </c>
      <c r="CD300" s="125">
        <v>0.39079999999999998</v>
      </c>
      <c r="CE300" s="125">
        <v>0.1958</v>
      </c>
      <c r="CF300" s="125">
        <v>0</v>
      </c>
      <c r="CG300" s="125">
        <v>0</v>
      </c>
      <c r="CH300" s="85">
        <v>8.6</v>
      </c>
      <c r="CI300" s="39" t="s">
        <v>443</v>
      </c>
      <c r="CJ300" s="18" t="s">
        <v>80</v>
      </c>
      <c r="CK300" s="20"/>
    </row>
    <row r="301" spans="1:89" x14ac:dyDescent="0.25">
      <c r="A301" s="18" t="s">
        <v>80</v>
      </c>
      <c r="B301" s="39" t="s">
        <v>444</v>
      </c>
      <c r="C301" s="39" t="s">
        <v>444</v>
      </c>
      <c r="D301" s="40">
        <v>3</v>
      </c>
      <c r="E301" s="40">
        <v>1</v>
      </c>
      <c r="F301" s="40">
        <v>2</v>
      </c>
      <c r="G301" s="166">
        <v>1</v>
      </c>
      <c r="H301" s="166">
        <v>0</v>
      </c>
      <c r="I301" s="166">
        <v>0</v>
      </c>
      <c r="J301" s="166">
        <v>1</v>
      </c>
      <c r="K301" s="166">
        <v>0</v>
      </c>
      <c r="L301" s="166">
        <v>1</v>
      </c>
      <c r="M301" s="162" t="s">
        <v>83</v>
      </c>
      <c r="N301" s="119">
        <v>1.0830324909747301E-2</v>
      </c>
      <c r="O301" s="119">
        <v>1.4084507042253501E-2</v>
      </c>
      <c r="P301" s="119">
        <v>1.2500000000000001E-2</v>
      </c>
      <c r="Q301" s="119">
        <v>0</v>
      </c>
      <c r="R301" s="119">
        <v>0</v>
      </c>
      <c r="S301" s="119">
        <v>1.85185185185185E-2</v>
      </c>
      <c r="T301" s="119">
        <v>0</v>
      </c>
      <c r="U301" s="119">
        <v>2.5000000000000001E-2</v>
      </c>
      <c r="V301" s="116" t="s">
        <v>83</v>
      </c>
      <c r="W301" s="40">
        <v>806</v>
      </c>
      <c r="X301" s="40">
        <f t="shared" si="22"/>
        <v>137</v>
      </c>
      <c r="Y301" s="40">
        <f t="shared" si="23"/>
        <v>268</v>
      </c>
      <c r="Z301" s="105">
        <v>0.44700000000000001</v>
      </c>
      <c r="AA301" s="105">
        <v>0.55300000000000005</v>
      </c>
      <c r="AB301" s="106">
        <f>9/806</f>
        <v>1.1166253101736972E-2</v>
      </c>
      <c r="AC301" s="106">
        <f>8/806</f>
        <v>9.9255583126550868E-3</v>
      </c>
      <c r="AD301" s="106">
        <f>62/806</f>
        <v>7.6923076923076927E-2</v>
      </c>
      <c r="AE301" s="106">
        <f>77/806</f>
        <v>9.553349875930521E-2</v>
      </c>
      <c r="AF301" s="106">
        <f>3/806</f>
        <v>3.7220843672456576E-3</v>
      </c>
      <c r="AG301" s="106">
        <f>639/806</f>
        <v>0.79280397022332505</v>
      </c>
      <c r="AH301" s="106">
        <f>8/806</f>
        <v>9.9255583126550868E-3</v>
      </c>
      <c r="AI301" s="106">
        <f>167/806</f>
        <v>0.20719602977667495</v>
      </c>
      <c r="AJ301" s="105">
        <v>0.56327543424317617</v>
      </c>
      <c r="AK301" s="105">
        <v>1.9E-2</v>
      </c>
      <c r="AL301" s="12">
        <v>76</v>
      </c>
      <c r="AM301" s="12">
        <v>55</v>
      </c>
      <c r="AN301" s="12">
        <v>3</v>
      </c>
      <c r="AO301" s="12">
        <v>53</v>
      </c>
      <c r="AP301" s="12">
        <v>43</v>
      </c>
      <c r="AQ301" s="12">
        <v>38</v>
      </c>
      <c r="AR301" s="12">
        <v>0</v>
      </c>
      <c r="AS301" s="59">
        <v>5.3571428571428568E-2</v>
      </c>
      <c r="AT301" s="3">
        <v>1</v>
      </c>
      <c r="AU301" s="3">
        <v>2</v>
      </c>
      <c r="AV301" s="54">
        <v>55.743243243243242</v>
      </c>
      <c r="AW301" s="54">
        <v>30.405405405405407</v>
      </c>
      <c r="AX301" s="54">
        <v>13.851351351351351</v>
      </c>
      <c r="AY301" s="68">
        <v>0</v>
      </c>
      <c r="AZ301" s="59">
        <v>1.0046118292916751E-3</v>
      </c>
      <c r="BA301" s="59">
        <v>1.0302071101943878E-2</v>
      </c>
      <c r="BB301" s="81">
        <v>96</v>
      </c>
      <c r="BC301" s="49">
        <v>15.6862745098039</v>
      </c>
      <c r="BD301" s="93">
        <v>0</v>
      </c>
      <c r="BE301" s="93">
        <v>0</v>
      </c>
      <c r="BF301" s="93">
        <v>0</v>
      </c>
      <c r="BG301" s="93">
        <v>0</v>
      </c>
      <c r="BH301" s="49">
        <v>0</v>
      </c>
      <c r="BI301" s="90" t="s">
        <v>83</v>
      </c>
      <c r="BJ301" s="49"/>
      <c r="BK301" s="129">
        <v>9159</v>
      </c>
      <c r="BL301" s="129">
        <v>43348</v>
      </c>
      <c r="BM301" s="129">
        <v>59811</v>
      </c>
      <c r="BN301" s="129">
        <v>38110</v>
      </c>
      <c r="BO301" s="59">
        <v>0</v>
      </c>
      <c r="BP301" s="59">
        <v>0.40889999999999999</v>
      </c>
      <c r="BQ301" s="59">
        <v>0.14019999999999999</v>
      </c>
      <c r="BR301" s="59">
        <v>0</v>
      </c>
      <c r="BS301" s="59">
        <v>0</v>
      </c>
      <c r="BT301" s="49">
        <v>6.6</v>
      </c>
      <c r="BU301" s="59">
        <f t="shared" si="20"/>
        <v>0.54909999999999992</v>
      </c>
      <c r="BV301" s="59">
        <v>2.3400000000000001E-2</v>
      </c>
      <c r="BW301" s="59">
        <v>2.1999999999999999E-2</v>
      </c>
      <c r="BX301" s="59">
        <v>1.0999999999999999E-2</v>
      </c>
      <c r="BY301" s="59">
        <v>0</v>
      </c>
      <c r="BZ301" s="59">
        <v>0</v>
      </c>
      <c r="CA301" s="49">
        <v>12.8</v>
      </c>
      <c r="CB301" s="59">
        <f t="shared" si="21"/>
        <v>5.6399999999999992E-2</v>
      </c>
      <c r="CC301" s="59">
        <v>0.28999999999999998</v>
      </c>
      <c r="CD301" s="59">
        <v>0.53539999999999999</v>
      </c>
      <c r="CE301" s="59">
        <v>0.17460000000000001</v>
      </c>
      <c r="CF301" s="59">
        <v>0</v>
      </c>
      <c r="CG301" s="59">
        <v>0</v>
      </c>
      <c r="CH301" s="49">
        <v>5.8</v>
      </c>
      <c r="CI301" s="39" t="s">
        <v>444</v>
      </c>
      <c r="CJ301" s="18" t="s">
        <v>80</v>
      </c>
      <c r="CK301" s="20"/>
    </row>
    <row r="302" spans="1:89" x14ac:dyDescent="0.25">
      <c r="A302" s="18" t="s">
        <v>80</v>
      </c>
      <c r="B302" s="39" t="s">
        <v>445</v>
      </c>
      <c r="C302" s="39" t="s">
        <v>446</v>
      </c>
      <c r="D302" s="40">
        <v>4</v>
      </c>
      <c r="E302" s="40" t="s">
        <v>83</v>
      </c>
      <c r="F302" s="40">
        <v>4</v>
      </c>
      <c r="G302" s="162" t="s">
        <v>83</v>
      </c>
      <c r="H302" s="162" t="s">
        <v>83</v>
      </c>
      <c r="I302" s="166">
        <v>0</v>
      </c>
      <c r="J302" s="166">
        <v>0</v>
      </c>
      <c r="K302" s="166">
        <v>0</v>
      </c>
      <c r="L302" s="166">
        <v>3</v>
      </c>
      <c r="M302" s="166">
        <v>1</v>
      </c>
      <c r="N302" s="119">
        <v>1.1142061281337001E-2</v>
      </c>
      <c r="O302" s="119">
        <v>1.1142061281337001E-2</v>
      </c>
      <c r="P302" s="116" t="s">
        <v>83</v>
      </c>
      <c r="Q302" s="116" t="s">
        <v>83</v>
      </c>
      <c r="R302" s="119">
        <v>0</v>
      </c>
      <c r="S302" s="119">
        <v>0</v>
      </c>
      <c r="T302" s="119">
        <v>0</v>
      </c>
      <c r="U302" s="119">
        <v>3.94736842105263E-2</v>
      </c>
      <c r="V302" s="119">
        <v>1.3157894736842099E-2</v>
      </c>
      <c r="W302" s="40">
        <v>346</v>
      </c>
      <c r="X302" s="40">
        <f t="shared" si="22"/>
        <v>346</v>
      </c>
      <c r="Y302" s="40">
        <f t="shared" si="23"/>
        <v>346</v>
      </c>
      <c r="Z302" s="105">
        <v>0.47099999999999997</v>
      </c>
      <c r="AA302" s="105">
        <v>0.52900000000000003</v>
      </c>
      <c r="AB302" s="106">
        <v>0</v>
      </c>
      <c r="AC302" s="106">
        <v>0</v>
      </c>
      <c r="AD302" s="106">
        <f>345/346</f>
        <v>0.99710982658959535</v>
      </c>
      <c r="AE302" s="106">
        <v>0</v>
      </c>
      <c r="AF302" s="106">
        <v>0</v>
      </c>
      <c r="AG302" s="106">
        <f>1/346</f>
        <v>2.8901734104046241E-3</v>
      </c>
      <c r="AH302" s="106">
        <v>0</v>
      </c>
      <c r="AI302" s="106">
        <f>345/346</f>
        <v>0.99710982658959535</v>
      </c>
      <c r="AJ302" s="105">
        <v>0.80635838150289019</v>
      </c>
      <c r="AK302" s="105">
        <v>0</v>
      </c>
      <c r="AL302" s="12">
        <v>0</v>
      </c>
      <c r="AM302" s="12">
        <v>0</v>
      </c>
      <c r="AN302" s="12">
        <v>15</v>
      </c>
      <c r="AO302" s="12">
        <v>92</v>
      </c>
      <c r="AP302" s="12">
        <v>93</v>
      </c>
      <c r="AQ302" s="12">
        <v>75</v>
      </c>
      <c r="AR302" s="12">
        <v>71</v>
      </c>
      <c r="AS302" s="59">
        <v>0.14018691588785046</v>
      </c>
      <c r="AT302" s="3">
        <v>9</v>
      </c>
      <c r="AU302" s="3">
        <v>2</v>
      </c>
      <c r="AV302" s="54">
        <v>54.464285714285708</v>
      </c>
      <c r="AW302" s="54">
        <v>37.5</v>
      </c>
      <c r="AX302" s="54">
        <v>5.3571428571428568</v>
      </c>
      <c r="AY302" s="68">
        <v>2.6785714285714284</v>
      </c>
      <c r="AZ302" s="65">
        <v>0</v>
      </c>
      <c r="BA302" s="65">
        <v>0</v>
      </c>
      <c r="BB302" s="81">
        <v>96</v>
      </c>
      <c r="BC302" s="49">
        <v>1.1173184357541901</v>
      </c>
      <c r="BD302" s="90" t="s">
        <v>83</v>
      </c>
      <c r="BE302" s="90" t="s">
        <v>83</v>
      </c>
      <c r="BF302" s="49">
        <v>1.1000000000000001</v>
      </c>
      <c r="BG302" s="93">
        <v>0</v>
      </c>
      <c r="BH302" s="93">
        <v>0</v>
      </c>
      <c r="BI302" s="49">
        <v>5.7</v>
      </c>
      <c r="BJ302" s="85">
        <v>16.899999999999999</v>
      </c>
      <c r="BK302" s="129">
        <v>11568</v>
      </c>
      <c r="BL302" s="129">
        <v>48695</v>
      </c>
      <c r="BM302" s="129">
        <v>74721</v>
      </c>
      <c r="BN302" s="129">
        <v>49172</v>
      </c>
      <c r="BO302" s="59">
        <v>2.8799999999999999E-2</v>
      </c>
      <c r="BP302" s="59">
        <v>0.46029999999999999</v>
      </c>
      <c r="BQ302" s="59">
        <v>0.14380000000000001</v>
      </c>
      <c r="BR302" s="59">
        <v>0</v>
      </c>
      <c r="BS302" s="59">
        <v>0</v>
      </c>
      <c r="BT302" s="49">
        <v>7.7</v>
      </c>
      <c r="BU302" s="59">
        <f t="shared" si="20"/>
        <v>0.63290000000000002</v>
      </c>
      <c r="BV302" s="59">
        <v>2.8799999999999999E-2</v>
      </c>
      <c r="BW302" s="59">
        <v>2.8799999999999999E-2</v>
      </c>
      <c r="BX302" s="59">
        <v>5.0299999999999997E-2</v>
      </c>
      <c r="BY302" s="59">
        <v>0</v>
      </c>
      <c r="BZ302" s="59">
        <v>0</v>
      </c>
      <c r="CA302" s="49">
        <v>14.5</v>
      </c>
      <c r="CB302" s="59">
        <f t="shared" si="21"/>
        <v>0.1079</v>
      </c>
      <c r="CC302" s="59">
        <v>0.14380000000000001</v>
      </c>
      <c r="CD302" s="125">
        <v>0.59560000000000002</v>
      </c>
      <c r="CE302" s="125">
        <v>0.23180000000000001</v>
      </c>
      <c r="CF302" s="125">
        <v>0</v>
      </c>
      <c r="CG302" s="125">
        <v>2.8799999999999999E-2</v>
      </c>
      <c r="CH302" s="85">
        <v>9.1999999999999993</v>
      </c>
      <c r="CI302" s="39" t="s">
        <v>446</v>
      </c>
      <c r="CJ302" s="18" t="s">
        <v>80</v>
      </c>
      <c r="CK302" s="20"/>
    </row>
    <row r="303" spans="1:89" x14ac:dyDescent="0.25">
      <c r="A303" s="18" t="s">
        <v>80</v>
      </c>
      <c r="B303" s="39" t="s">
        <v>447</v>
      </c>
      <c r="C303" s="39" t="s">
        <v>448</v>
      </c>
      <c r="D303" s="40">
        <v>30</v>
      </c>
      <c r="E303" s="40" t="s">
        <v>83</v>
      </c>
      <c r="F303" s="40">
        <v>30</v>
      </c>
      <c r="G303" s="162" t="s">
        <v>83</v>
      </c>
      <c r="H303" s="162" t="s">
        <v>83</v>
      </c>
      <c r="I303" s="162" t="s">
        <v>83</v>
      </c>
      <c r="J303" s="166">
        <v>12</v>
      </c>
      <c r="K303" s="166">
        <v>6</v>
      </c>
      <c r="L303" s="166">
        <v>7</v>
      </c>
      <c r="M303" s="166">
        <v>5</v>
      </c>
      <c r="N303" s="119">
        <v>4.8309178743961401E-2</v>
      </c>
      <c r="O303" s="119">
        <v>4.8309178743961401E-2</v>
      </c>
      <c r="P303" s="116" t="s">
        <v>83</v>
      </c>
      <c r="Q303" s="116" t="s">
        <v>83</v>
      </c>
      <c r="R303" s="116" t="s">
        <v>83</v>
      </c>
      <c r="S303" s="119">
        <v>5.5813953488372099E-2</v>
      </c>
      <c r="T303" s="119">
        <v>3.6809815950920199E-2</v>
      </c>
      <c r="U303" s="119">
        <v>5.6451612903225798E-2</v>
      </c>
      <c r="V303" s="119">
        <v>4.6296296296296301E-2</v>
      </c>
      <c r="W303" s="40">
        <v>546</v>
      </c>
      <c r="X303" s="40">
        <f t="shared" si="22"/>
        <v>546</v>
      </c>
      <c r="Y303" s="40">
        <f t="shared" si="23"/>
        <v>546</v>
      </c>
      <c r="Z303" s="105">
        <v>0.56599999999999995</v>
      </c>
      <c r="AA303" s="105">
        <v>0.434</v>
      </c>
      <c r="AB303" s="106">
        <v>0</v>
      </c>
      <c r="AC303" s="106">
        <f>33/546</f>
        <v>6.043956043956044E-2</v>
      </c>
      <c r="AD303" s="106">
        <f>329/546</f>
        <v>0.60256410256410253</v>
      </c>
      <c r="AE303" s="106">
        <f>124/546</f>
        <v>0.2271062271062271</v>
      </c>
      <c r="AF303" s="106">
        <f>1/546</f>
        <v>1.8315018315018315E-3</v>
      </c>
      <c r="AG303" s="106">
        <f>51/546</f>
        <v>9.3406593406593408E-2</v>
      </c>
      <c r="AH303" s="106">
        <f>8/546</f>
        <v>1.4652014652014652E-2</v>
      </c>
      <c r="AI303" s="106">
        <f>495/546</f>
        <v>0.90659340659340659</v>
      </c>
      <c r="AJ303" s="105">
        <v>0.67399267399267404</v>
      </c>
      <c r="AK303" s="105">
        <v>0.14499999999999999</v>
      </c>
      <c r="AL303" s="12">
        <v>0</v>
      </c>
      <c r="AM303" s="12">
        <v>0</v>
      </c>
      <c r="AN303" s="12">
        <v>0</v>
      </c>
      <c r="AO303" s="12">
        <v>191</v>
      </c>
      <c r="AP303" s="12">
        <v>144</v>
      </c>
      <c r="AQ303" s="12">
        <v>114</v>
      </c>
      <c r="AR303" s="12">
        <v>97</v>
      </c>
      <c r="AS303" s="59">
        <v>0</v>
      </c>
      <c r="AT303" s="3">
        <v>9</v>
      </c>
      <c r="AU303" s="3">
        <v>2</v>
      </c>
      <c r="AV303" s="54">
        <v>52.895752895752899</v>
      </c>
      <c r="AW303" s="54">
        <v>35.521235521235525</v>
      </c>
      <c r="AX303" s="54">
        <v>11.583011583011583</v>
      </c>
      <c r="AY303" s="68">
        <v>0</v>
      </c>
      <c r="AZ303" s="59">
        <v>0.10578512396694215</v>
      </c>
      <c r="BA303" s="59">
        <v>0.14049586776859505</v>
      </c>
      <c r="BB303" s="81">
        <v>96</v>
      </c>
      <c r="BC303" s="49">
        <v>43.305785123966899</v>
      </c>
      <c r="BD303" s="90" t="s">
        <v>83</v>
      </c>
      <c r="BE303" s="90" t="s">
        <v>83</v>
      </c>
      <c r="BF303" s="49">
        <v>11.8</v>
      </c>
      <c r="BG303" s="49">
        <v>7.6</v>
      </c>
      <c r="BH303" s="49">
        <v>11</v>
      </c>
      <c r="BI303" s="49">
        <v>6.5</v>
      </c>
      <c r="BJ303" s="85">
        <v>19.7</v>
      </c>
      <c r="BK303" s="129">
        <v>10191</v>
      </c>
      <c r="BL303" s="129">
        <v>47251</v>
      </c>
      <c r="BM303" s="129">
        <v>75627</v>
      </c>
      <c r="BN303" s="129">
        <v>51019</v>
      </c>
      <c r="BO303" s="59">
        <v>0</v>
      </c>
      <c r="BP303" s="59">
        <v>0.29549999999999998</v>
      </c>
      <c r="BQ303" s="59">
        <v>0.31540000000000001</v>
      </c>
      <c r="BR303" s="59">
        <v>0</v>
      </c>
      <c r="BS303" s="59">
        <v>1.5800000000000002E-2</v>
      </c>
      <c r="BT303" s="49">
        <v>7.7</v>
      </c>
      <c r="BU303" s="59">
        <f t="shared" si="20"/>
        <v>0.62670000000000003</v>
      </c>
      <c r="BV303" s="59">
        <v>0</v>
      </c>
      <c r="BW303" s="59">
        <v>4.65E-2</v>
      </c>
      <c r="BX303" s="59">
        <v>4.7300000000000002E-2</v>
      </c>
      <c r="BY303" s="59">
        <v>0</v>
      </c>
      <c r="BZ303" s="59">
        <v>0</v>
      </c>
      <c r="CA303" s="49">
        <v>15.3</v>
      </c>
      <c r="CB303" s="59">
        <f t="shared" si="21"/>
        <v>9.3799999999999994E-2</v>
      </c>
      <c r="CC303" s="59">
        <v>6.5199999999999994E-2</v>
      </c>
      <c r="CD303" s="125">
        <v>0.47770000000000001</v>
      </c>
      <c r="CE303" s="125">
        <v>0.44130000000000003</v>
      </c>
      <c r="CF303" s="125">
        <v>0</v>
      </c>
      <c r="CG303" s="125">
        <v>1.5800000000000002E-2</v>
      </c>
      <c r="CH303" s="85">
        <v>8.4</v>
      </c>
      <c r="CI303" s="39" t="s">
        <v>448</v>
      </c>
      <c r="CJ303" s="18" t="s">
        <v>80</v>
      </c>
      <c r="CK303" s="20"/>
    </row>
    <row r="304" spans="1:89" x14ac:dyDescent="0.25">
      <c r="A304" s="18" t="s">
        <v>80</v>
      </c>
      <c r="B304" s="39" t="s">
        <v>449</v>
      </c>
      <c r="C304" s="39" t="s">
        <v>449</v>
      </c>
      <c r="D304" s="40">
        <v>11</v>
      </c>
      <c r="E304" s="40" t="s">
        <v>83</v>
      </c>
      <c r="F304" s="40">
        <v>11</v>
      </c>
      <c r="G304" s="162" t="s">
        <v>83</v>
      </c>
      <c r="H304" s="162" t="s">
        <v>83</v>
      </c>
      <c r="I304" s="162" t="s">
        <v>83</v>
      </c>
      <c r="J304" s="166">
        <v>5</v>
      </c>
      <c r="K304" s="166">
        <v>1</v>
      </c>
      <c r="L304" s="166">
        <v>4</v>
      </c>
      <c r="M304" s="166">
        <v>1</v>
      </c>
      <c r="N304" s="119">
        <v>1.8998272884283199E-2</v>
      </c>
      <c r="O304" s="119">
        <v>1.8998272884283199E-2</v>
      </c>
      <c r="P304" s="116" t="s">
        <v>83</v>
      </c>
      <c r="Q304" s="116" t="s">
        <v>83</v>
      </c>
      <c r="R304" s="116" t="s">
        <v>83</v>
      </c>
      <c r="S304" s="119">
        <v>2.5252525252525301E-2</v>
      </c>
      <c r="T304" s="119">
        <v>5.8823529411764696E-3</v>
      </c>
      <c r="U304" s="119">
        <v>3.1746031746031703E-2</v>
      </c>
      <c r="V304" s="119">
        <v>1.1764705882352899E-2</v>
      </c>
      <c r="W304" s="40">
        <v>540</v>
      </c>
      <c r="X304" s="40">
        <f t="shared" si="22"/>
        <v>540</v>
      </c>
      <c r="Y304" s="40">
        <f t="shared" si="23"/>
        <v>540</v>
      </c>
      <c r="Z304" s="105">
        <v>0.33300000000000002</v>
      </c>
      <c r="AA304" s="105">
        <v>0.66700000000000004</v>
      </c>
      <c r="AB304" s="106">
        <f>1/540</f>
        <v>1.8518518518518519E-3</v>
      </c>
      <c r="AC304" s="106">
        <f>12/540</f>
        <v>2.2222222222222223E-2</v>
      </c>
      <c r="AD304" s="106">
        <f>296/540</f>
        <v>0.54814814814814816</v>
      </c>
      <c r="AE304" s="106">
        <f>57/540</f>
        <v>0.10555555555555556</v>
      </c>
      <c r="AF304" s="106">
        <v>0</v>
      </c>
      <c r="AG304" s="106">
        <f>154/540</f>
        <v>0.28518518518518521</v>
      </c>
      <c r="AH304" s="106">
        <f>20/540</f>
        <v>3.7037037037037035E-2</v>
      </c>
      <c r="AI304" s="106">
        <f>386/540</f>
        <v>0.71481481481481479</v>
      </c>
      <c r="AJ304" s="105">
        <v>0.55925925925925923</v>
      </c>
      <c r="AK304" s="105">
        <v>0</v>
      </c>
      <c r="AL304" s="12">
        <v>0</v>
      </c>
      <c r="AM304" s="12">
        <v>0</v>
      </c>
      <c r="AN304" s="12">
        <v>0</v>
      </c>
      <c r="AO304" s="12">
        <v>187</v>
      </c>
      <c r="AP304" s="12">
        <v>165</v>
      </c>
      <c r="AQ304" s="12">
        <v>117</v>
      </c>
      <c r="AR304" s="12">
        <v>71</v>
      </c>
      <c r="AS304" s="59">
        <v>0</v>
      </c>
      <c r="AT304" s="3">
        <v>9</v>
      </c>
      <c r="AU304" s="3">
        <v>2</v>
      </c>
      <c r="AV304" s="54">
        <v>61.943319838056674</v>
      </c>
      <c r="AW304" s="54">
        <v>31.983805668016196</v>
      </c>
      <c r="AX304" s="54">
        <v>4.8582995951417001</v>
      </c>
      <c r="AY304" s="68">
        <v>1.214574898785425</v>
      </c>
      <c r="AZ304" s="59">
        <v>0.13612565445026178</v>
      </c>
      <c r="BA304" s="59">
        <v>0.21989528795811519</v>
      </c>
      <c r="BB304" s="81">
        <v>96</v>
      </c>
      <c r="BC304" s="49">
        <v>39.861351819757402</v>
      </c>
      <c r="BD304" s="90" t="s">
        <v>83</v>
      </c>
      <c r="BE304" s="90" t="s">
        <v>83</v>
      </c>
      <c r="BF304" s="49">
        <v>3.4</v>
      </c>
      <c r="BG304" s="49">
        <v>2.6</v>
      </c>
      <c r="BH304" s="49">
        <v>0.9</v>
      </c>
      <c r="BI304" s="49">
        <v>1.3</v>
      </c>
      <c r="BJ304" s="85">
        <v>20.9</v>
      </c>
      <c r="BK304" s="129">
        <v>11238</v>
      </c>
      <c r="BL304" s="129">
        <v>51690</v>
      </c>
      <c r="BM304" s="129">
        <v>68500</v>
      </c>
      <c r="BN304" s="129">
        <v>53874</v>
      </c>
      <c r="BO304" s="59">
        <v>4.9700000000000001E-2</v>
      </c>
      <c r="BP304" s="59">
        <v>0.34100000000000003</v>
      </c>
      <c r="BQ304" s="59">
        <v>0.37740000000000001</v>
      </c>
      <c r="BR304" s="59">
        <v>0</v>
      </c>
      <c r="BS304" s="59">
        <v>4.9700000000000001E-2</v>
      </c>
      <c r="BT304" s="49">
        <v>10</v>
      </c>
      <c r="BU304" s="59">
        <f t="shared" si="20"/>
        <v>0.81779999999999997</v>
      </c>
      <c r="BV304" s="59">
        <v>3.3099999999999997E-2</v>
      </c>
      <c r="BW304" s="59">
        <v>1.66E-2</v>
      </c>
      <c r="BX304" s="59">
        <v>0</v>
      </c>
      <c r="BY304" s="59">
        <v>0</v>
      </c>
      <c r="BZ304" s="59">
        <v>1.66E-2</v>
      </c>
      <c r="CA304" s="49">
        <v>9.8000000000000007</v>
      </c>
      <c r="CB304" s="59">
        <f t="shared" si="21"/>
        <v>6.6299999999999998E-2</v>
      </c>
      <c r="CC304" s="59">
        <v>0.1326</v>
      </c>
      <c r="CD304" s="125">
        <v>0.37409999999999999</v>
      </c>
      <c r="CE304" s="125">
        <v>0.42709999999999998</v>
      </c>
      <c r="CF304" s="125">
        <v>0</v>
      </c>
      <c r="CG304" s="125">
        <v>6.6299999999999998E-2</v>
      </c>
      <c r="CH304" s="85">
        <v>9.6</v>
      </c>
      <c r="CI304" s="39" t="s">
        <v>449</v>
      </c>
      <c r="CJ304" s="18" t="s">
        <v>80</v>
      </c>
      <c r="CK304" s="20"/>
    </row>
    <row r="305" spans="1:89" x14ac:dyDescent="0.25">
      <c r="A305" s="18" t="s">
        <v>80</v>
      </c>
      <c r="B305" s="39" t="s">
        <v>450</v>
      </c>
      <c r="C305" s="39" t="s">
        <v>451</v>
      </c>
      <c r="D305" s="40">
        <v>5</v>
      </c>
      <c r="E305" s="40">
        <v>4</v>
      </c>
      <c r="F305" s="40">
        <v>1</v>
      </c>
      <c r="G305" s="166">
        <v>4</v>
      </c>
      <c r="H305" s="166">
        <v>0</v>
      </c>
      <c r="I305" s="162" t="s">
        <v>83</v>
      </c>
      <c r="J305" s="166">
        <v>1</v>
      </c>
      <c r="K305" s="162" t="s">
        <v>83</v>
      </c>
      <c r="L305" s="162" t="s">
        <v>83</v>
      </c>
      <c r="M305" s="162" t="s">
        <v>83</v>
      </c>
      <c r="N305" s="119">
        <v>2.8735632183908E-2</v>
      </c>
      <c r="O305" s="119">
        <v>2.27272727272727E-2</v>
      </c>
      <c r="P305" s="119">
        <v>5.9701492537313397E-2</v>
      </c>
      <c r="Q305" s="119">
        <v>0</v>
      </c>
      <c r="R305" s="116" t="s">
        <v>83</v>
      </c>
      <c r="S305" s="119">
        <v>2.3809523809523801E-2</v>
      </c>
      <c r="T305" s="116" t="s">
        <v>83</v>
      </c>
      <c r="U305" s="116" t="s">
        <v>83</v>
      </c>
      <c r="V305" s="116" t="s">
        <v>83</v>
      </c>
      <c r="W305" s="40">
        <v>220</v>
      </c>
      <c r="X305" s="40">
        <f t="shared" si="22"/>
        <v>42</v>
      </c>
      <c r="Y305" s="40">
        <f t="shared" si="23"/>
        <v>162</v>
      </c>
      <c r="Z305" s="105">
        <v>0.54100000000000004</v>
      </c>
      <c r="AA305" s="105">
        <v>0.45900000000000002</v>
      </c>
      <c r="AB305" s="106">
        <f>1/220</f>
        <v>4.5454545454545452E-3</v>
      </c>
      <c r="AC305" s="106">
        <v>0</v>
      </c>
      <c r="AD305" s="106">
        <f>216/220</f>
        <v>0.98181818181818181</v>
      </c>
      <c r="AE305" s="106">
        <v>0</v>
      </c>
      <c r="AF305" s="106">
        <v>0</v>
      </c>
      <c r="AG305" s="106">
        <f>3/220</f>
        <v>1.3636363636363636E-2</v>
      </c>
      <c r="AH305" s="106">
        <v>0</v>
      </c>
      <c r="AI305" s="106">
        <f>217/220</f>
        <v>0.98636363636363633</v>
      </c>
      <c r="AJ305" s="105">
        <v>0.88636363636363635</v>
      </c>
      <c r="AK305" s="105">
        <v>0</v>
      </c>
      <c r="AL305" s="12">
        <v>59</v>
      </c>
      <c r="AM305" s="12">
        <v>61</v>
      </c>
      <c r="AN305" s="12">
        <v>0</v>
      </c>
      <c r="AO305" s="12">
        <v>42</v>
      </c>
      <c r="AP305" s="12">
        <v>0</v>
      </c>
      <c r="AQ305" s="12">
        <v>0</v>
      </c>
      <c r="AR305" s="12">
        <v>0</v>
      </c>
      <c r="AS305" s="59">
        <v>0</v>
      </c>
      <c r="AT305" s="3">
        <v>5</v>
      </c>
      <c r="AU305" s="3">
        <v>2</v>
      </c>
      <c r="AV305" s="54">
        <v>89.189189189189193</v>
      </c>
      <c r="AW305" s="54">
        <v>9.9099099099099099</v>
      </c>
      <c r="AX305" s="54">
        <v>0</v>
      </c>
      <c r="AY305" s="68">
        <v>0.90090090090090091</v>
      </c>
      <c r="AZ305" s="59">
        <v>4.5806244849372771E-3</v>
      </c>
      <c r="BA305" s="59">
        <v>2.5169001268199886E-2</v>
      </c>
      <c r="BB305" s="81">
        <v>96</v>
      </c>
      <c r="BC305" s="84"/>
      <c r="BD305" s="93">
        <v>0</v>
      </c>
      <c r="BE305" s="93">
        <v>0</v>
      </c>
      <c r="BF305" s="49">
        <v>2.9</v>
      </c>
      <c r="BG305" s="90" t="s">
        <v>83</v>
      </c>
      <c r="BH305" s="90" t="s">
        <v>83</v>
      </c>
      <c r="BI305" s="90" t="s">
        <v>83</v>
      </c>
      <c r="BJ305" s="84"/>
      <c r="BK305" s="129">
        <v>11536</v>
      </c>
      <c r="BL305" s="129">
        <v>39977</v>
      </c>
      <c r="BM305" s="129">
        <v>42264</v>
      </c>
      <c r="BN305" s="129">
        <v>35273</v>
      </c>
      <c r="BO305" s="59">
        <v>0</v>
      </c>
      <c r="BP305" s="59">
        <v>0.36170000000000002</v>
      </c>
      <c r="BQ305" s="59">
        <v>9.6500000000000002E-2</v>
      </c>
      <c r="BR305" s="59">
        <v>0</v>
      </c>
      <c r="BS305" s="59">
        <v>0</v>
      </c>
      <c r="BT305" s="49">
        <v>8.1999999999999993</v>
      </c>
      <c r="BU305" s="59">
        <f t="shared" si="20"/>
        <v>0.45820000000000005</v>
      </c>
      <c r="BV305" s="59">
        <v>4.02E-2</v>
      </c>
      <c r="BW305" s="59">
        <v>4.02E-2</v>
      </c>
      <c r="BX305" s="59">
        <v>0</v>
      </c>
      <c r="BY305" s="59">
        <v>0</v>
      </c>
      <c r="BZ305" s="59">
        <v>0</v>
      </c>
      <c r="CA305" s="49">
        <v>11.5</v>
      </c>
      <c r="CB305" s="59">
        <f t="shared" si="21"/>
        <v>8.0399999999999999E-2</v>
      </c>
      <c r="CC305" s="59">
        <v>0.43730000000000002</v>
      </c>
      <c r="CD305" s="130">
        <v>0.40189999999999998</v>
      </c>
      <c r="CE305" s="130">
        <v>0.1608</v>
      </c>
      <c r="CF305" s="130">
        <v>0</v>
      </c>
      <c r="CG305" s="130">
        <v>0</v>
      </c>
      <c r="CH305" s="84">
        <v>9.5</v>
      </c>
      <c r="CI305" s="39" t="s">
        <v>451</v>
      </c>
      <c r="CJ305" s="18" t="s">
        <v>80</v>
      </c>
      <c r="CK305" s="20"/>
    </row>
    <row r="306" spans="1:89" x14ac:dyDescent="0.25">
      <c r="A306" s="18" t="s">
        <v>80</v>
      </c>
      <c r="B306" s="39" t="s">
        <v>452</v>
      </c>
      <c r="C306" s="39" t="s">
        <v>453</v>
      </c>
      <c r="D306" s="40">
        <v>14</v>
      </c>
      <c r="E306" s="40" t="s">
        <v>83</v>
      </c>
      <c r="F306" s="40">
        <v>14</v>
      </c>
      <c r="G306" s="162" t="s">
        <v>83</v>
      </c>
      <c r="H306" s="162" t="s">
        <v>83</v>
      </c>
      <c r="I306" s="162" t="s">
        <v>83</v>
      </c>
      <c r="J306" s="166">
        <v>1</v>
      </c>
      <c r="K306" s="166">
        <v>8</v>
      </c>
      <c r="L306" s="166">
        <v>3</v>
      </c>
      <c r="M306" s="166">
        <v>2</v>
      </c>
      <c r="N306" s="119">
        <v>2.78884462151394E-2</v>
      </c>
      <c r="O306" s="119">
        <v>2.78884462151394E-2</v>
      </c>
      <c r="P306" s="116" t="s">
        <v>83</v>
      </c>
      <c r="Q306" s="116" t="s">
        <v>83</v>
      </c>
      <c r="R306" s="116" t="s">
        <v>83</v>
      </c>
      <c r="S306" s="119">
        <v>6.2500000000000003E-3</v>
      </c>
      <c r="T306" s="119">
        <v>6.15384615384615E-2</v>
      </c>
      <c r="U306" s="119">
        <v>2.83018867924528E-2</v>
      </c>
      <c r="V306" s="119">
        <v>1.88679245283019E-2</v>
      </c>
      <c r="W306" s="40">
        <v>460</v>
      </c>
      <c r="X306" s="40">
        <f t="shared" si="22"/>
        <v>460</v>
      </c>
      <c r="Y306" s="40">
        <f t="shared" si="23"/>
        <v>460</v>
      </c>
      <c r="Z306" s="105">
        <v>0.51300000000000001</v>
      </c>
      <c r="AA306" s="105">
        <v>0.48699999999999999</v>
      </c>
      <c r="AB306" s="106">
        <v>0</v>
      </c>
      <c r="AC306" s="106">
        <f>39/460</f>
        <v>8.478260869565217E-2</v>
      </c>
      <c r="AD306" s="106">
        <f>399/460</f>
        <v>0.86739130434782608</v>
      </c>
      <c r="AE306" s="106">
        <f>14/460</f>
        <v>3.0434782608695653E-2</v>
      </c>
      <c r="AF306" s="106">
        <f>1/460</f>
        <v>2.1739130434782609E-3</v>
      </c>
      <c r="AG306" s="106">
        <f>4/460</f>
        <v>8.6956521739130436E-3</v>
      </c>
      <c r="AH306" s="106">
        <f>3/460</f>
        <v>6.5217391304347823E-3</v>
      </c>
      <c r="AI306" s="106">
        <f>456/460</f>
        <v>0.99130434782608701</v>
      </c>
      <c r="AJ306" s="105">
        <v>0.88043478260869568</v>
      </c>
      <c r="AK306" s="105">
        <v>0.1</v>
      </c>
      <c r="AL306" s="12">
        <v>0</v>
      </c>
      <c r="AM306" s="12">
        <v>0</v>
      </c>
      <c r="AN306" s="12">
        <v>0</v>
      </c>
      <c r="AO306" s="12">
        <v>150</v>
      </c>
      <c r="AP306" s="12">
        <v>117</v>
      </c>
      <c r="AQ306" s="12">
        <v>90</v>
      </c>
      <c r="AR306" s="12">
        <v>103</v>
      </c>
      <c r="AS306" s="59">
        <v>0</v>
      </c>
      <c r="AT306" s="3">
        <v>9</v>
      </c>
      <c r="AU306" s="3">
        <v>5</v>
      </c>
      <c r="AV306" s="54">
        <v>50</v>
      </c>
      <c r="AW306" s="54">
        <v>22.727272727272727</v>
      </c>
      <c r="AX306" s="54">
        <v>21.428571428571427</v>
      </c>
      <c r="AY306" s="68">
        <v>5.8441558441558437</v>
      </c>
      <c r="AZ306" s="59">
        <v>0.44219066937119678</v>
      </c>
      <c r="BA306" s="59">
        <v>3.4615384615384617E-2</v>
      </c>
      <c r="BB306" s="77">
        <v>94.623165191459606</v>
      </c>
      <c r="BC306" s="49">
        <v>35.496957403651102</v>
      </c>
      <c r="BD306" s="90" t="s">
        <v>83</v>
      </c>
      <c r="BE306" s="90" t="s">
        <v>83</v>
      </c>
      <c r="BF306" s="49">
        <v>1.4</v>
      </c>
      <c r="BG306" s="49">
        <v>4.3</v>
      </c>
      <c r="BH306" s="49">
        <v>5.6</v>
      </c>
      <c r="BI306" s="49">
        <v>14.6</v>
      </c>
      <c r="BJ306" s="85">
        <v>19.7</v>
      </c>
      <c r="BK306" s="129">
        <v>13992</v>
      </c>
      <c r="BL306" s="129">
        <v>51847</v>
      </c>
      <c r="BM306" s="129">
        <v>58934</v>
      </c>
      <c r="BN306" s="129">
        <v>47419</v>
      </c>
      <c r="BO306" s="59">
        <v>0</v>
      </c>
      <c r="BP306" s="59">
        <v>0.41139999999999999</v>
      </c>
      <c r="BQ306" s="59">
        <v>0.1295</v>
      </c>
      <c r="BR306" s="59">
        <v>0</v>
      </c>
      <c r="BS306" s="59">
        <v>0</v>
      </c>
      <c r="BT306" s="49">
        <v>3.6</v>
      </c>
      <c r="BU306" s="59">
        <f t="shared" si="20"/>
        <v>0.54089999999999994</v>
      </c>
      <c r="BV306" s="59">
        <v>1.6199999999999999E-2</v>
      </c>
      <c r="BW306" s="59">
        <v>3.2399999999999998E-2</v>
      </c>
      <c r="BX306" s="59">
        <v>0</v>
      </c>
      <c r="BY306" s="59">
        <v>0</v>
      </c>
      <c r="BZ306" s="59">
        <v>0</v>
      </c>
      <c r="CA306" s="49">
        <v>12.3</v>
      </c>
      <c r="CB306" s="59">
        <f t="shared" si="21"/>
        <v>4.8599999999999997E-2</v>
      </c>
      <c r="CC306" s="59">
        <v>0.1295</v>
      </c>
      <c r="CD306" s="125">
        <v>0.67249999999999999</v>
      </c>
      <c r="CE306" s="125">
        <v>0.19800000000000001</v>
      </c>
      <c r="CF306" s="125">
        <v>0</v>
      </c>
      <c r="CG306" s="125">
        <v>0</v>
      </c>
      <c r="CH306" s="85">
        <v>3.8</v>
      </c>
      <c r="CI306" s="39" t="s">
        <v>453</v>
      </c>
      <c r="CJ306" s="18" t="s">
        <v>80</v>
      </c>
      <c r="CK306" s="20"/>
    </row>
    <row r="307" spans="1:89" x14ac:dyDescent="0.25">
      <c r="A307" s="18" t="s">
        <v>80</v>
      </c>
      <c r="B307" s="39" t="s">
        <v>452</v>
      </c>
      <c r="C307" s="39" t="s">
        <v>454</v>
      </c>
      <c r="D307" s="40">
        <v>35</v>
      </c>
      <c r="E307" s="40" t="s">
        <v>83</v>
      </c>
      <c r="F307" s="40">
        <v>35</v>
      </c>
      <c r="G307" s="162" t="s">
        <v>83</v>
      </c>
      <c r="H307" s="162" t="s">
        <v>83</v>
      </c>
      <c r="I307" s="166">
        <v>2</v>
      </c>
      <c r="J307" s="166">
        <v>20</v>
      </c>
      <c r="K307" s="166">
        <v>12</v>
      </c>
      <c r="L307" s="166">
        <v>1</v>
      </c>
      <c r="M307" s="162" t="s">
        <v>83</v>
      </c>
      <c r="N307" s="119">
        <v>0.107361963190184</v>
      </c>
      <c r="O307" s="119">
        <v>0.107361963190184</v>
      </c>
      <c r="P307" s="116" t="s">
        <v>83</v>
      </c>
      <c r="Q307" s="116" t="s">
        <v>83</v>
      </c>
      <c r="R307" s="119">
        <v>0.11111111111111099</v>
      </c>
      <c r="S307" s="119">
        <v>0.135135135135135</v>
      </c>
      <c r="T307" s="119">
        <v>0.151898734177215</v>
      </c>
      <c r="U307" s="119">
        <v>1.2345679012345699E-2</v>
      </c>
      <c r="V307" s="116" t="s">
        <v>83</v>
      </c>
      <c r="W307" s="40">
        <v>305</v>
      </c>
      <c r="X307" s="40">
        <f>SUM(AN307:AR307)</f>
        <v>305</v>
      </c>
      <c r="Y307" s="40">
        <f>SUM(AL307:AR307)</f>
        <v>305</v>
      </c>
      <c r="Z307" s="105">
        <v>0.45600000000000002</v>
      </c>
      <c r="AA307" s="105">
        <v>0.54400000000000004</v>
      </c>
      <c r="AB307" s="106">
        <v>0</v>
      </c>
      <c r="AC307" s="106">
        <f>5/305</f>
        <v>1.6393442622950821E-2</v>
      </c>
      <c r="AD307" s="106">
        <f>295/305</f>
        <v>0.96721311475409832</v>
      </c>
      <c r="AE307" s="106">
        <f>3/305</f>
        <v>9.8360655737704927E-3</v>
      </c>
      <c r="AF307" s="106">
        <v>0</v>
      </c>
      <c r="AG307" s="106">
        <f>2/305</f>
        <v>6.5573770491803279E-3</v>
      </c>
      <c r="AH307" s="106">
        <v>0</v>
      </c>
      <c r="AI307" s="106">
        <f>303/305</f>
        <v>0.99344262295081964</v>
      </c>
      <c r="AJ307" s="105">
        <v>0.91475409836065569</v>
      </c>
      <c r="AK307" s="105">
        <v>0.02</v>
      </c>
      <c r="AL307" s="12">
        <v>0</v>
      </c>
      <c r="AM307" s="12">
        <v>0</v>
      </c>
      <c r="AN307" s="12">
        <v>19</v>
      </c>
      <c r="AO307" s="12">
        <v>137</v>
      </c>
      <c r="AP307" s="12">
        <v>69</v>
      </c>
      <c r="AQ307" s="12">
        <v>80</v>
      </c>
      <c r="AR307" s="12">
        <v>0</v>
      </c>
      <c r="AS307" s="59">
        <v>0.12179487179487179</v>
      </c>
      <c r="AT307" s="3">
        <v>9</v>
      </c>
      <c r="AU307" s="3">
        <v>5</v>
      </c>
      <c r="AV307" s="54">
        <v>58.252427184466015</v>
      </c>
      <c r="AW307" s="54">
        <v>23.300970873786408</v>
      </c>
      <c r="AX307" s="54">
        <v>16.50485436893204</v>
      </c>
      <c r="AY307" s="68">
        <v>1.9417475728155338</v>
      </c>
      <c r="AZ307" s="59">
        <v>0.56146179401993357</v>
      </c>
      <c r="BA307" s="59">
        <v>0.10299003322259136</v>
      </c>
      <c r="BB307" s="81">
        <v>96</v>
      </c>
      <c r="BC307" s="49">
        <v>10.631229235880401</v>
      </c>
      <c r="BD307" s="90" t="s">
        <v>83</v>
      </c>
      <c r="BE307" s="90" t="s">
        <v>83</v>
      </c>
      <c r="BF307" s="49">
        <v>12.4</v>
      </c>
      <c r="BG307" s="49">
        <v>9</v>
      </c>
      <c r="BH307" s="49">
        <v>4</v>
      </c>
      <c r="BI307" s="90" t="s">
        <v>83</v>
      </c>
      <c r="BJ307" s="49"/>
      <c r="BK307" s="129">
        <v>15199</v>
      </c>
      <c r="BL307" s="129">
        <v>43847</v>
      </c>
      <c r="BM307" s="129">
        <v>62486</v>
      </c>
      <c r="BN307" s="129">
        <v>43610</v>
      </c>
      <c r="BO307" s="59">
        <v>0</v>
      </c>
      <c r="BP307" s="59">
        <v>0.47249999999999998</v>
      </c>
      <c r="BQ307" s="59">
        <v>4.9200000000000001E-2</v>
      </c>
      <c r="BR307" s="59">
        <v>0</v>
      </c>
      <c r="BS307" s="59">
        <v>0</v>
      </c>
      <c r="BT307" s="49">
        <v>2.1</v>
      </c>
      <c r="BU307" s="59">
        <f t="shared" si="20"/>
        <v>0.52169999999999994</v>
      </c>
      <c r="BV307" s="59">
        <v>0</v>
      </c>
      <c r="BW307" s="59">
        <v>8.1000000000000003E-2</v>
      </c>
      <c r="BX307" s="59">
        <v>0</v>
      </c>
      <c r="BY307" s="59">
        <v>0</v>
      </c>
      <c r="BZ307" s="59">
        <v>0</v>
      </c>
      <c r="CA307" s="49">
        <v>6.6</v>
      </c>
      <c r="CB307" s="59">
        <f t="shared" si="21"/>
        <v>8.1000000000000003E-2</v>
      </c>
      <c r="CC307" s="59">
        <v>0.122</v>
      </c>
      <c r="CD307" s="59">
        <v>0.77159999999999995</v>
      </c>
      <c r="CE307" s="59">
        <v>0.1065</v>
      </c>
      <c r="CF307" s="59">
        <v>0</v>
      </c>
      <c r="CG307" s="59">
        <v>0</v>
      </c>
      <c r="CH307" s="49">
        <v>3.4</v>
      </c>
      <c r="CI307" s="39" t="s">
        <v>454</v>
      </c>
      <c r="CJ307" s="18" t="s">
        <v>80</v>
      </c>
      <c r="CK307" s="20"/>
    </row>
    <row r="308" spans="1:89" x14ac:dyDescent="0.25">
      <c r="A308" s="18" t="s">
        <v>80</v>
      </c>
      <c r="B308" s="39" t="s">
        <v>452</v>
      </c>
      <c r="C308" s="39" t="s">
        <v>455</v>
      </c>
      <c r="D308" s="40">
        <v>24</v>
      </c>
      <c r="E308" s="40" t="s">
        <v>83</v>
      </c>
      <c r="F308" s="40">
        <v>24</v>
      </c>
      <c r="G308" s="162" t="s">
        <v>83</v>
      </c>
      <c r="H308" s="162" t="s">
        <v>83</v>
      </c>
      <c r="I308" s="166">
        <v>0</v>
      </c>
      <c r="J308" s="166">
        <v>12</v>
      </c>
      <c r="K308" s="166">
        <v>10</v>
      </c>
      <c r="L308" s="166">
        <v>2</v>
      </c>
      <c r="M308" s="162" t="s">
        <v>83</v>
      </c>
      <c r="N308" s="119">
        <v>7.1641791044776096E-2</v>
      </c>
      <c r="O308" s="119">
        <v>7.1641791044776096E-2</v>
      </c>
      <c r="P308" s="116" t="s">
        <v>83</v>
      </c>
      <c r="Q308" s="116" t="s">
        <v>83</v>
      </c>
      <c r="R308" s="119">
        <v>0</v>
      </c>
      <c r="S308" s="119">
        <v>8.2191780821917804E-2</v>
      </c>
      <c r="T308" s="119">
        <v>0.10989010989011</v>
      </c>
      <c r="U308" s="119">
        <v>2.5641025641025599E-2</v>
      </c>
      <c r="V308" s="116" t="s">
        <v>83</v>
      </c>
      <c r="W308" s="40">
        <v>287</v>
      </c>
      <c r="X308" s="40">
        <f t="shared" si="22"/>
        <v>287</v>
      </c>
      <c r="Y308" s="40">
        <f t="shared" si="23"/>
        <v>287</v>
      </c>
      <c r="Z308" s="105">
        <v>0.45</v>
      </c>
      <c r="AA308" s="105">
        <v>0.55100000000000005</v>
      </c>
      <c r="AB308" s="106">
        <v>0</v>
      </c>
      <c r="AC308" s="106">
        <f>1/287</f>
        <v>3.4843205574912892E-3</v>
      </c>
      <c r="AD308" s="106">
        <f>225/287</f>
        <v>0.78397212543554007</v>
      </c>
      <c r="AE308" s="106">
        <f>60/287</f>
        <v>0.20905923344947736</v>
      </c>
      <c r="AF308" s="106">
        <v>0</v>
      </c>
      <c r="AG308" s="106">
        <v>0</v>
      </c>
      <c r="AH308" s="106">
        <f>1/287</f>
        <v>3.4843205574912892E-3</v>
      </c>
      <c r="AI308" s="106">
        <f>287/287</f>
        <v>1</v>
      </c>
      <c r="AJ308" s="105">
        <v>0.75609756097560976</v>
      </c>
      <c r="AK308" s="105">
        <v>0.19900000000000001</v>
      </c>
      <c r="AL308" s="12">
        <v>0</v>
      </c>
      <c r="AM308" s="12">
        <v>0</v>
      </c>
      <c r="AN308" s="12">
        <v>24</v>
      </c>
      <c r="AO308" s="12">
        <v>116</v>
      </c>
      <c r="AP308" s="12">
        <v>76</v>
      </c>
      <c r="AQ308" s="12">
        <v>71</v>
      </c>
      <c r="AR308" s="12">
        <v>0</v>
      </c>
      <c r="AS308" s="59">
        <v>0.17142857142857143</v>
      </c>
      <c r="AT308" s="3">
        <v>9</v>
      </c>
      <c r="AU308" s="3">
        <v>5</v>
      </c>
      <c r="AV308" s="54">
        <v>59.060402684563762</v>
      </c>
      <c r="AW308" s="54">
        <v>20.134228187919462</v>
      </c>
      <c r="AX308" s="54">
        <v>15.436241610738255</v>
      </c>
      <c r="AY308" s="68">
        <v>5.3691275167785237</v>
      </c>
      <c r="AZ308" s="59">
        <v>0.49848942598187312</v>
      </c>
      <c r="BA308" s="59">
        <v>9.0634441087613288E-2</v>
      </c>
      <c r="BB308" s="81">
        <v>96</v>
      </c>
      <c r="BC308" s="49">
        <v>43.8438438438438</v>
      </c>
      <c r="BD308" s="90" t="s">
        <v>83</v>
      </c>
      <c r="BE308" s="90" t="s">
        <v>83</v>
      </c>
      <c r="BF308" s="49">
        <v>25</v>
      </c>
      <c r="BG308" s="49">
        <v>14.5</v>
      </c>
      <c r="BH308" s="49">
        <v>7.4</v>
      </c>
      <c r="BI308" s="90" t="s">
        <v>83</v>
      </c>
      <c r="BJ308" s="49"/>
      <c r="BK308" s="129">
        <v>15165</v>
      </c>
      <c r="BL308" s="129">
        <v>48399</v>
      </c>
      <c r="BM308" s="129">
        <v>60444</v>
      </c>
      <c r="BN308" s="129">
        <v>47482</v>
      </c>
      <c r="BO308" s="59">
        <v>0</v>
      </c>
      <c r="BP308" s="59">
        <v>0.48949999999999999</v>
      </c>
      <c r="BQ308" s="59">
        <v>0.13220000000000001</v>
      </c>
      <c r="BR308" s="59">
        <v>0</v>
      </c>
      <c r="BS308" s="59">
        <v>0</v>
      </c>
      <c r="BT308" s="49">
        <v>2.2999999999999998</v>
      </c>
      <c r="BU308" s="59">
        <f t="shared" si="20"/>
        <v>0.62170000000000003</v>
      </c>
      <c r="BV308" s="59">
        <v>0</v>
      </c>
      <c r="BW308" s="59">
        <v>5.33E-2</v>
      </c>
      <c r="BX308" s="59">
        <v>5.2900000000000003E-2</v>
      </c>
      <c r="BY308" s="59">
        <v>0</v>
      </c>
      <c r="BZ308" s="59">
        <v>0</v>
      </c>
      <c r="CA308" s="49">
        <v>6.8</v>
      </c>
      <c r="CB308" s="59">
        <f t="shared" si="21"/>
        <v>0.1062</v>
      </c>
      <c r="CC308" s="59">
        <v>0</v>
      </c>
      <c r="CD308" s="59">
        <v>0.72689999999999999</v>
      </c>
      <c r="CE308" s="59">
        <v>0.27310000000000001</v>
      </c>
      <c r="CF308" s="59">
        <v>0</v>
      </c>
      <c r="CG308" s="59">
        <v>0</v>
      </c>
      <c r="CH308" s="49">
        <v>3.3</v>
      </c>
      <c r="CI308" s="39" t="s">
        <v>455</v>
      </c>
      <c r="CJ308" s="18" t="s">
        <v>80</v>
      </c>
      <c r="CK308" s="20"/>
    </row>
    <row r="309" spans="1:89" x14ac:dyDescent="0.25">
      <c r="A309" s="18" t="s">
        <v>80</v>
      </c>
      <c r="B309" s="39" t="s">
        <v>456</v>
      </c>
      <c r="C309" s="39" t="s">
        <v>457</v>
      </c>
      <c r="D309" s="40">
        <v>17</v>
      </c>
      <c r="E309" s="40">
        <v>10</v>
      </c>
      <c r="F309" s="40">
        <v>7</v>
      </c>
      <c r="G309" s="166">
        <v>6</v>
      </c>
      <c r="H309" s="166">
        <v>4</v>
      </c>
      <c r="I309" s="162" t="s">
        <v>83</v>
      </c>
      <c r="J309" s="166">
        <v>3</v>
      </c>
      <c r="K309" s="166">
        <v>3</v>
      </c>
      <c r="L309" s="166">
        <v>1</v>
      </c>
      <c r="M309" s="166">
        <v>0</v>
      </c>
      <c r="N309" s="119">
        <v>5.2469135802469098E-2</v>
      </c>
      <c r="O309" s="119">
        <v>3.4146341463414602E-2</v>
      </c>
      <c r="P309" s="119">
        <v>0.115384615384615</v>
      </c>
      <c r="Q309" s="119">
        <v>5.9701492537313397E-2</v>
      </c>
      <c r="R309" s="116" t="s">
        <v>83</v>
      </c>
      <c r="S309" s="119">
        <v>4.6875E-2</v>
      </c>
      <c r="T309" s="119">
        <v>6.6666666666666693E-2</v>
      </c>
      <c r="U309" s="119">
        <v>2.6315789473684199E-2</v>
      </c>
      <c r="V309" s="119">
        <v>0</v>
      </c>
      <c r="W309" s="40">
        <v>365</v>
      </c>
      <c r="X309" s="40">
        <f t="shared" si="22"/>
        <v>202</v>
      </c>
      <c r="Y309" s="40">
        <f t="shared" si="23"/>
        <v>311</v>
      </c>
      <c r="Z309" s="105">
        <v>0</v>
      </c>
      <c r="AA309" s="105">
        <v>1</v>
      </c>
      <c r="AB309" s="106">
        <v>0</v>
      </c>
      <c r="AC309" s="106">
        <v>0</v>
      </c>
      <c r="AD309" s="106">
        <f>363/365</f>
        <v>0.9945205479452055</v>
      </c>
      <c r="AE309" s="106">
        <v>0</v>
      </c>
      <c r="AF309" s="106">
        <v>0</v>
      </c>
      <c r="AG309" s="106">
        <f>2/365</f>
        <v>5.4794520547945206E-3</v>
      </c>
      <c r="AH309" s="106">
        <v>0</v>
      </c>
      <c r="AI309" s="106">
        <f>363/365</f>
        <v>0.9945205479452055</v>
      </c>
      <c r="AJ309" s="105">
        <v>0.90958904109589045</v>
      </c>
      <c r="AK309" s="105">
        <v>0</v>
      </c>
      <c r="AL309" s="12">
        <v>50</v>
      </c>
      <c r="AM309" s="12">
        <v>59</v>
      </c>
      <c r="AN309" s="12">
        <v>0</v>
      </c>
      <c r="AO309" s="12">
        <v>86</v>
      </c>
      <c r="AP309" s="12">
        <v>45</v>
      </c>
      <c r="AQ309" s="12">
        <v>37</v>
      </c>
      <c r="AR309" s="12">
        <v>34</v>
      </c>
      <c r="AS309" s="59">
        <v>0</v>
      </c>
      <c r="AT309" s="3">
        <v>5</v>
      </c>
      <c r="AU309" s="3">
        <v>5</v>
      </c>
      <c r="AV309" s="54">
        <v>36.666666666666664</v>
      </c>
      <c r="AW309" s="54">
        <v>13.333333333333334</v>
      </c>
      <c r="AX309" s="54">
        <v>26.666666666666668</v>
      </c>
      <c r="AY309" s="68">
        <v>23.333333333333332</v>
      </c>
      <c r="AZ309" s="59">
        <v>0.01</v>
      </c>
      <c r="BA309" s="64">
        <v>0.03</v>
      </c>
      <c r="BB309" s="77">
        <v>93.128140301539801</v>
      </c>
      <c r="BC309" s="84"/>
      <c r="BD309" s="49">
        <v>6.5</v>
      </c>
      <c r="BE309" s="49">
        <v>15</v>
      </c>
      <c r="BF309" s="49">
        <v>2.2999999999999998</v>
      </c>
      <c r="BG309" s="49">
        <v>6.5</v>
      </c>
      <c r="BH309" s="49">
        <v>15.4</v>
      </c>
      <c r="BI309" s="49">
        <v>0</v>
      </c>
      <c r="BJ309" s="85">
        <v>15.4</v>
      </c>
      <c r="BK309" s="129">
        <v>12731</v>
      </c>
      <c r="BL309" s="129">
        <v>81514</v>
      </c>
      <c r="BM309" s="129">
        <v>86859</v>
      </c>
      <c r="BN309" s="129">
        <v>71591</v>
      </c>
      <c r="BO309" s="59">
        <v>0</v>
      </c>
      <c r="BP309" s="59">
        <v>0.372</v>
      </c>
      <c r="BQ309" s="59">
        <v>0.1066</v>
      </c>
      <c r="BR309" s="59">
        <v>0</v>
      </c>
      <c r="BS309" s="59">
        <v>6.3E-3</v>
      </c>
      <c r="BT309" s="49">
        <v>14.7</v>
      </c>
      <c r="BU309" s="59">
        <f t="shared" si="20"/>
        <v>0.4849</v>
      </c>
      <c r="BV309" s="59">
        <v>4.07E-2</v>
      </c>
      <c r="BW309" s="59">
        <v>3.8199999999999998E-2</v>
      </c>
      <c r="BX309" s="59">
        <v>2.3699999999999999E-2</v>
      </c>
      <c r="BY309" s="59">
        <v>0</v>
      </c>
      <c r="BZ309" s="59">
        <v>0</v>
      </c>
      <c r="CA309" s="49">
        <v>11.2</v>
      </c>
      <c r="CB309" s="59">
        <f t="shared" si="21"/>
        <v>0.1026</v>
      </c>
      <c r="CC309" s="59">
        <v>0.16189999999999999</v>
      </c>
      <c r="CD309" s="125">
        <v>0.63019999999999998</v>
      </c>
      <c r="CE309" s="125">
        <v>0.19309999999999999</v>
      </c>
      <c r="CF309" s="125">
        <v>0</v>
      </c>
      <c r="CG309" s="125">
        <v>1.4800000000000001E-2</v>
      </c>
      <c r="CH309" s="85">
        <v>10.9</v>
      </c>
      <c r="CI309" s="39" t="s">
        <v>457</v>
      </c>
      <c r="CJ309" s="18" t="s">
        <v>80</v>
      </c>
      <c r="CK309" s="20"/>
    </row>
    <row r="310" spans="1:89" x14ac:dyDescent="0.25">
      <c r="A310" s="18" t="s">
        <v>80</v>
      </c>
      <c r="B310" s="39" t="s">
        <v>458</v>
      </c>
      <c r="C310" s="39" t="s">
        <v>459</v>
      </c>
      <c r="D310" s="40">
        <v>51</v>
      </c>
      <c r="E310" s="40">
        <v>6</v>
      </c>
      <c r="F310" s="40">
        <v>45</v>
      </c>
      <c r="G310" s="166">
        <v>1</v>
      </c>
      <c r="H310" s="166">
        <v>5</v>
      </c>
      <c r="I310" s="166">
        <v>0</v>
      </c>
      <c r="J310" s="166">
        <v>25</v>
      </c>
      <c r="K310" s="166">
        <v>8</v>
      </c>
      <c r="L310" s="166">
        <v>5</v>
      </c>
      <c r="M310" s="166">
        <v>7</v>
      </c>
      <c r="N310" s="119">
        <v>8.9316987740805598E-2</v>
      </c>
      <c r="O310" s="119">
        <v>9.7613882863340606E-2</v>
      </c>
      <c r="P310" s="119">
        <v>1.7857142857142901E-2</v>
      </c>
      <c r="Q310" s="119">
        <v>9.2592592592592601E-2</v>
      </c>
      <c r="R310" s="119">
        <v>0</v>
      </c>
      <c r="S310" s="119">
        <v>0.14792899408283999</v>
      </c>
      <c r="T310" s="119">
        <v>7.0175438596491196E-2</v>
      </c>
      <c r="U310" s="119">
        <v>6.9444444444444406E-2</v>
      </c>
      <c r="V310" s="119">
        <v>6.8627450980392204E-2</v>
      </c>
      <c r="W310" s="40">
        <v>464</v>
      </c>
      <c r="X310" s="40">
        <f t="shared" si="22"/>
        <v>368</v>
      </c>
      <c r="Y310" s="40">
        <f t="shared" si="23"/>
        <v>464</v>
      </c>
      <c r="Z310" s="105">
        <v>0.47599999999999998</v>
      </c>
      <c r="AA310" s="105">
        <v>0.52400000000000002</v>
      </c>
      <c r="AB310" s="106">
        <f>1/464</f>
        <v>2.1551724137931034E-3</v>
      </c>
      <c r="AC310" s="106">
        <f>5/464</f>
        <v>1.0775862068965518E-2</v>
      </c>
      <c r="AD310" s="106">
        <f>434/464</f>
        <v>0.93534482758620685</v>
      </c>
      <c r="AE310" s="106">
        <f>19/464</f>
        <v>4.0948275862068964E-2</v>
      </c>
      <c r="AF310" s="106">
        <v>0</v>
      </c>
      <c r="AG310" s="106">
        <f>5/464</f>
        <v>1.0775862068965518E-2</v>
      </c>
      <c r="AH310" s="106">
        <v>0</v>
      </c>
      <c r="AI310" s="106">
        <f>459/464</f>
        <v>0.98922413793103448</v>
      </c>
      <c r="AJ310" s="105">
        <v>0.90948275862068961</v>
      </c>
      <c r="AK310" s="105">
        <v>3.2000000000000001E-2</v>
      </c>
      <c r="AL310" s="12">
        <v>51</v>
      </c>
      <c r="AM310" s="12">
        <v>45</v>
      </c>
      <c r="AN310" s="12">
        <v>3</v>
      </c>
      <c r="AO310" s="12">
        <v>120</v>
      </c>
      <c r="AP310" s="12">
        <v>95</v>
      </c>
      <c r="AQ310" s="12">
        <v>63</v>
      </c>
      <c r="AR310" s="12">
        <v>87</v>
      </c>
      <c r="AS310" s="59">
        <v>2.4390243902439025E-2</v>
      </c>
      <c r="AT310" s="3">
        <v>7</v>
      </c>
      <c r="AU310" s="3">
        <v>5</v>
      </c>
      <c r="AV310" s="54">
        <v>51.980198019801982</v>
      </c>
      <c r="AW310" s="54">
        <v>24.257425742574256</v>
      </c>
      <c r="AX310" s="54">
        <v>22.772277227722775</v>
      </c>
      <c r="AY310" s="68">
        <v>0.99009900990099009</v>
      </c>
      <c r="AZ310" s="65">
        <v>0</v>
      </c>
      <c r="BA310" s="59">
        <v>0.3235294117647059</v>
      </c>
      <c r="BB310" s="77">
        <v>90.042282842431703</v>
      </c>
      <c r="BC310" s="84"/>
      <c r="BD310" s="93">
        <v>0</v>
      </c>
      <c r="BE310" s="93">
        <v>0</v>
      </c>
      <c r="BF310" s="49">
        <v>15.9</v>
      </c>
      <c r="BG310" s="49">
        <v>4.5</v>
      </c>
      <c r="BH310" s="49">
        <v>8.5</v>
      </c>
      <c r="BI310" s="49">
        <v>16.3</v>
      </c>
      <c r="BJ310" s="85">
        <v>17.8</v>
      </c>
      <c r="BK310" s="129">
        <v>16078</v>
      </c>
      <c r="BL310" s="129">
        <v>51219</v>
      </c>
      <c r="BM310" s="129">
        <v>51830</v>
      </c>
      <c r="BN310" s="129">
        <v>48785</v>
      </c>
      <c r="BO310" s="59">
        <v>0</v>
      </c>
      <c r="BP310" s="59">
        <v>0.46660000000000001</v>
      </c>
      <c r="BQ310" s="59">
        <v>8.5000000000000006E-2</v>
      </c>
      <c r="BR310" s="59">
        <v>0</v>
      </c>
      <c r="BS310" s="59">
        <v>0</v>
      </c>
      <c r="BT310" s="49">
        <v>3</v>
      </c>
      <c r="BU310" s="59">
        <f t="shared" si="20"/>
        <v>0.55159999999999998</v>
      </c>
      <c r="BV310" s="59">
        <v>1.4200000000000001E-2</v>
      </c>
      <c r="BW310" s="59">
        <v>1.4500000000000001E-2</v>
      </c>
      <c r="BX310" s="59">
        <v>4.2999999999999997E-2</v>
      </c>
      <c r="BY310" s="59">
        <v>0</v>
      </c>
      <c r="BZ310" s="59">
        <v>0</v>
      </c>
      <c r="CA310" s="49">
        <v>2</v>
      </c>
      <c r="CB310" s="59">
        <f t="shared" si="21"/>
        <v>7.17E-2</v>
      </c>
      <c r="CC310" s="59">
        <v>0.1303</v>
      </c>
      <c r="CD310" s="125">
        <v>0.64080000000000004</v>
      </c>
      <c r="CE310" s="125">
        <v>0.2145</v>
      </c>
      <c r="CF310" s="125">
        <v>0</v>
      </c>
      <c r="CG310" s="125">
        <v>1.44E-2</v>
      </c>
      <c r="CH310" s="85">
        <v>2.7</v>
      </c>
      <c r="CI310" s="39" t="s">
        <v>459</v>
      </c>
      <c r="CJ310" s="18" t="s">
        <v>80</v>
      </c>
      <c r="CK310" s="20"/>
    </row>
    <row r="311" spans="1:89" x14ac:dyDescent="0.25">
      <c r="A311" s="18" t="s">
        <v>80</v>
      </c>
      <c r="B311" s="39" t="s">
        <v>460</v>
      </c>
      <c r="C311" s="39" t="s">
        <v>461</v>
      </c>
      <c r="D311" s="40">
        <v>5</v>
      </c>
      <c r="E311" s="40">
        <v>0</v>
      </c>
      <c r="F311" s="40">
        <v>5</v>
      </c>
      <c r="G311" s="166">
        <v>0</v>
      </c>
      <c r="H311" s="166">
        <v>0</v>
      </c>
      <c r="I311" s="162" t="s">
        <v>83</v>
      </c>
      <c r="J311" s="166">
        <v>0</v>
      </c>
      <c r="K311" s="166">
        <v>2</v>
      </c>
      <c r="L311" s="166">
        <v>3</v>
      </c>
      <c r="M311" s="166">
        <v>0</v>
      </c>
      <c r="N311" s="119">
        <v>1.7543859649122799E-2</v>
      </c>
      <c r="O311" s="119">
        <v>2.8571428571428598E-2</v>
      </c>
      <c r="P311" s="119">
        <v>0</v>
      </c>
      <c r="Q311" s="119">
        <v>0</v>
      </c>
      <c r="R311" s="116" t="s">
        <v>83</v>
      </c>
      <c r="S311" s="119">
        <v>0</v>
      </c>
      <c r="T311" s="119">
        <v>3.4482758620689703E-2</v>
      </c>
      <c r="U311" s="119">
        <v>6.9767441860465101E-2</v>
      </c>
      <c r="V311" s="119">
        <v>0</v>
      </c>
      <c r="W311" s="40">
        <v>801</v>
      </c>
      <c r="X311" s="40">
        <f t="shared" si="22"/>
        <v>158</v>
      </c>
      <c r="Y311" s="40">
        <f t="shared" si="23"/>
        <v>261</v>
      </c>
      <c r="Z311" s="105">
        <v>0.49299999999999999</v>
      </c>
      <c r="AA311" s="105">
        <v>0.50700000000000001</v>
      </c>
      <c r="AB311" s="106">
        <v>0</v>
      </c>
      <c r="AC311" s="106">
        <v>0</v>
      </c>
      <c r="AD311" s="106">
        <f>796/801</f>
        <v>0.99375780274656678</v>
      </c>
      <c r="AE311" s="106">
        <f>1/801</f>
        <v>1.2484394506866417E-3</v>
      </c>
      <c r="AF311" s="106">
        <v>0</v>
      </c>
      <c r="AG311" s="106">
        <f>3/801</f>
        <v>3.7453183520599251E-3</v>
      </c>
      <c r="AH311" s="106">
        <f>1/801</f>
        <v>1.2484394506866417E-3</v>
      </c>
      <c r="AI311" s="106">
        <f>798/801</f>
        <v>0.99625468164794007</v>
      </c>
      <c r="AJ311" s="105">
        <v>0.91385767790262173</v>
      </c>
      <c r="AK311" s="105">
        <v>0</v>
      </c>
      <c r="AL311" s="12">
        <v>50</v>
      </c>
      <c r="AM311" s="12">
        <v>53</v>
      </c>
      <c r="AN311" s="12">
        <v>0</v>
      </c>
      <c r="AO311" s="12">
        <v>37</v>
      </c>
      <c r="AP311" s="12">
        <v>50</v>
      </c>
      <c r="AQ311" s="12">
        <v>40</v>
      </c>
      <c r="AR311" s="12">
        <v>31</v>
      </c>
      <c r="AS311" s="59">
        <v>0</v>
      </c>
      <c r="AT311" s="3">
        <v>1</v>
      </c>
      <c r="AU311" s="3">
        <v>5</v>
      </c>
      <c r="AV311" s="54">
        <v>25.123152709359609</v>
      </c>
      <c r="AW311" s="54">
        <v>61.576354679802961</v>
      </c>
      <c r="AX311" s="54">
        <v>10.83743842364532</v>
      </c>
      <c r="AY311" s="68">
        <v>2.4630541871921183</v>
      </c>
      <c r="AZ311" s="59">
        <v>2.1144705022197651E-3</v>
      </c>
      <c r="BA311" s="59">
        <v>0.10438908659549229</v>
      </c>
      <c r="BB311" s="81">
        <v>96</v>
      </c>
      <c r="BC311" s="49">
        <v>23.056653491436101</v>
      </c>
      <c r="BD311" s="93">
        <v>0</v>
      </c>
      <c r="BE311" s="93">
        <v>0</v>
      </c>
      <c r="BF311" s="93">
        <v>0</v>
      </c>
      <c r="BG311" s="93">
        <v>0</v>
      </c>
      <c r="BH311" s="93">
        <v>0</v>
      </c>
      <c r="BI311" s="49">
        <v>6.3</v>
      </c>
      <c r="BJ311" s="85">
        <v>17.7</v>
      </c>
      <c r="BK311" s="129">
        <v>9393</v>
      </c>
      <c r="BL311" s="129">
        <v>49862</v>
      </c>
      <c r="BM311" s="129">
        <v>73057</v>
      </c>
      <c r="BN311" s="129">
        <v>42746</v>
      </c>
      <c r="BO311" s="59">
        <v>2.3300000000000001E-2</v>
      </c>
      <c r="BP311" s="59">
        <v>0.3256</v>
      </c>
      <c r="BQ311" s="59">
        <v>0.13950000000000001</v>
      </c>
      <c r="BR311" s="59">
        <v>0</v>
      </c>
      <c r="BS311" s="59">
        <v>0</v>
      </c>
      <c r="BT311" s="49">
        <v>15.4</v>
      </c>
      <c r="BU311" s="59">
        <f t="shared" si="20"/>
        <v>0.4884</v>
      </c>
      <c r="BV311" s="59">
        <v>0</v>
      </c>
      <c r="BW311" s="59">
        <v>2.3300000000000001E-2</v>
      </c>
      <c r="BX311" s="59">
        <v>0</v>
      </c>
      <c r="BY311" s="59">
        <v>0</v>
      </c>
      <c r="BZ311" s="59">
        <v>1.1599999999999999E-2</v>
      </c>
      <c r="CA311" s="49">
        <v>19.3</v>
      </c>
      <c r="CB311" s="59">
        <f t="shared" si="21"/>
        <v>3.49E-2</v>
      </c>
      <c r="CC311" s="59">
        <v>0.30230000000000001</v>
      </c>
      <c r="CD311" s="125">
        <v>0.46510000000000001</v>
      </c>
      <c r="CE311" s="125">
        <v>0.22090000000000001</v>
      </c>
      <c r="CF311" s="125">
        <v>0</v>
      </c>
      <c r="CG311" s="125">
        <v>1.1599999999999999E-2</v>
      </c>
      <c r="CH311" s="85">
        <v>13.2</v>
      </c>
      <c r="CI311" s="39" t="s">
        <v>461</v>
      </c>
      <c r="CJ311" s="18" t="s">
        <v>80</v>
      </c>
      <c r="CK311" s="20"/>
    </row>
    <row r="312" spans="1:89" x14ac:dyDescent="0.25">
      <c r="A312" s="18" t="s">
        <v>80</v>
      </c>
      <c r="B312" s="39" t="s">
        <v>462</v>
      </c>
      <c r="C312" s="39" t="s">
        <v>463</v>
      </c>
      <c r="D312" s="40">
        <v>50</v>
      </c>
      <c r="E312" s="40" t="s">
        <v>83</v>
      </c>
      <c r="F312" s="40">
        <v>50</v>
      </c>
      <c r="G312" s="162" t="s">
        <v>83</v>
      </c>
      <c r="H312" s="162" t="s">
        <v>83</v>
      </c>
      <c r="I312" s="162" t="s">
        <v>83</v>
      </c>
      <c r="J312" s="166">
        <v>8</v>
      </c>
      <c r="K312" s="166">
        <v>19</v>
      </c>
      <c r="L312" s="166">
        <v>13</v>
      </c>
      <c r="M312" s="166">
        <v>10</v>
      </c>
      <c r="N312" s="119">
        <v>3.3875338753387503E-2</v>
      </c>
      <c r="O312" s="119">
        <v>3.3875338753387503E-2</v>
      </c>
      <c r="P312" s="116" t="s">
        <v>83</v>
      </c>
      <c r="Q312" s="116" t="s">
        <v>83</v>
      </c>
      <c r="R312" s="116" t="s">
        <v>83</v>
      </c>
      <c r="S312" s="119">
        <v>2.53164556962025E-2</v>
      </c>
      <c r="T312" s="119">
        <v>4.9738219895287997E-2</v>
      </c>
      <c r="U312" s="119">
        <v>3.5714285714285698E-2</v>
      </c>
      <c r="V312" s="119">
        <v>2.8985507246376802E-2</v>
      </c>
      <c r="W312" s="40">
        <v>1316</v>
      </c>
      <c r="X312" s="40">
        <f t="shared" si="22"/>
        <v>1316</v>
      </c>
      <c r="Y312" s="40">
        <f t="shared" si="23"/>
        <v>1316</v>
      </c>
      <c r="Z312" s="105">
        <v>0.48399999999999999</v>
      </c>
      <c r="AA312" s="105">
        <v>0.51600000000000001</v>
      </c>
      <c r="AB312" s="106">
        <v>0</v>
      </c>
      <c r="AC312" s="106">
        <f>3/1316</f>
        <v>2.2796352583586625E-3</v>
      </c>
      <c r="AD312" s="106">
        <f>1304/1316</f>
        <v>0.99088145896656532</v>
      </c>
      <c r="AE312" s="106">
        <f>3/1316</f>
        <v>2.2796352583586625E-3</v>
      </c>
      <c r="AF312" s="106">
        <v>0</v>
      </c>
      <c r="AG312" s="106">
        <f>4/1316</f>
        <v>3.0395136778115501E-3</v>
      </c>
      <c r="AH312" s="106">
        <f>2/1316</f>
        <v>1.5197568389057751E-3</v>
      </c>
      <c r="AI312" s="106">
        <f>1312/1316</f>
        <v>0.99696048632218848</v>
      </c>
      <c r="AJ312" s="105">
        <v>0.91565349544072949</v>
      </c>
      <c r="AK312" s="105">
        <v>1.0999999999999999E-2</v>
      </c>
      <c r="AL312" s="12">
        <v>0</v>
      </c>
      <c r="AM312" s="12">
        <v>0</v>
      </c>
      <c r="AN312" s="12">
        <v>0</v>
      </c>
      <c r="AO312" s="12">
        <v>341</v>
      </c>
      <c r="AP312" s="12">
        <v>333</v>
      </c>
      <c r="AQ312" s="12">
        <v>341</v>
      </c>
      <c r="AR312" s="12">
        <v>301</v>
      </c>
      <c r="AS312" s="59">
        <v>0</v>
      </c>
      <c r="AT312" s="3">
        <v>9</v>
      </c>
      <c r="AU312" s="3">
        <v>5</v>
      </c>
      <c r="AV312" s="54">
        <v>57.994186046511629</v>
      </c>
      <c r="AW312" s="54">
        <v>7.5581395348837201</v>
      </c>
      <c r="AX312" s="54">
        <v>15.697674418604651</v>
      </c>
      <c r="AY312" s="68">
        <v>18.75</v>
      </c>
      <c r="AZ312" s="59">
        <v>1.977161129224762E-2</v>
      </c>
      <c r="BA312" s="59">
        <v>5.1034482758620693E-2</v>
      </c>
      <c r="BB312" s="77">
        <v>86.3795741567627</v>
      </c>
      <c r="BC312" s="49">
        <v>11.164713990351499</v>
      </c>
      <c r="BD312" s="90" t="s">
        <v>83</v>
      </c>
      <c r="BE312" s="90" t="s">
        <v>83</v>
      </c>
      <c r="BF312" s="49">
        <v>14.2</v>
      </c>
      <c r="BG312" s="49">
        <v>30</v>
      </c>
      <c r="BH312" s="49">
        <v>19.399999999999999</v>
      </c>
      <c r="BI312" s="49">
        <v>19.8</v>
      </c>
      <c r="BJ312" s="85">
        <v>15.7</v>
      </c>
      <c r="BK312" s="129">
        <v>12218</v>
      </c>
      <c r="BL312" s="129">
        <v>47595</v>
      </c>
      <c r="BM312" s="129">
        <v>60046</v>
      </c>
      <c r="BN312" s="129">
        <v>43769</v>
      </c>
      <c r="BO312" s="59">
        <v>0</v>
      </c>
      <c r="BP312" s="59">
        <v>0.31240000000000001</v>
      </c>
      <c r="BQ312" s="59">
        <v>5.8000000000000003E-2</v>
      </c>
      <c r="BR312" s="59">
        <v>0</v>
      </c>
      <c r="BS312" s="59">
        <v>0</v>
      </c>
      <c r="BT312" s="49">
        <v>11.7</v>
      </c>
      <c r="BU312" s="59">
        <f t="shared" si="20"/>
        <v>0.37040000000000001</v>
      </c>
      <c r="BV312" s="59">
        <v>4.1399999999999999E-2</v>
      </c>
      <c r="BW312" s="59">
        <v>1.66E-2</v>
      </c>
      <c r="BX312" s="59">
        <v>2.4799999999999999E-2</v>
      </c>
      <c r="BY312" s="59">
        <v>0</v>
      </c>
      <c r="BZ312" s="59">
        <v>0</v>
      </c>
      <c r="CA312" s="49">
        <v>13.9</v>
      </c>
      <c r="CB312" s="59">
        <f t="shared" si="21"/>
        <v>8.2799999999999999E-2</v>
      </c>
      <c r="CC312" s="59">
        <v>0.22359999999999999</v>
      </c>
      <c r="CD312" s="125">
        <v>0.61950000000000005</v>
      </c>
      <c r="CE312" s="125">
        <v>0.15690000000000001</v>
      </c>
      <c r="CF312" s="125">
        <v>0</v>
      </c>
      <c r="CG312" s="125">
        <v>0</v>
      </c>
      <c r="CH312" s="85">
        <v>8.8000000000000007</v>
      </c>
      <c r="CI312" s="39" t="s">
        <v>463</v>
      </c>
      <c r="CJ312" s="18" t="s">
        <v>80</v>
      </c>
      <c r="CK312" s="20"/>
    </row>
    <row r="313" spans="1:89" x14ac:dyDescent="0.25">
      <c r="A313" s="18" t="s">
        <v>80</v>
      </c>
      <c r="B313" s="39" t="s">
        <v>462</v>
      </c>
      <c r="C313" s="39" t="s">
        <v>464</v>
      </c>
      <c r="D313" s="40">
        <v>10</v>
      </c>
      <c r="E313" s="40" t="s">
        <v>83</v>
      </c>
      <c r="F313" s="40">
        <v>10</v>
      </c>
      <c r="G313" s="162" t="s">
        <v>83</v>
      </c>
      <c r="H313" s="162" t="s">
        <v>83</v>
      </c>
      <c r="I313" s="162" t="s">
        <v>83</v>
      </c>
      <c r="J313" s="166">
        <v>1</v>
      </c>
      <c r="K313" s="166">
        <v>3</v>
      </c>
      <c r="L313" s="166">
        <v>3</v>
      </c>
      <c r="M313" s="166">
        <v>3</v>
      </c>
      <c r="N313" s="119">
        <v>2.58397932816537E-2</v>
      </c>
      <c r="O313" s="119">
        <v>2.58397932816537E-2</v>
      </c>
      <c r="P313" s="116" t="s">
        <v>83</v>
      </c>
      <c r="Q313" s="116" t="s">
        <v>83</v>
      </c>
      <c r="R313" s="116" t="s">
        <v>83</v>
      </c>
      <c r="S313" s="119">
        <v>6.41025641025641E-3</v>
      </c>
      <c r="T313" s="119">
        <v>3.6144578313252997E-2</v>
      </c>
      <c r="U313" s="119">
        <v>4.3478260869565202E-2</v>
      </c>
      <c r="V313" s="119">
        <v>4.0540540540540501E-2</v>
      </c>
      <c r="W313" s="40">
        <v>299</v>
      </c>
      <c r="X313" s="40">
        <f t="shared" si="22"/>
        <v>299</v>
      </c>
      <c r="Y313" s="40">
        <f t="shared" si="23"/>
        <v>299</v>
      </c>
      <c r="Z313" s="105">
        <v>0.51200000000000001</v>
      </c>
      <c r="AA313" s="105">
        <v>0.48799999999999999</v>
      </c>
      <c r="AB313" s="106">
        <v>0</v>
      </c>
      <c r="AC313" s="106">
        <f>2/299</f>
        <v>6.688963210702341E-3</v>
      </c>
      <c r="AD313" s="106">
        <f>281/299</f>
        <v>0.93979933110367897</v>
      </c>
      <c r="AE313" s="106">
        <f>12/299</f>
        <v>4.0133779264214048E-2</v>
      </c>
      <c r="AF313" s="106">
        <v>0</v>
      </c>
      <c r="AG313" s="106">
        <f>3/299</f>
        <v>1.0033444816053512E-2</v>
      </c>
      <c r="AH313" s="106">
        <f>1/299</f>
        <v>3.3444816053511705E-3</v>
      </c>
      <c r="AI313" s="106">
        <f>296/299</f>
        <v>0.98996655518394649</v>
      </c>
      <c r="AJ313" s="105">
        <v>0.90635451505016718</v>
      </c>
      <c r="AK313" s="105">
        <v>0.04</v>
      </c>
      <c r="AL313" s="12">
        <v>0</v>
      </c>
      <c r="AM313" s="12">
        <v>0</v>
      </c>
      <c r="AN313" s="12">
        <v>0</v>
      </c>
      <c r="AO313" s="12">
        <v>131</v>
      </c>
      <c r="AP313" s="12">
        <v>63</v>
      </c>
      <c r="AQ313" s="12">
        <v>51</v>
      </c>
      <c r="AR313" s="12">
        <v>54</v>
      </c>
      <c r="AS313" s="59">
        <v>0</v>
      </c>
      <c r="AT313" s="3">
        <v>9</v>
      </c>
      <c r="AU313" s="3">
        <v>5</v>
      </c>
      <c r="AV313" s="54">
        <v>42.222222222222221</v>
      </c>
      <c r="AW313" s="54">
        <v>20.74074074074074</v>
      </c>
      <c r="AX313" s="54">
        <v>14.074074074074074</v>
      </c>
      <c r="AY313" s="68">
        <v>22.962962962962962</v>
      </c>
      <c r="AZ313" s="59">
        <v>0.13089005235602094</v>
      </c>
      <c r="BA313" s="59">
        <v>0.2486910994764398</v>
      </c>
      <c r="BB313" s="76">
        <v>76.454300834425794</v>
      </c>
      <c r="BC313" s="49">
        <v>13.0208333333333</v>
      </c>
      <c r="BD313" s="90" t="s">
        <v>83</v>
      </c>
      <c r="BE313" s="90" t="s">
        <v>83</v>
      </c>
      <c r="BF313" s="49">
        <v>17.899999999999999</v>
      </c>
      <c r="BG313" s="49">
        <v>20.3</v>
      </c>
      <c r="BH313" s="49">
        <v>24.4</v>
      </c>
      <c r="BI313" s="49">
        <v>21.1</v>
      </c>
      <c r="BJ313" s="85">
        <v>16.600000000000001</v>
      </c>
      <c r="BK313" s="129">
        <v>11512</v>
      </c>
      <c r="BL313" s="129">
        <v>46562</v>
      </c>
      <c r="BM313" s="129">
        <v>45436</v>
      </c>
      <c r="BN313" s="129">
        <v>40404</v>
      </c>
      <c r="BO313" s="59">
        <v>0</v>
      </c>
      <c r="BP313" s="59">
        <v>0.3831</v>
      </c>
      <c r="BQ313" s="59">
        <v>3.2899999999999999E-2</v>
      </c>
      <c r="BR313" s="59">
        <v>0</v>
      </c>
      <c r="BS313" s="59">
        <v>0</v>
      </c>
      <c r="BT313" s="49">
        <v>8.6</v>
      </c>
      <c r="BU313" s="59">
        <f t="shared" si="20"/>
        <v>0.41599999999999998</v>
      </c>
      <c r="BV313" s="59">
        <v>6.5699999999999995E-2</v>
      </c>
      <c r="BW313" s="59">
        <v>9.6699999999999994E-2</v>
      </c>
      <c r="BX313" s="59">
        <v>0</v>
      </c>
      <c r="BY313" s="59">
        <v>0</v>
      </c>
      <c r="BZ313" s="59">
        <v>0</v>
      </c>
      <c r="CA313" s="49">
        <v>8.9</v>
      </c>
      <c r="CB313" s="59">
        <f t="shared" si="21"/>
        <v>0.16239999999999999</v>
      </c>
      <c r="CC313" s="59">
        <v>0.1643</v>
      </c>
      <c r="CD313" s="125">
        <v>0.77</v>
      </c>
      <c r="CE313" s="125">
        <v>6.5699999999999995E-2</v>
      </c>
      <c r="CF313" s="125">
        <v>0</v>
      </c>
      <c r="CG313" s="125">
        <v>0</v>
      </c>
      <c r="CH313" s="85">
        <v>8.1</v>
      </c>
      <c r="CI313" s="39" t="s">
        <v>464</v>
      </c>
      <c r="CJ313" s="18" t="s">
        <v>80</v>
      </c>
      <c r="CK313" s="20"/>
    </row>
    <row r="314" spans="1:89" x14ac:dyDescent="0.25">
      <c r="A314" s="18" t="s">
        <v>80</v>
      </c>
      <c r="B314" s="39" t="s">
        <v>465</v>
      </c>
      <c r="C314" s="39" t="s">
        <v>466</v>
      </c>
      <c r="D314" s="40">
        <v>47</v>
      </c>
      <c r="E314" s="40">
        <v>12</v>
      </c>
      <c r="F314" s="40">
        <v>35</v>
      </c>
      <c r="G314" s="166">
        <v>4</v>
      </c>
      <c r="H314" s="166">
        <v>8</v>
      </c>
      <c r="I314" s="162" t="s">
        <v>83</v>
      </c>
      <c r="J314" s="166">
        <v>6</v>
      </c>
      <c r="K314" s="166">
        <v>4</v>
      </c>
      <c r="L314" s="166">
        <v>7</v>
      </c>
      <c r="M314" s="166">
        <v>18</v>
      </c>
      <c r="N314" s="119">
        <v>0.10467706013363</v>
      </c>
      <c r="O314" s="119">
        <v>0.10670731707317101</v>
      </c>
      <c r="P314" s="119">
        <v>7.1428571428571397E-2</v>
      </c>
      <c r="Q314" s="119">
        <v>0.123076923076923</v>
      </c>
      <c r="R314" s="116" t="s">
        <v>83</v>
      </c>
      <c r="S314" s="119">
        <v>5.7692307692307702E-2</v>
      </c>
      <c r="T314" s="119">
        <v>4.9382716049382699E-2</v>
      </c>
      <c r="U314" s="119">
        <v>0.10294117647058799</v>
      </c>
      <c r="V314" s="119">
        <v>0.24</v>
      </c>
      <c r="W314" s="40">
        <v>399</v>
      </c>
      <c r="X314" s="40">
        <f t="shared" si="22"/>
        <v>291</v>
      </c>
      <c r="Y314" s="40">
        <f t="shared" si="23"/>
        <v>399</v>
      </c>
      <c r="Z314" s="105">
        <v>0.52100000000000002</v>
      </c>
      <c r="AA314" s="105">
        <v>0.47899999999999998</v>
      </c>
      <c r="AB314" s="106">
        <v>0</v>
      </c>
      <c r="AC314" s="106">
        <v>0</v>
      </c>
      <c r="AD314" s="106">
        <f>377/399</f>
        <v>0.94486215538847118</v>
      </c>
      <c r="AE314" s="106">
        <f>16/399</f>
        <v>4.0100250626566414E-2</v>
      </c>
      <c r="AF314" s="106">
        <v>0</v>
      </c>
      <c r="AG314" s="106">
        <f>3/399</f>
        <v>7.5187969924812026E-3</v>
      </c>
      <c r="AH314" s="106">
        <f>3/399</f>
        <v>7.5187969924812026E-3</v>
      </c>
      <c r="AI314" s="106">
        <f>396/399</f>
        <v>0.99248120300751874</v>
      </c>
      <c r="AJ314" s="105">
        <v>0.8621553884711779</v>
      </c>
      <c r="AK314" s="105">
        <v>0</v>
      </c>
      <c r="AL314" s="12">
        <v>53</v>
      </c>
      <c r="AM314" s="12">
        <v>55</v>
      </c>
      <c r="AN314" s="12">
        <v>0</v>
      </c>
      <c r="AO314" s="12">
        <v>96</v>
      </c>
      <c r="AP314" s="12">
        <v>77</v>
      </c>
      <c r="AQ314" s="12">
        <v>62</v>
      </c>
      <c r="AR314" s="12">
        <v>56</v>
      </c>
      <c r="AS314" s="59">
        <v>0</v>
      </c>
      <c r="AT314" s="3">
        <v>7</v>
      </c>
      <c r="AU314" s="3">
        <v>5</v>
      </c>
      <c r="AV314" s="54">
        <v>71.034482758620683</v>
      </c>
      <c r="AW314" s="54">
        <v>26.896551724137929</v>
      </c>
      <c r="AX314" s="54">
        <v>2.0689655172413794</v>
      </c>
      <c r="AY314" s="68">
        <v>0</v>
      </c>
      <c r="AZ314" s="65">
        <v>0</v>
      </c>
      <c r="BA314" s="59">
        <v>0.05</v>
      </c>
      <c r="BB314" s="81">
        <v>96</v>
      </c>
      <c r="BC314" s="49">
        <v>0.24752475247524799</v>
      </c>
      <c r="BD314" s="93">
        <v>0</v>
      </c>
      <c r="BE314" s="93">
        <v>0</v>
      </c>
      <c r="BF314" s="49">
        <v>13.5</v>
      </c>
      <c r="BG314" s="49">
        <v>0</v>
      </c>
      <c r="BH314" s="49">
        <v>2</v>
      </c>
      <c r="BI314" s="49">
        <v>1.9</v>
      </c>
      <c r="BJ314" s="85">
        <v>18.8</v>
      </c>
      <c r="BK314" s="129">
        <v>12750</v>
      </c>
      <c r="BL314" s="129">
        <v>46736</v>
      </c>
      <c r="BM314" s="129">
        <v>130560</v>
      </c>
      <c r="BN314" s="129">
        <v>45840</v>
      </c>
      <c r="BO314" s="59">
        <v>0</v>
      </c>
      <c r="BP314" s="59">
        <v>0.35610000000000003</v>
      </c>
      <c r="BQ314" s="59">
        <v>0.1176</v>
      </c>
      <c r="BR314" s="59">
        <v>0</v>
      </c>
      <c r="BS314" s="59">
        <v>0</v>
      </c>
      <c r="BT314" s="49">
        <v>8.8000000000000007</v>
      </c>
      <c r="BU314" s="59">
        <f t="shared" si="20"/>
        <v>0.47370000000000001</v>
      </c>
      <c r="BV314" s="59">
        <v>0</v>
      </c>
      <c r="BW314" s="59">
        <v>0</v>
      </c>
      <c r="BX314" s="59">
        <v>1.7000000000000001E-2</v>
      </c>
      <c r="BY314" s="59">
        <v>0</v>
      </c>
      <c r="BZ314" s="59">
        <v>0</v>
      </c>
      <c r="CA314" s="49">
        <v>18</v>
      </c>
      <c r="CB314" s="59">
        <f t="shared" si="21"/>
        <v>1.7000000000000001E-2</v>
      </c>
      <c r="CC314" s="59">
        <v>0.2334</v>
      </c>
      <c r="CD314" s="125">
        <v>0.53290000000000004</v>
      </c>
      <c r="CE314" s="125">
        <v>0.2336</v>
      </c>
      <c r="CF314" s="125">
        <v>0</v>
      </c>
      <c r="CG314" s="125">
        <v>0</v>
      </c>
      <c r="CH314" s="85">
        <v>8.4</v>
      </c>
      <c r="CI314" s="39" t="s">
        <v>466</v>
      </c>
      <c r="CJ314" s="18" t="s">
        <v>80</v>
      </c>
      <c r="CK314" s="20"/>
    </row>
    <row r="315" spans="1:89" x14ac:dyDescent="0.25">
      <c r="A315" s="18" t="s">
        <v>80</v>
      </c>
      <c r="B315" s="39" t="s">
        <v>467</v>
      </c>
      <c r="C315" s="39" t="s">
        <v>468</v>
      </c>
      <c r="D315" s="40">
        <v>16</v>
      </c>
      <c r="E315" s="40" t="s">
        <v>83</v>
      </c>
      <c r="F315" s="40">
        <v>16</v>
      </c>
      <c r="G315" s="162" t="s">
        <v>83</v>
      </c>
      <c r="H315" s="162" t="s">
        <v>83</v>
      </c>
      <c r="I315" s="162" t="s">
        <v>83</v>
      </c>
      <c r="J315" s="166">
        <v>7</v>
      </c>
      <c r="K315" s="166">
        <v>3</v>
      </c>
      <c r="L315" s="166">
        <v>4</v>
      </c>
      <c r="M315" s="166">
        <v>2</v>
      </c>
      <c r="N315" s="119">
        <v>3.1128404669260701E-2</v>
      </c>
      <c r="O315" s="119">
        <v>3.1128404669260701E-2</v>
      </c>
      <c r="P315" s="116" t="s">
        <v>83</v>
      </c>
      <c r="Q315" s="116" t="s">
        <v>83</v>
      </c>
      <c r="R315" s="116" t="s">
        <v>83</v>
      </c>
      <c r="S315" s="119">
        <v>3.8674033149171297E-2</v>
      </c>
      <c r="T315" s="119">
        <v>2.4E-2</v>
      </c>
      <c r="U315" s="119">
        <v>4.1237113402061903E-2</v>
      </c>
      <c r="V315" s="119">
        <v>1.8018018018018001E-2</v>
      </c>
      <c r="W315" s="40">
        <v>445</v>
      </c>
      <c r="X315" s="40">
        <f t="shared" si="22"/>
        <v>445</v>
      </c>
      <c r="Y315" s="40">
        <f t="shared" si="23"/>
        <v>445</v>
      </c>
      <c r="Z315" s="105">
        <v>0.497</v>
      </c>
      <c r="AA315" s="105">
        <v>0.503</v>
      </c>
      <c r="AB315" s="106">
        <v>0</v>
      </c>
      <c r="AC315" s="106">
        <f>7/445</f>
        <v>1.5730337078651686E-2</v>
      </c>
      <c r="AD315" s="106">
        <f>433/445</f>
        <v>0.97303370786516852</v>
      </c>
      <c r="AE315" s="106">
        <f>5/445</f>
        <v>1.1235955056179775E-2</v>
      </c>
      <c r="AF315" s="106">
        <v>0</v>
      </c>
      <c r="AG315" s="106">
        <v>0</v>
      </c>
      <c r="AH315" s="106">
        <v>0</v>
      </c>
      <c r="AI315" s="106">
        <f>445/445</f>
        <v>1</v>
      </c>
      <c r="AJ315" s="105">
        <v>0.91235955056179774</v>
      </c>
      <c r="AK315" s="105">
        <v>1.6E-2</v>
      </c>
      <c r="AL315" s="12">
        <v>0</v>
      </c>
      <c r="AM315" s="12">
        <v>0</v>
      </c>
      <c r="AN315" s="12">
        <v>0</v>
      </c>
      <c r="AO315" s="12">
        <v>151</v>
      </c>
      <c r="AP315" s="12">
        <v>110</v>
      </c>
      <c r="AQ315" s="12">
        <v>86</v>
      </c>
      <c r="AR315" s="12">
        <v>98</v>
      </c>
      <c r="AS315" s="59">
        <v>0</v>
      </c>
      <c r="AT315" s="3">
        <v>9</v>
      </c>
      <c r="AU315" s="3">
        <v>5</v>
      </c>
      <c r="AV315" s="54">
        <v>38.82352941176471</v>
      </c>
      <c r="AW315" s="54">
        <v>41.17647058823529</v>
      </c>
      <c r="AX315" s="54">
        <v>20</v>
      </c>
      <c r="AY315" s="68">
        <v>0</v>
      </c>
      <c r="AZ315" s="65">
        <v>0</v>
      </c>
      <c r="BA315" s="59">
        <v>0.2429718875502008</v>
      </c>
      <c r="BB315" s="76">
        <v>89.680495207316</v>
      </c>
      <c r="BC315" s="49">
        <v>0.59880239520958101</v>
      </c>
      <c r="BD315" s="90" t="s">
        <v>83</v>
      </c>
      <c r="BE315" s="90" t="s">
        <v>83</v>
      </c>
      <c r="BF315" s="49">
        <v>10</v>
      </c>
      <c r="BG315" s="49">
        <v>5.7</v>
      </c>
      <c r="BH315" s="49">
        <v>1.2</v>
      </c>
      <c r="BI315" s="49">
        <v>4</v>
      </c>
      <c r="BJ315" s="85">
        <v>18.5</v>
      </c>
      <c r="BK315" s="129">
        <v>13063</v>
      </c>
      <c r="BL315" s="129">
        <v>46392</v>
      </c>
      <c r="BM315" s="129">
        <v>66571</v>
      </c>
      <c r="BN315" s="129">
        <v>49963</v>
      </c>
      <c r="BO315" s="59">
        <v>0</v>
      </c>
      <c r="BP315" s="59">
        <v>0.54</v>
      </c>
      <c r="BQ315" s="59">
        <v>0.12</v>
      </c>
      <c r="BR315" s="59">
        <v>0</v>
      </c>
      <c r="BS315" s="59">
        <v>0</v>
      </c>
      <c r="BT315" s="49">
        <v>2.4</v>
      </c>
      <c r="BU315" s="59">
        <f t="shared" si="20"/>
        <v>0.66</v>
      </c>
      <c r="BV315" s="59">
        <v>0</v>
      </c>
      <c r="BW315" s="59">
        <v>0.12</v>
      </c>
      <c r="BX315" s="59">
        <v>0.02</v>
      </c>
      <c r="BY315" s="59">
        <v>0</v>
      </c>
      <c r="BZ315" s="59">
        <v>0</v>
      </c>
      <c r="CA315" s="49">
        <v>4.3</v>
      </c>
      <c r="CB315" s="59">
        <f t="shared" si="21"/>
        <v>0.13999999999999999</v>
      </c>
      <c r="CC315" s="59">
        <v>0</v>
      </c>
      <c r="CD315" s="125">
        <v>0.78</v>
      </c>
      <c r="CE315" s="125">
        <v>0.22</v>
      </c>
      <c r="CF315" s="125">
        <v>0</v>
      </c>
      <c r="CG315" s="125">
        <v>0</v>
      </c>
      <c r="CH315" s="85">
        <v>2.9</v>
      </c>
      <c r="CI315" s="39" t="s">
        <v>468</v>
      </c>
      <c r="CJ315" s="18" t="s">
        <v>80</v>
      </c>
      <c r="CK315" s="20"/>
    </row>
    <row r="316" spans="1:89" x14ac:dyDescent="0.25">
      <c r="A316" s="18" t="s">
        <v>80</v>
      </c>
      <c r="B316" s="39" t="s">
        <v>469</v>
      </c>
      <c r="C316" s="39" t="s">
        <v>470</v>
      </c>
      <c r="D316" s="40">
        <v>34</v>
      </c>
      <c r="E316" s="40" t="s">
        <v>83</v>
      </c>
      <c r="F316" s="40">
        <v>34</v>
      </c>
      <c r="G316" s="162" t="s">
        <v>83</v>
      </c>
      <c r="H316" s="162" t="s">
        <v>83</v>
      </c>
      <c r="I316" s="162" t="s">
        <v>83</v>
      </c>
      <c r="J316" s="166">
        <v>3</v>
      </c>
      <c r="K316" s="166">
        <v>7</v>
      </c>
      <c r="L316" s="166">
        <v>13</v>
      </c>
      <c r="M316" s="166">
        <v>11</v>
      </c>
      <c r="N316" s="119">
        <v>6.9958847736625501E-2</v>
      </c>
      <c r="O316" s="119">
        <v>6.9958847736625501E-2</v>
      </c>
      <c r="P316" s="116" t="s">
        <v>83</v>
      </c>
      <c r="Q316" s="116" t="s">
        <v>83</v>
      </c>
      <c r="R316" s="116" t="s">
        <v>83</v>
      </c>
      <c r="S316" s="119">
        <v>4.2253521126760597E-2</v>
      </c>
      <c r="T316" s="119">
        <v>5.1470588235294101E-2</v>
      </c>
      <c r="U316" s="119">
        <v>0.1015625</v>
      </c>
      <c r="V316" s="119">
        <v>8.59375E-2</v>
      </c>
      <c r="W316" s="40">
        <v>427</v>
      </c>
      <c r="X316" s="40">
        <f t="shared" si="22"/>
        <v>427</v>
      </c>
      <c r="Y316" s="40">
        <f t="shared" si="23"/>
        <v>427</v>
      </c>
      <c r="Z316" s="105">
        <v>0.497</v>
      </c>
      <c r="AA316" s="105">
        <v>0.504</v>
      </c>
      <c r="AB316" s="106">
        <f>1/427</f>
        <v>2.34192037470726E-3</v>
      </c>
      <c r="AC316" s="106">
        <v>0</v>
      </c>
      <c r="AD316" s="106">
        <f>405/427</f>
        <v>0.94847775175644033</v>
      </c>
      <c r="AE316" s="106">
        <f>19/427</f>
        <v>4.449648711943794E-2</v>
      </c>
      <c r="AF316" s="106">
        <v>0</v>
      </c>
      <c r="AG316" s="106">
        <f>2/427</f>
        <v>4.6838407494145199E-3</v>
      </c>
      <c r="AH316" s="106">
        <v>0</v>
      </c>
      <c r="AI316" s="106">
        <f>425/427</f>
        <v>0.99531615925058547</v>
      </c>
      <c r="AJ316" s="105">
        <v>0.91569086651053866</v>
      </c>
      <c r="AK316" s="105">
        <v>3.5000000000000003E-2</v>
      </c>
      <c r="AL316" s="12">
        <v>0</v>
      </c>
      <c r="AM316" s="12">
        <v>0</v>
      </c>
      <c r="AN316" s="12">
        <v>0</v>
      </c>
      <c r="AO316" s="12">
        <v>78</v>
      </c>
      <c r="AP316" s="12">
        <v>124</v>
      </c>
      <c r="AQ316" s="12">
        <v>109</v>
      </c>
      <c r="AR316" s="12">
        <v>116</v>
      </c>
      <c r="AS316" s="59">
        <v>0</v>
      </c>
      <c r="AT316" s="3">
        <v>9</v>
      </c>
      <c r="AU316" s="3">
        <v>5</v>
      </c>
      <c r="AV316" s="54">
        <v>52.866242038216562</v>
      </c>
      <c r="AW316" s="54">
        <v>31.847133757961782</v>
      </c>
      <c r="AX316" s="54">
        <v>14.64968152866242</v>
      </c>
      <c r="AY316" s="68">
        <v>0.63694267515923575</v>
      </c>
      <c r="AZ316" s="59">
        <v>0.22222222222222221</v>
      </c>
      <c r="BA316" s="59">
        <v>0.25786163522012578</v>
      </c>
      <c r="BB316" s="76">
        <v>87.259643596621402</v>
      </c>
      <c r="BC316" s="49">
        <v>38.934426229508198</v>
      </c>
      <c r="BD316" s="90" t="s">
        <v>83</v>
      </c>
      <c r="BE316" s="90" t="s">
        <v>83</v>
      </c>
      <c r="BF316" s="93">
        <v>5.0999999999999996</v>
      </c>
      <c r="BG316" s="49">
        <v>3.5</v>
      </c>
      <c r="BH316" s="49">
        <v>5.2</v>
      </c>
      <c r="BI316" s="49">
        <v>7</v>
      </c>
      <c r="BJ316" s="85">
        <v>15.4</v>
      </c>
      <c r="BK316" s="129">
        <v>16373</v>
      </c>
      <c r="BL316" s="129">
        <v>48529</v>
      </c>
      <c r="BM316" s="129">
        <v>57521</v>
      </c>
      <c r="BN316" s="129">
        <v>51545</v>
      </c>
      <c r="BO316" s="59">
        <v>1.6299999999999999E-2</v>
      </c>
      <c r="BP316" s="59">
        <v>0.28050000000000003</v>
      </c>
      <c r="BQ316" s="59">
        <v>0.16869999999999999</v>
      </c>
      <c r="BR316" s="59">
        <v>0</v>
      </c>
      <c r="BS316" s="59">
        <v>3.0700000000000002E-2</v>
      </c>
      <c r="BT316" s="49">
        <v>3.7</v>
      </c>
      <c r="BU316" s="59">
        <f t="shared" si="20"/>
        <v>0.49620000000000003</v>
      </c>
      <c r="BV316" s="59">
        <v>4.9000000000000002E-2</v>
      </c>
      <c r="BW316" s="59">
        <v>5.8000000000000003E-2</v>
      </c>
      <c r="BX316" s="59">
        <v>1.6299999999999999E-2</v>
      </c>
      <c r="BY316" s="59">
        <v>0</v>
      </c>
      <c r="BZ316" s="59">
        <v>0</v>
      </c>
      <c r="CA316" s="49">
        <v>9.1</v>
      </c>
      <c r="CB316" s="59">
        <f t="shared" si="21"/>
        <v>0.12330000000000001</v>
      </c>
      <c r="CC316" s="59">
        <v>0.14710000000000001</v>
      </c>
      <c r="CD316" s="125">
        <v>0.48470000000000002</v>
      </c>
      <c r="CE316" s="125">
        <v>0.30470000000000003</v>
      </c>
      <c r="CF316" s="125">
        <v>0</v>
      </c>
      <c r="CG316" s="125">
        <v>6.3399999999999998E-2</v>
      </c>
      <c r="CH316" s="85">
        <v>5.6</v>
      </c>
      <c r="CI316" s="39" t="s">
        <v>470</v>
      </c>
      <c r="CJ316" s="18" t="s">
        <v>80</v>
      </c>
      <c r="CK316" s="20"/>
    </row>
    <row r="317" spans="1:89" x14ac:dyDescent="0.25">
      <c r="A317" s="18" t="s">
        <v>80</v>
      </c>
      <c r="B317" s="39" t="s">
        <v>471</v>
      </c>
      <c r="C317" s="39" t="s">
        <v>472</v>
      </c>
      <c r="D317" s="40">
        <v>7</v>
      </c>
      <c r="E317" s="40">
        <v>3</v>
      </c>
      <c r="F317" s="40">
        <v>4</v>
      </c>
      <c r="G317" s="166">
        <v>3</v>
      </c>
      <c r="H317" s="166">
        <v>0</v>
      </c>
      <c r="I317" s="162" t="s">
        <v>83</v>
      </c>
      <c r="J317" s="166">
        <v>3</v>
      </c>
      <c r="K317" s="166">
        <v>1</v>
      </c>
      <c r="L317" s="162" t="s">
        <v>83</v>
      </c>
      <c r="M317" s="162" t="s">
        <v>83</v>
      </c>
      <c r="N317" s="119">
        <v>4.48717948717949E-2</v>
      </c>
      <c r="O317" s="119">
        <v>4.9382716049382699E-2</v>
      </c>
      <c r="P317" s="119">
        <v>7.4999999999999997E-2</v>
      </c>
      <c r="Q317" s="119">
        <v>0</v>
      </c>
      <c r="R317" s="116" t="s">
        <v>83</v>
      </c>
      <c r="S317" s="119">
        <v>6.6666666666666693E-2</v>
      </c>
      <c r="T317" s="119">
        <v>2.7777777777777801E-2</v>
      </c>
      <c r="U317" s="116" t="s">
        <v>83</v>
      </c>
      <c r="V317" s="116" t="s">
        <v>83</v>
      </c>
      <c r="W317" s="40">
        <v>382</v>
      </c>
      <c r="X317" s="40">
        <f t="shared" si="22"/>
        <v>79</v>
      </c>
      <c r="Y317" s="40">
        <f t="shared" si="23"/>
        <v>148</v>
      </c>
      <c r="Z317" s="105">
        <v>0.46100000000000002</v>
      </c>
      <c r="AA317" s="105">
        <v>0.53900000000000003</v>
      </c>
      <c r="AB317" s="106">
        <v>0</v>
      </c>
      <c r="AC317" s="106">
        <f>1/382</f>
        <v>2.617801047120419E-3</v>
      </c>
      <c r="AD317" s="106">
        <f>73/382</f>
        <v>0.19109947643979058</v>
      </c>
      <c r="AE317" s="106">
        <f>9/382</f>
        <v>2.356020942408377E-2</v>
      </c>
      <c r="AF317" s="106">
        <v>0</v>
      </c>
      <c r="AG317" s="106">
        <f>293/382</f>
        <v>0.76701570680628273</v>
      </c>
      <c r="AH317" s="106">
        <f>6/382</f>
        <v>1.5706806282722512E-2</v>
      </c>
      <c r="AI317" s="106">
        <f>89/382</f>
        <v>0.23298429319371727</v>
      </c>
      <c r="AJ317" s="105">
        <v>0.51308900523560208</v>
      </c>
      <c r="AK317" s="105">
        <v>3.0000000000000001E-3</v>
      </c>
      <c r="AL317" s="12">
        <v>35</v>
      </c>
      <c r="AM317" s="12">
        <v>34</v>
      </c>
      <c r="AN317" s="12">
        <v>0</v>
      </c>
      <c r="AO317" s="12">
        <v>43</v>
      </c>
      <c r="AP317" s="12">
        <v>36</v>
      </c>
      <c r="AQ317" s="12">
        <v>0</v>
      </c>
      <c r="AR317" s="12">
        <v>0</v>
      </c>
      <c r="AS317" s="59">
        <v>0</v>
      </c>
      <c r="AT317" s="3">
        <v>1</v>
      </c>
      <c r="AU317" s="3">
        <v>2</v>
      </c>
      <c r="AV317" s="54">
        <v>78.472222222222214</v>
      </c>
      <c r="AW317" s="54">
        <v>18.75</v>
      </c>
      <c r="AX317" s="54">
        <v>2.083333333333333</v>
      </c>
      <c r="AY317" s="68">
        <v>0.69444444444444442</v>
      </c>
      <c r="AZ317" s="59">
        <v>2.208197872609053E-2</v>
      </c>
      <c r="BA317" s="59">
        <v>6.2034739454094295E-2</v>
      </c>
      <c r="BB317" s="76">
        <v>94.900057413270702</v>
      </c>
      <c r="BC317" s="49">
        <v>29.7766749379653</v>
      </c>
      <c r="BD317" s="93">
        <v>0</v>
      </c>
      <c r="BE317" s="93">
        <v>0</v>
      </c>
      <c r="BF317" s="93">
        <v>0</v>
      </c>
      <c r="BG317" s="93">
        <v>0</v>
      </c>
      <c r="BH317" s="90" t="s">
        <v>83</v>
      </c>
      <c r="BI317" s="90" t="s">
        <v>83</v>
      </c>
      <c r="BJ317" s="49"/>
      <c r="BK317" s="129">
        <v>8714</v>
      </c>
      <c r="BL317" s="129">
        <v>43231</v>
      </c>
      <c r="BM317" s="129">
        <v>61667</v>
      </c>
      <c r="BN317" s="129">
        <v>41424</v>
      </c>
      <c r="BO317" s="59">
        <v>2.5499999999999998E-2</v>
      </c>
      <c r="BP317" s="59">
        <v>0.34939999999999999</v>
      </c>
      <c r="BQ317" s="59">
        <v>0.28089999999999998</v>
      </c>
      <c r="BR317" s="59">
        <v>2.5499999999999998E-2</v>
      </c>
      <c r="BS317" s="59">
        <v>0</v>
      </c>
      <c r="BT317" s="49">
        <v>8.6999999999999993</v>
      </c>
      <c r="BU317" s="59">
        <f t="shared" si="20"/>
        <v>0.68129999999999991</v>
      </c>
      <c r="BV317" s="59">
        <v>2.5499999999999998E-2</v>
      </c>
      <c r="BW317" s="59">
        <v>0</v>
      </c>
      <c r="BX317" s="59">
        <v>2.5499999999999998E-2</v>
      </c>
      <c r="BY317" s="59">
        <v>2.5499999999999998E-2</v>
      </c>
      <c r="BZ317" s="59">
        <v>0</v>
      </c>
      <c r="CA317" s="49">
        <v>19.3</v>
      </c>
      <c r="CB317" s="59">
        <f t="shared" si="21"/>
        <v>7.6499999999999999E-2</v>
      </c>
      <c r="CC317" s="59">
        <v>0.1681</v>
      </c>
      <c r="CD317" s="59">
        <v>0.45379999999999998</v>
      </c>
      <c r="CE317" s="59">
        <v>0.32700000000000001</v>
      </c>
      <c r="CF317" s="59">
        <v>5.11E-2</v>
      </c>
      <c r="CG317" s="59">
        <v>0</v>
      </c>
      <c r="CH317" s="49">
        <v>8.6</v>
      </c>
      <c r="CI317" s="39" t="s">
        <v>472</v>
      </c>
      <c r="CJ317" s="18" t="s">
        <v>80</v>
      </c>
      <c r="CK317" s="20"/>
    </row>
    <row r="318" spans="1:89" x14ac:dyDescent="0.25">
      <c r="A318" s="18" t="s">
        <v>80</v>
      </c>
      <c r="B318" s="39" t="s">
        <v>473</v>
      </c>
      <c r="C318" s="39" t="s">
        <v>474</v>
      </c>
      <c r="D318" s="40">
        <v>4</v>
      </c>
      <c r="E318" s="40" t="s">
        <v>83</v>
      </c>
      <c r="F318" s="40">
        <v>4</v>
      </c>
      <c r="G318" s="162" t="s">
        <v>83</v>
      </c>
      <c r="H318" s="162" t="s">
        <v>83</v>
      </c>
      <c r="I318" s="162" t="s">
        <v>83</v>
      </c>
      <c r="J318" s="166">
        <v>2</v>
      </c>
      <c r="K318" s="166">
        <v>2</v>
      </c>
      <c r="L318" s="162" t="s">
        <v>83</v>
      </c>
      <c r="M318" s="162" t="s">
        <v>83</v>
      </c>
      <c r="N318" s="119">
        <v>5.2631578947368397E-2</v>
      </c>
      <c r="O318" s="119">
        <v>5.2631578947368397E-2</v>
      </c>
      <c r="P318" s="116" t="s">
        <v>83</v>
      </c>
      <c r="Q318" s="116" t="s">
        <v>83</v>
      </c>
      <c r="R318" s="116" t="s">
        <v>83</v>
      </c>
      <c r="S318" s="119">
        <v>4.8780487804878099E-2</v>
      </c>
      <c r="T318" s="119">
        <v>6.0606060606060601E-2</v>
      </c>
      <c r="U318" s="116" t="s">
        <v>83</v>
      </c>
      <c r="V318" s="116" t="s">
        <v>83</v>
      </c>
      <c r="W318" s="40">
        <v>407</v>
      </c>
      <c r="X318" s="40">
        <f>SUM(AN318:AR318)</f>
        <v>51</v>
      </c>
      <c r="Y318" s="40">
        <f>SUM(AL318:AR318)</f>
        <v>51</v>
      </c>
      <c r="Z318" s="105">
        <v>0.435</v>
      </c>
      <c r="AA318" s="105">
        <v>0.56499999999999995</v>
      </c>
      <c r="AB318" s="106">
        <v>0</v>
      </c>
      <c r="AC318" s="106">
        <v>0</v>
      </c>
      <c r="AD318" s="106">
        <f>184/407</f>
        <v>0.45208845208845211</v>
      </c>
      <c r="AE318" s="106">
        <f>9/407</f>
        <v>2.2113022113022112E-2</v>
      </c>
      <c r="AF318" s="106">
        <v>0</v>
      </c>
      <c r="AG318" s="106">
        <f>199/407</f>
        <v>0.48894348894348894</v>
      </c>
      <c r="AH318" s="106">
        <f>15/407</f>
        <v>3.6855036855036855E-2</v>
      </c>
      <c r="AI318" s="106">
        <f>208/407</f>
        <v>0.51105651105651106</v>
      </c>
      <c r="AJ318" s="105">
        <v>0.93857493857493857</v>
      </c>
      <c r="AK318" s="105">
        <v>3.0000000000000001E-3</v>
      </c>
      <c r="AL318" s="12">
        <v>0</v>
      </c>
      <c r="AM318" s="12">
        <v>0</v>
      </c>
      <c r="AN318" s="12">
        <v>0</v>
      </c>
      <c r="AO318" s="12">
        <v>22</v>
      </c>
      <c r="AP318" s="12">
        <v>29</v>
      </c>
      <c r="AQ318" s="12">
        <v>0</v>
      </c>
      <c r="AR318" s="12">
        <v>0</v>
      </c>
      <c r="AS318" s="59">
        <v>0</v>
      </c>
      <c r="AT318" s="3">
        <v>9</v>
      </c>
      <c r="AU318" s="3">
        <v>2</v>
      </c>
      <c r="AV318" s="54">
        <v>48.913043478260867</v>
      </c>
      <c r="AW318" s="54">
        <v>46.195652173913047</v>
      </c>
      <c r="AX318" s="54">
        <v>4.8913043478260869</v>
      </c>
      <c r="AY318" s="68">
        <v>0</v>
      </c>
      <c r="AZ318" s="59">
        <v>7.6320939334637961E-2</v>
      </c>
      <c r="BA318" s="59">
        <v>0.17416829745596868</v>
      </c>
      <c r="BB318" s="76">
        <v>92.962581433626497</v>
      </c>
      <c r="BC318" s="49">
        <v>29.9412915851272</v>
      </c>
      <c r="BD318" s="90" t="s">
        <v>83</v>
      </c>
      <c r="BE318" s="90" t="s">
        <v>83</v>
      </c>
      <c r="BF318" s="49">
        <v>10.7</v>
      </c>
      <c r="BG318" s="49">
        <v>10.7</v>
      </c>
      <c r="BH318" s="90" t="s">
        <v>83</v>
      </c>
      <c r="BI318" s="90" t="s">
        <v>83</v>
      </c>
      <c r="BJ318" s="49"/>
      <c r="BK318" s="129">
        <v>11043</v>
      </c>
      <c r="BL318" s="129">
        <v>45237</v>
      </c>
      <c r="BM318" s="129">
        <v>81800</v>
      </c>
      <c r="BN318" s="129">
        <v>39449</v>
      </c>
      <c r="BO318" s="59">
        <v>0</v>
      </c>
      <c r="BP318" s="59">
        <v>0.34660000000000002</v>
      </c>
      <c r="BQ318" s="59">
        <v>0.12379999999999999</v>
      </c>
      <c r="BR318" s="59">
        <v>0</v>
      </c>
      <c r="BS318" s="59">
        <v>0</v>
      </c>
      <c r="BT318" s="49">
        <v>5.6</v>
      </c>
      <c r="BU318" s="59">
        <f t="shared" si="20"/>
        <v>0.47040000000000004</v>
      </c>
      <c r="BV318" s="59">
        <v>0</v>
      </c>
      <c r="BW318" s="59">
        <v>0</v>
      </c>
      <c r="BX318" s="59">
        <v>4.6899999999999997E-2</v>
      </c>
      <c r="BY318" s="59">
        <v>0</v>
      </c>
      <c r="BZ318" s="59">
        <v>0</v>
      </c>
      <c r="CA318" s="49">
        <v>13.4</v>
      </c>
      <c r="CB318" s="59">
        <f t="shared" si="21"/>
        <v>4.6899999999999997E-2</v>
      </c>
      <c r="CC318" s="59">
        <v>0.38700000000000001</v>
      </c>
      <c r="CD318" s="59">
        <v>0.37059999999999998</v>
      </c>
      <c r="CE318" s="59">
        <v>0.2424</v>
      </c>
      <c r="CF318" s="59">
        <v>0</v>
      </c>
      <c r="CG318" s="59">
        <v>0</v>
      </c>
      <c r="CH318" s="49">
        <v>4.2</v>
      </c>
      <c r="CI318" s="39" t="s">
        <v>474</v>
      </c>
      <c r="CJ318" s="18" t="s">
        <v>80</v>
      </c>
      <c r="CK318" s="20"/>
    </row>
    <row r="319" spans="1:89" x14ac:dyDescent="0.25">
      <c r="A319" s="18" t="s">
        <v>80</v>
      </c>
      <c r="B319" s="39" t="s">
        <v>475</v>
      </c>
      <c r="C319" s="39" t="s">
        <v>476</v>
      </c>
      <c r="D319" s="40">
        <v>0</v>
      </c>
      <c r="E319" s="40">
        <v>0</v>
      </c>
      <c r="F319" s="40">
        <v>0</v>
      </c>
      <c r="G319" s="166">
        <v>0</v>
      </c>
      <c r="H319" s="166">
        <v>0</v>
      </c>
      <c r="I319" s="162" t="s">
        <v>83</v>
      </c>
      <c r="J319" s="166">
        <v>0</v>
      </c>
      <c r="K319" s="166">
        <v>0</v>
      </c>
      <c r="L319" s="166">
        <v>0</v>
      </c>
      <c r="M319" s="166">
        <v>0</v>
      </c>
      <c r="N319" s="119">
        <v>0</v>
      </c>
      <c r="O319" s="119">
        <v>0</v>
      </c>
      <c r="P319" s="119">
        <v>0</v>
      </c>
      <c r="Q319" s="119">
        <v>0</v>
      </c>
      <c r="R319" s="116" t="s">
        <v>83</v>
      </c>
      <c r="S319" s="119">
        <v>0</v>
      </c>
      <c r="T319" s="119">
        <v>0</v>
      </c>
      <c r="U319" s="119">
        <v>0</v>
      </c>
      <c r="V319" s="119">
        <v>0</v>
      </c>
      <c r="W319" s="40">
        <v>144</v>
      </c>
      <c r="X319" s="40">
        <f t="shared" si="22"/>
        <v>49</v>
      </c>
      <c r="Y319" s="40">
        <f t="shared" si="23"/>
        <v>70</v>
      </c>
      <c r="Z319" s="105">
        <v>0.47899999999999998</v>
      </c>
      <c r="AA319" s="105">
        <v>0.52100000000000002</v>
      </c>
      <c r="AB319" s="106">
        <v>0</v>
      </c>
      <c r="AC319" s="106">
        <v>0</v>
      </c>
      <c r="AD319" s="106">
        <f>84/144</f>
        <v>0.58333333333333337</v>
      </c>
      <c r="AE319" s="106">
        <f>4/144</f>
        <v>2.7777777777777776E-2</v>
      </c>
      <c r="AF319" s="106">
        <v>0</v>
      </c>
      <c r="AG319" s="106">
        <f>56/144</f>
        <v>0.3888888888888889</v>
      </c>
      <c r="AH319" s="106">
        <v>0</v>
      </c>
      <c r="AI319" s="106">
        <f>88/144</f>
        <v>0.61111111111111116</v>
      </c>
      <c r="AJ319" s="105">
        <v>0.6875</v>
      </c>
      <c r="AK319" s="105">
        <v>0</v>
      </c>
      <c r="AL319" s="12">
        <v>11</v>
      </c>
      <c r="AM319" s="12">
        <v>10</v>
      </c>
      <c r="AN319" s="12">
        <v>0</v>
      </c>
      <c r="AO319" s="12">
        <v>15</v>
      </c>
      <c r="AP319" s="12">
        <v>11</v>
      </c>
      <c r="AQ319" s="12">
        <v>12</v>
      </c>
      <c r="AR319" s="12">
        <v>11</v>
      </c>
      <c r="AS319" s="59">
        <v>0</v>
      </c>
      <c r="AT319" s="3">
        <v>1</v>
      </c>
      <c r="AU319" s="3">
        <v>2</v>
      </c>
      <c r="AV319" s="54">
        <v>100</v>
      </c>
      <c r="AW319" s="54">
        <v>0</v>
      </c>
      <c r="AX319" s="54">
        <v>0</v>
      </c>
      <c r="AY319" s="68">
        <v>0</v>
      </c>
      <c r="AZ319" s="59">
        <v>0.20512820512820512</v>
      </c>
      <c r="BA319" s="59">
        <v>4.0746512928501358E-2</v>
      </c>
      <c r="BB319" s="81">
        <v>96</v>
      </c>
      <c r="BC319" s="49">
        <v>18.589743589743598</v>
      </c>
      <c r="BD319" s="49">
        <v>33.299999999999997</v>
      </c>
      <c r="BE319" s="49">
        <v>0</v>
      </c>
      <c r="BF319" s="49">
        <v>20</v>
      </c>
      <c r="BG319" s="49">
        <v>0</v>
      </c>
      <c r="BH319" s="49">
        <v>0</v>
      </c>
      <c r="BI319" s="49">
        <v>10</v>
      </c>
      <c r="BJ319" s="85">
        <v>17.8</v>
      </c>
      <c r="BK319" s="129">
        <v>9241</v>
      </c>
      <c r="BL319" s="129">
        <v>42434</v>
      </c>
      <c r="BM319" s="129">
        <v>42272</v>
      </c>
      <c r="BN319" s="129">
        <v>39320</v>
      </c>
      <c r="BO319" s="59">
        <v>0</v>
      </c>
      <c r="BP319" s="59">
        <v>0.28889999999999999</v>
      </c>
      <c r="BQ319" s="59">
        <v>3.6999999999999998E-2</v>
      </c>
      <c r="BR319" s="59">
        <v>0</v>
      </c>
      <c r="BS319" s="59">
        <v>0</v>
      </c>
      <c r="BT319" s="49">
        <v>15.9</v>
      </c>
      <c r="BU319" s="59">
        <f t="shared" si="20"/>
        <v>0.32589999999999997</v>
      </c>
      <c r="BV319" s="59">
        <v>9.6299999999999997E-2</v>
      </c>
      <c r="BW319" s="59">
        <v>0</v>
      </c>
      <c r="BX319" s="59">
        <v>9.6299999999999997E-2</v>
      </c>
      <c r="BY319" s="59">
        <v>0</v>
      </c>
      <c r="BZ319" s="59">
        <v>0</v>
      </c>
      <c r="CA319" s="49">
        <v>19.5</v>
      </c>
      <c r="CB319" s="59">
        <f t="shared" si="21"/>
        <v>0.19259999999999999</v>
      </c>
      <c r="CC319" s="59">
        <v>0.38519999999999999</v>
      </c>
      <c r="CD319" s="125">
        <v>0.28889999999999999</v>
      </c>
      <c r="CE319" s="125">
        <v>0.32590000000000002</v>
      </c>
      <c r="CF319" s="125">
        <v>0</v>
      </c>
      <c r="CG319" s="125">
        <v>0</v>
      </c>
      <c r="CH319" s="85">
        <v>15.1</v>
      </c>
      <c r="CI319" s="39" t="s">
        <v>476</v>
      </c>
      <c r="CJ319" s="18" t="s">
        <v>80</v>
      </c>
      <c r="CK319" s="20"/>
    </row>
    <row r="320" spans="1:89" ht="15.75" thickBot="1" x14ac:dyDescent="0.3">
      <c r="A320" s="18" t="s">
        <v>80</v>
      </c>
      <c r="B320" s="39" t="s">
        <v>477</v>
      </c>
      <c r="C320" s="39" t="s">
        <v>478</v>
      </c>
      <c r="D320" s="40">
        <v>22</v>
      </c>
      <c r="E320" s="40" t="s">
        <v>83</v>
      </c>
      <c r="F320" s="40">
        <v>22</v>
      </c>
      <c r="G320" s="162" t="s">
        <v>83</v>
      </c>
      <c r="H320" s="162" t="s">
        <v>83</v>
      </c>
      <c r="I320" s="166">
        <v>2</v>
      </c>
      <c r="J320" s="166">
        <v>6</v>
      </c>
      <c r="K320" s="166">
        <v>5</v>
      </c>
      <c r="L320" s="166">
        <v>6</v>
      </c>
      <c r="M320" s="166">
        <v>3</v>
      </c>
      <c r="N320" s="119">
        <v>5.5415617128463497E-2</v>
      </c>
      <c r="O320" s="119">
        <v>5.5415617128463497E-2</v>
      </c>
      <c r="P320" s="116" t="s">
        <v>83</v>
      </c>
      <c r="Q320" s="116" t="s">
        <v>83</v>
      </c>
      <c r="R320" s="119">
        <v>4.5454545454545497E-2</v>
      </c>
      <c r="S320" s="119">
        <v>7.1428571428571397E-2</v>
      </c>
      <c r="T320" s="119">
        <v>5.1546391752577303E-2</v>
      </c>
      <c r="U320" s="119">
        <v>6.5217391304347797E-2</v>
      </c>
      <c r="V320" s="119">
        <v>3.7499999999999999E-2</v>
      </c>
      <c r="W320" s="40">
        <v>365</v>
      </c>
      <c r="X320" s="40">
        <f t="shared" si="22"/>
        <v>365</v>
      </c>
      <c r="Y320" s="40">
        <f t="shared" si="23"/>
        <v>365</v>
      </c>
      <c r="Z320" s="105">
        <v>0.47099999999999997</v>
      </c>
      <c r="AA320" s="105">
        <v>0.52900000000000003</v>
      </c>
      <c r="AB320" s="106">
        <v>0</v>
      </c>
      <c r="AC320" s="106">
        <v>0</v>
      </c>
      <c r="AD320" s="106">
        <f>363/365</f>
        <v>0.9945205479452055</v>
      </c>
      <c r="AE320" s="106">
        <f>1/365</f>
        <v>2.7397260273972603E-3</v>
      </c>
      <c r="AF320" s="106">
        <v>0</v>
      </c>
      <c r="AG320" s="106">
        <f>1/365</f>
        <v>2.7397260273972603E-3</v>
      </c>
      <c r="AH320" s="106">
        <v>0</v>
      </c>
      <c r="AI320" s="106">
        <f>364/365</f>
        <v>0.99726027397260275</v>
      </c>
      <c r="AJ320" s="105">
        <v>0.92328767123287669</v>
      </c>
      <c r="AK320" s="105">
        <v>0</v>
      </c>
      <c r="AL320" s="12">
        <v>0</v>
      </c>
      <c r="AM320" s="12">
        <v>0</v>
      </c>
      <c r="AN320" s="12">
        <v>33</v>
      </c>
      <c r="AO320" s="12">
        <v>83</v>
      </c>
      <c r="AP320" s="12">
        <v>87</v>
      </c>
      <c r="AQ320" s="12">
        <v>85</v>
      </c>
      <c r="AR320" s="12">
        <v>77</v>
      </c>
      <c r="AS320" s="59">
        <v>0.28448275862068967</v>
      </c>
      <c r="AT320" s="3">
        <v>9</v>
      </c>
      <c r="AU320" s="3">
        <v>5</v>
      </c>
      <c r="AV320" s="54">
        <v>43.410852713178294</v>
      </c>
      <c r="AW320" s="54">
        <v>34.883720930232556</v>
      </c>
      <c r="AX320" s="54">
        <v>21.705426356589147</v>
      </c>
      <c r="AY320" s="68">
        <v>0</v>
      </c>
      <c r="AZ320" s="59">
        <v>2.4968098221179152E-2</v>
      </c>
      <c r="BA320" s="59">
        <v>0.24433249370277077</v>
      </c>
      <c r="BB320" s="76">
        <v>84.732572286369702</v>
      </c>
      <c r="BC320" s="49">
        <v>11.8387909319899</v>
      </c>
      <c r="BD320" s="90" t="s">
        <v>83</v>
      </c>
      <c r="BE320" s="90" t="s">
        <v>83</v>
      </c>
      <c r="BF320" s="49">
        <v>3.6</v>
      </c>
      <c r="BG320" s="49">
        <v>5.8</v>
      </c>
      <c r="BH320" s="49">
        <v>1.7</v>
      </c>
      <c r="BI320" s="49">
        <v>4.7</v>
      </c>
      <c r="BJ320" s="85">
        <v>14.2</v>
      </c>
      <c r="BK320" s="129">
        <v>14838</v>
      </c>
      <c r="BL320" s="129">
        <v>52403</v>
      </c>
      <c r="BM320" s="129">
        <v>85069</v>
      </c>
      <c r="BN320" s="129">
        <v>57051</v>
      </c>
      <c r="BO320" s="59">
        <v>0</v>
      </c>
      <c r="BP320" s="59">
        <v>0.3422</v>
      </c>
      <c r="BQ320" s="59">
        <v>0.2122</v>
      </c>
      <c r="BR320" s="59">
        <v>0</v>
      </c>
      <c r="BS320" s="59">
        <v>0</v>
      </c>
      <c r="BT320" s="49">
        <v>5</v>
      </c>
      <c r="BU320" s="59">
        <f t="shared" si="20"/>
        <v>0.5544</v>
      </c>
      <c r="BV320" s="59">
        <v>0</v>
      </c>
      <c r="BW320" s="59">
        <v>6.5600000000000006E-2</v>
      </c>
      <c r="BX320" s="59">
        <v>8.6300000000000002E-2</v>
      </c>
      <c r="BY320" s="59">
        <v>0</v>
      </c>
      <c r="BZ320" s="59">
        <v>0</v>
      </c>
      <c r="CA320" s="49">
        <v>10</v>
      </c>
      <c r="CB320" s="59">
        <f t="shared" si="21"/>
        <v>0.15190000000000001</v>
      </c>
      <c r="CC320" s="59">
        <v>1.4500000000000001E-2</v>
      </c>
      <c r="CD320" s="125">
        <v>0.60089999999999999</v>
      </c>
      <c r="CE320" s="125">
        <v>0.3846</v>
      </c>
      <c r="CF320" s="125">
        <v>0</v>
      </c>
      <c r="CG320" s="125">
        <v>0</v>
      </c>
      <c r="CH320" s="85">
        <v>6.4</v>
      </c>
      <c r="CI320" s="39" t="s">
        <v>478</v>
      </c>
      <c r="CJ320" s="18" t="s">
        <v>80</v>
      </c>
      <c r="CK320" s="20"/>
    </row>
    <row r="321" spans="1:99" s="1" customFormat="1" ht="21" customHeight="1" x14ac:dyDescent="0.25">
      <c r="A321" s="21" t="s">
        <v>0</v>
      </c>
      <c r="B321" s="22" t="s">
        <v>1</v>
      </c>
      <c r="C321" s="22" t="s">
        <v>2</v>
      </c>
      <c r="D321" s="9" t="s">
        <v>3</v>
      </c>
      <c r="E321" s="9" t="s">
        <v>4</v>
      </c>
      <c r="F321" s="9" t="s">
        <v>5</v>
      </c>
      <c r="G321" s="161" t="s">
        <v>565</v>
      </c>
      <c r="H321" s="161" t="s">
        <v>566</v>
      </c>
      <c r="I321" s="161" t="s">
        <v>567</v>
      </c>
      <c r="J321" s="161" t="s">
        <v>568</v>
      </c>
      <c r="K321" s="161" t="s">
        <v>569</v>
      </c>
      <c r="L321" s="161" t="s">
        <v>570</v>
      </c>
      <c r="M321" s="161" t="s">
        <v>571</v>
      </c>
      <c r="N321" s="120" t="s">
        <v>6</v>
      </c>
      <c r="O321" s="120" t="s">
        <v>7</v>
      </c>
      <c r="P321" s="120" t="s">
        <v>8</v>
      </c>
      <c r="Q321" s="120" t="s">
        <v>9</v>
      </c>
      <c r="R321" s="120" t="s">
        <v>10</v>
      </c>
      <c r="S321" s="120" t="s">
        <v>11</v>
      </c>
      <c r="T321" s="120" t="s">
        <v>12</v>
      </c>
      <c r="U321" s="120" t="s">
        <v>13</v>
      </c>
      <c r="V321" s="120" t="s">
        <v>14</v>
      </c>
      <c r="W321" s="41" t="s">
        <v>15</v>
      </c>
      <c r="X321" s="41" t="s">
        <v>16</v>
      </c>
      <c r="Y321" s="41" t="s">
        <v>17</v>
      </c>
      <c r="Z321" s="107" t="s">
        <v>18</v>
      </c>
      <c r="AA321" s="107" t="s">
        <v>19</v>
      </c>
      <c r="AB321" s="95" t="s">
        <v>20</v>
      </c>
      <c r="AC321" s="95" t="s">
        <v>21</v>
      </c>
      <c r="AD321" s="95" t="s">
        <v>22</v>
      </c>
      <c r="AE321" s="95" t="s">
        <v>23</v>
      </c>
      <c r="AF321" s="95" t="s">
        <v>24</v>
      </c>
      <c r="AG321" s="95" t="s">
        <v>25</v>
      </c>
      <c r="AH321" s="95" t="s">
        <v>26</v>
      </c>
      <c r="AI321" s="95" t="s">
        <v>27</v>
      </c>
      <c r="AJ321" s="95" t="s">
        <v>28</v>
      </c>
      <c r="AK321" s="107" t="s">
        <v>29</v>
      </c>
      <c r="AL321" s="42" t="s">
        <v>30</v>
      </c>
      <c r="AM321" s="42" t="s">
        <v>31</v>
      </c>
      <c r="AN321" s="42" t="s">
        <v>32</v>
      </c>
      <c r="AO321" s="42" t="s">
        <v>33</v>
      </c>
      <c r="AP321" s="42" t="s">
        <v>34</v>
      </c>
      <c r="AQ321" s="42" t="s">
        <v>35</v>
      </c>
      <c r="AR321" s="42" t="s">
        <v>36</v>
      </c>
      <c r="AS321" s="100" t="s">
        <v>37</v>
      </c>
      <c r="AT321" s="41" t="s">
        <v>38</v>
      </c>
      <c r="AU321" s="23" t="s">
        <v>39</v>
      </c>
      <c r="AV321" s="51" t="s">
        <v>40</v>
      </c>
      <c r="AW321" s="51" t="s">
        <v>41</v>
      </c>
      <c r="AX321" s="51" t="s">
        <v>42</v>
      </c>
      <c r="AY321" s="66" t="s">
        <v>43</v>
      </c>
      <c r="AZ321" s="58" t="s">
        <v>44</v>
      </c>
      <c r="BA321" s="58" t="s">
        <v>45</v>
      </c>
      <c r="BB321" s="75" t="s">
        <v>46</v>
      </c>
      <c r="BC321" s="83" t="s">
        <v>47</v>
      </c>
      <c r="BD321" s="89" t="s">
        <v>48</v>
      </c>
      <c r="BE321" s="89" t="s">
        <v>49</v>
      </c>
      <c r="BF321" s="89" t="s">
        <v>50</v>
      </c>
      <c r="BG321" s="89" t="s">
        <v>51</v>
      </c>
      <c r="BH321" s="89" t="s">
        <v>52</v>
      </c>
      <c r="BI321" s="89" t="s">
        <v>53</v>
      </c>
      <c r="BJ321" s="86" t="s">
        <v>54</v>
      </c>
      <c r="BK321" s="123" t="s">
        <v>55</v>
      </c>
      <c r="BL321" s="123" t="s">
        <v>56</v>
      </c>
      <c r="BM321" s="123" t="s">
        <v>57</v>
      </c>
      <c r="BN321" s="123" t="s">
        <v>58</v>
      </c>
      <c r="BO321" s="131" t="s">
        <v>59</v>
      </c>
      <c r="BP321" s="131" t="s">
        <v>60</v>
      </c>
      <c r="BQ321" s="131" t="s">
        <v>61</v>
      </c>
      <c r="BR321" s="131" t="s">
        <v>62</v>
      </c>
      <c r="BS321" s="131" t="s">
        <v>63</v>
      </c>
      <c r="BT321" s="131" t="s">
        <v>64</v>
      </c>
      <c r="BU321" s="131" t="s">
        <v>65</v>
      </c>
      <c r="BV321" s="132" t="s">
        <v>66</v>
      </c>
      <c r="BW321" s="132" t="s">
        <v>67</v>
      </c>
      <c r="BX321" s="132" t="s">
        <v>68</v>
      </c>
      <c r="BY321" s="132" t="s">
        <v>69</v>
      </c>
      <c r="BZ321" s="132" t="s">
        <v>70</v>
      </c>
      <c r="CA321" s="132" t="s">
        <v>71</v>
      </c>
      <c r="CB321" s="132" t="s">
        <v>72</v>
      </c>
      <c r="CC321" s="123" t="s">
        <v>73</v>
      </c>
      <c r="CD321" s="123" t="s">
        <v>74</v>
      </c>
      <c r="CE321" s="123" t="s">
        <v>75</v>
      </c>
      <c r="CF321" s="123" t="s">
        <v>76</v>
      </c>
      <c r="CG321" s="123" t="s">
        <v>77</v>
      </c>
      <c r="CH321" s="123" t="s">
        <v>78</v>
      </c>
      <c r="CI321" s="22" t="s">
        <v>2</v>
      </c>
      <c r="CJ321" s="21" t="s">
        <v>0</v>
      </c>
      <c r="CK321" s="24" t="s">
        <v>79</v>
      </c>
      <c r="CL321"/>
      <c r="CM321"/>
      <c r="CN321"/>
      <c r="CO321"/>
      <c r="CP321"/>
      <c r="CQ321"/>
      <c r="CR321"/>
      <c r="CS321"/>
      <c r="CT321"/>
      <c r="CU321"/>
    </row>
    <row r="322" spans="1:99" x14ac:dyDescent="0.25">
      <c r="A322" s="18" t="s">
        <v>479</v>
      </c>
      <c r="B322" s="39" t="s">
        <v>81</v>
      </c>
      <c r="C322" s="39" t="s">
        <v>82</v>
      </c>
      <c r="D322" s="40">
        <v>11</v>
      </c>
      <c r="E322" s="40" t="s">
        <v>83</v>
      </c>
      <c r="F322" s="40">
        <v>11</v>
      </c>
      <c r="G322" s="162" t="s">
        <v>83</v>
      </c>
      <c r="H322" s="162" t="s">
        <v>83</v>
      </c>
      <c r="I322" s="166">
        <v>0</v>
      </c>
      <c r="J322" s="166">
        <v>2</v>
      </c>
      <c r="K322" s="166">
        <v>2</v>
      </c>
      <c r="L322" s="166">
        <v>1</v>
      </c>
      <c r="M322" s="166">
        <v>6</v>
      </c>
      <c r="N322" s="119">
        <v>2.1484375E-2</v>
      </c>
      <c r="O322" s="119">
        <v>2.1484375E-2</v>
      </c>
      <c r="P322" s="116" t="s">
        <v>83</v>
      </c>
      <c r="Q322" s="116" t="s">
        <v>83</v>
      </c>
      <c r="R322" s="119">
        <v>0</v>
      </c>
      <c r="S322" s="119">
        <v>1.2820512820512799E-2</v>
      </c>
      <c r="T322" s="119">
        <v>1.6129032258064498E-2</v>
      </c>
      <c r="U322" s="119">
        <v>9.0090090090090107E-3</v>
      </c>
      <c r="V322" s="119">
        <v>5.21739130434783E-2</v>
      </c>
      <c r="W322" s="40">
        <v>469</v>
      </c>
      <c r="X322" s="40">
        <f t="shared" ref="X322:X358" si="24">SUM(AN322:AR322)</f>
        <v>469</v>
      </c>
      <c r="Y322" s="40">
        <f t="shared" ref="Y322:Y358" si="25">SUM(AL322:AR322)</f>
        <v>469</v>
      </c>
      <c r="Z322" s="105">
        <v>0.490405117270789</v>
      </c>
      <c r="AA322" s="105">
        <v>0.50959488272921105</v>
      </c>
      <c r="AB322" s="106">
        <f>1/469</f>
        <v>2.1321961620469083E-3</v>
      </c>
      <c r="AC322" s="106">
        <v>0</v>
      </c>
      <c r="AD322" s="106">
        <f>139/469</f>
        <v>0.29637526652452023</v>
      </c>
      <c r="AE322" s="106">
        <f>13/469</f>
        <v>2.7718550106609809E-2</v>
      </c>
      <c r="AF322" s="106">
        <v>0</v>
      </c>
      <c r="AG322" s="106">
        <f>309/469</f>
        <v>0.65884861407249462</v>
      </c>
      <c r="AH322" s="106">
        <f>7/469</f>
        <v>1.4925373134328358E-2</v>
      </c>
      <c r="AI322" s="106">
        <f>160/469</f>
        <v>0.34115138592750532</v>
      </c>
      <c r="AJ322" s="105">
        <v>0.63326226012793174</v>
      </c>
      <c r="AK322" s="105">
        <v>4.26439232409382E-3</v>
      </c>
      <c r="AL322" s="12">
        <v>0</v>
      </c>
      <c r="AM322" s="12">
        <v>0</v>
      </c>
      <c r="AN322" s="12">
        <v>4</v>
      </c>
      <c r="AO322" s="12">
        <v>140</v>
      </c>
      <c r="AP322" s="12">
        <v>113</v>
      </c>
      <c r="AQ322" s="12">
        <v>106</v>
      </c>
      <c r="AR322" s="12">
        <v>106</v>
      </c>
      <c r="AS322" s="59">
        <v>2.7777777777777776E-2</v>
      </c>
      <c r="AT322" s="3">
        <v>9</v>
      </c>
      <c r="AU322" s="3">
        <v>6</v>
      </c>
      <c r="AV322" s="52">
        <v>74.599999999999994</v>
      </c>
      <c r="AW322" s="52">
        <v>23.7</v>
      </c>
      <c r="AX322" s="52">
        <v>1.8</v>
      </c>
      <c r="AY322" s="70">
        <v>0</v>
      </c>
      <c r="AZ322" s="59">
        <v>0.1749502982107356</v>
      </c>
      <c r="BA322" s="59">
        <v>0.36978131212723658</v>
      </c>
      <c r="BB322" s="78">
        <v>89.898521168899407</v>
      </c>
      <c r="BC322" s="49">
        <v>53.769841269841301</v>
      </c>
      <c r="BD322" s="90" t="s">
        <v>83</v>
      </c>
      <c r="BE322" s="90" t="s">
        <v>83</v>
      </c>
      <c r="BF322" s="49">
        <v>11.5</v>
      </c>
      <c r="BG322" s="49">
        <v>6.3</v>
      </c>
      <c r="BH322" s="49">
        <v>0</v>
      </c>
      <c r="BI322" s="49">
        <v>0</v>
      </c>
      <c r="BJ322" s="49">
        <v>18.3</v>
      </c>
      <c r="BK322" s="126">
        <v>10291</v>
      </c>
      <c r="BL322" s="126">
        <v>46240</v>
      </c>
      <c r="BM322" s="126">
        <v>47872</v>
      </c>
      <c r="BN322" s="133">
        <v>47872</v>
      </c>
      <c r="BO322" s="59">
        <v>0</v>
      </c>
      <c r="BP322" s="59">
        <v>0.56340000000000001</v>
      </c>
      <c r="BQ322" s="59">
        <v>5.62E-2</v>
      </c>
      <c r="BR322" s="59">
        <v>0</v>
      </c>
      <c r="BS322" s="59">
        <v>1.8700000000000001E-2</v>
      </c>
      <c r="BT322" s="49">
        <v>12.6</v>
      </c>
      <c r="BU322" s="59">
        <f>SUM(BO322:BS322)</f>
        <v>0.63830000000000009</v>
      </c>
      <c r="BV322" s="59">
        <v>5.62E-2</v>
      </c>
      <c r="BW322" s="59">
        <v>0</v>
      </c>
      <c r="BX322" s="59">
        <v>3.7400000000000003E-2</v>
      </c>
      <c r="BY322" s="59">
        <v>1.8700000000000001E-2</v>
      </c>
      <c r="BZ322" s="59">
        <v>0</v>
      </c>
      <c r="CA322" s="49">
        <v>21.7</v>
      </c>
      <c r="CB322" s="59">
        <f>SUM(BV322:BZ322)</f>
        <v>0.11230000000000001</v>
      </c>
      <c r="CC322" s="59">
        <v>0.22439999999999999</v>
      </c>
      <c r="CD322" s="59">
        <v>0.58209999999999995</v>
      </c>
      <c r="CE322" s="59">
        <v>0.156</v>
      </c>
      <c r="CF322" s="59">
        <v>1.8700000000000001E-2</v>
      </c>
      <c r="CG322" s="59">
        <v>1.8700000000000001E-2</v>
      </c>
      <c r="CH322" s="49">
        <v>13.3</v>
      </c>
      <c r="CI322" s="39" t="s">
        <v>82</v>
      </c>
      <c r="CJ322" s="18" t="s">
        <v>479</v>
      </c>
      <c r="CK322" s="20"/>
    </row>
    <row r="323" spans="1:99" x14ac:dyDescent="0.25">
      <c r="A323" s="18" t="s">
        <v>479</v>
      </c>
      <c r="B323" s="39" t="s">
        <v>81</v>
      </c>
      <c r="C323" s="39" t="s">
        <v>84</v>
      </c>
      <c r="D323" s="40">
        <v>11</v>
      </c>
      <c r="E323" s="40" t="s">
        <v>83</v>
      </c>
      <c r="F323" s="40">
        <v>11</v>
      </c>
      <c r="G323" s="162" t="s">
        <v>83</v>
      </c>
      <c r="H323" s="162" t="s">
        <v>83</v>
      </c>
      <c r="I323" s="166">
        <v>0</v>
      </c>
      <c r="J323" s="166">
        <v>1</v>
      </c>
      <c r="K323" s="166">
        <v>1</v>
      </c>
      <c r="L323" s="166">
        <v>1</v>
      </c>
      <c r="M323" s="166">
        <v>8</v>
      </c>
      <c r="N323" s="119">
        <v>1.56028368794326E-2</v>
      </c>
      <c r="O323" s="119">
        <v>1.56028368794326E-2</v>
      </c>
      <c r="P323" s="116" t="s">
        <v>83</v>
      </c>
      <c r="Q323" s="116" t="s">
        <v>83</v>
      </c>
      <c r="R323" s="119">
        <v>0</v>
      </c>
      <c r="S323" s="119">
        <v>4.8309178743961402E-3</v>
      </c>
      <c r="T323" s="119">
        <v>5.31914893617021E-3</v>
      </c>
      <c r="U323" s="119">
        <v>7.1942446043165497E-3</v>
      </c>
      <c r="V323" s="119">
        <v>4.81927710843374E-2</v>
      </c>
      <c r="W323" s="40">
        <v>652</v>
      </c>
      <c r="X323" s="40">
        <f t="shared" si="24"/>
        <v>652</v>
      </c>
      <c r="Y323" s="40">
        <f t="shared" si="25"/>
        <v>652</v>
      </c>
      <c r="Z323" s="105">
        <v>0.51073619631901801</v>
      </c>
      <c r="AA323" s="105">
        <v>0.48926380368098199</v>
      </c>
      <c r="AB323" s="106">
        <f>1/652</f>
        <v>1.5337423312883436E-3</v>
      </c>
      <c r="AC323" s="106">
        <v>0</v>
      </c>
      <c r="AD323" s="106">
        <f>264/652</f>
        <v>0.40490797546012269</v>
      </c>
      <c r="AE323" s="106">
        <f>11/652</f>
        <v>1.6871165644171779E-2</v>
      </c>
      <c r="AF323" s="106">
        <v>0</v>
      </c>
      <c r="AG323" s="106">
        <f>366/652</f>
        <v>0.56134969325153372</v>
      </c>
      <c r="AH323" s="106">
        <f>10/652</f>
        <v>1.5337423312883436E-2</v>
      </c>
      <c r="AI323" s="106">
        <f>286/652</f>
        <v>0.43865030674846628</v>
      </c>
      <c r="AJ323" s="105">
        <v>0.73773006134969321</v>
      </c>
      <c r="AK323" s="105">
        <v>7.6687116564417204E-3</v>
      </c>
      <c r="AL323" s="12">
        <v>0</v>
      </c>
      <c r="AM323" s="12">
        <v>0</v>
      </c>
      <c r="AN323" s="12">
        <v>4</v>
      </c>
      <c r="AO323" s="12">
        <v>190</v>
      </c>
      <c r="AP323" s="12">
        <v>173</v>
      </c>
      <c r="AQ323" s="12">
        <v>130</v>
      </c>
      <c r="AR323" s="12">
        <v>155</v>
      </c>
      <c r="AS323" s="59">
        <v>2.0618556701030927E-2</v>
      </c>
      <c r="AT323" s="3">
        <v>9</v>
      </c>
      <c r="AU323" s="3">
        <v>6</v>
      </c>
      <c r="AV323" s="52">
        <v>68.2</v>
      </c>
      <c r="AW323" s="52">
        <v>17.600000000000001</v>
      </c>
      <c r="AX323" s="52">
        <v>13.8</v>
      </c>
      <c r="AY323" s="71">
        <v>0.3</v>
      </c>
      <c r="AZ323" s="59">
        <v>0.2930298719772404</v>
      </c>
      <c r="BA323" s="59">
        <v>0.26884779516358465</v>
      </c>
      <c r="BB323" s="77">
        <v>88.603592321591506</v>
      </c>
      <c r="BC323" s="49">
        <v>52.407932011331397</v>
      </c>
      <c r="BD323" s="90" t="s">
        <v>83</v>
      </c>
      <c r="BE323" s="90" t="s">
        <v>83</v>
      </c>
      <c r="BF323" s="49">
        <v>3.5</v>
      </c>
      <c r="BG323" s="49">
        <v>2.5</v>
      </c>
      <c r="BH323" s="49">
        <v>0.9</v>
      </c>
      <c r="BI323" s="49">
        <v>4.7</v>
      </c>
      <c r="BJ323" s="49">
        <v>18</v>
      </c>
      <c r="BK323" s="126">
        <v>10516</v>
      </c>
      <c r="BL323" s="126">
        <v>45942</v>
      </c>
      <c r="BM323" s="126">
        <v>45545</v>
      </c>
      <c r="BN323" s="133">
        <v>37145</v>
      </c>
      <c r="BO323" s="59">
        <v>0</v>
      </c>
      <c r="BP323" s="59">
        <v>0.35460000000000003</v>
      </c>
      <c r="BQ323" s="59">
        <v>0.1951</v>
      </c>
      <c r="BR323" s="59">
        <v>0</v>
      </c>
      <c r="BS323" s="59">
        <v>1.2200000000000001E-2</v>
      </c>
      <c r="BT323" s="49">
        <v>13.2</v>
      </c>
      <c r="BU323" s="59">
        <f t="shared" ref="BU323:BU386" si="26">SUM(BO323:BS323)</f>
        <v>0.56190000000000007</v>
      </c>
      <c r="BV323" s="59">
        <v>3.6499999999999998E-2</v>
      </c>
      <c r="BW323" s="59">
        <v>2.4400000000000002E-2</v>
      </c>
      <c r="BX323" s="59">
        <v>3.6600000000000001E-2</v>
      </c>
      <c r="BY323" s="59">
        <v>1.2200000000000001E-2</v>
      </c>
      <c r="BZ323" s="59">
        <v>0</v>
      </c>
      <c r="CA323" s="49">
        <v>18.8</v>
      </c>
      <c r="CB323" s="59">
        <f t="shared" ref="CB323:CB386" si="27">SUM(BV323:BZ323)</f>
        <v>0.10970000000000001</v>
      </c>
      <c r="CC323" s="59">
        <v>0.28639999999999999</v>
      </c>
      <c r="CD323" s="59">
        <v>0.41560000000000002</v>
      </c>
      <c r="CE323" s="59">
        <v>0.26150000000000001</v>
      </c>
      <c r="CF323" s="59">
        <v>1.2200000000000001E-2</v>
      </c>
      <c r="CG323" s="59">
        <v>2.4400000000000002E-2</v>
      </c>
      <c r="CH323" s="49">
        <v>13.4</v>
      </c>
      <c r="CI323" s="39" t="s">
        <v>84</v>
      </c>
      <c r="CJ323" s="18" t="s">
        <v>479</v>
      </c>
      <c r="CK323" s="20"/>
    </row>
    <row r="324" spans="1:99" x14ac:dyDescent="0.25">
      <c r="A324" s="18" t="s">
        <v>479</v>
      </c>
      <c r="B324" s="39" t="s">
        <v>81</v>
      </c>
      <c r="C324" s="39" t="s">
        <v>85</v>
      </c>
      <c r="D324" s="40">
        <v>0</v>
      </c>
      <c r="E324" s="40">
        <v>0</v>
      </c>
      <c r="F324" s="40">
        <v>0</v>
      </c>
      <c r="G324" s="162" t="s">
        <v>83</v>
      </c>
      <c r="H324" s="166">
        <v>0</v>
      </c>
      <c r="I324" s="162" t="s">
        <v>83</v>
      </c>
      <c r="J324" s="166">
        <v>0</v>
      </c>
      <c r="K324" s="166">
        <v>0</v>
      </c>
      <c r="L324" s="166">
        <v>0</v>
      </c>
      <c r="M324" s="166">
        <v>0</v>
      </c>
      <c r="N324" s="119">
        <v>0</v>
      </c>
      <c r="O324" s="119">
        <v>0</v>
      </c>
      <c r="P324" s="116" t="s">
        <v>83</v>
      </c>
      <c r="Q324" s="119">
        <v>0</v>
      </c>
      <c r="R324" s="116" t="s">
        <v>83</v>
      </c>
      <c r="S324" s="119">
        <v>0</v>
      </c>
      <c r="T324" s="119">
        <v>0</v>
      </c>
      <c r="U324" s="119">
        <v>0</v>
      </c>
      <c r="V324" s="119">
        <v>0</v>
      </c>
      <c r="W324" s="40">
        <v>285</v>
      </c>
      <c r="X324" s="40">
        <f t="shared" si="24"/>
        <v>215</v>
      </c>
      <c r="Y324" s="40">
        <f t="shared" si="25"/>
        <v>285</v>
      </c>
      <c r="Z324" s="105">
        <v>0.52631578947368396</v>
      </c>
      <c r="AA324" s="105">
        <v>0.47368421052631599</v>
      </c>
      <c r="AB324" s="106">
        <v>0</v>
      </c>
      <c r="AC324" s="106">
        <v>0</v>
      </c>
      <c r="AD324" s="106">
        <f>16/285</f>
        <v>5.6140350877192984E-2</v>
      </c>
      <c r="AE324" s="106">
        <f>4/285</f>
        <v>1.4035087719298246E-2</v>
      </c>
      <c r="AF324" s="106">
        <v>0</v>
      </c>
      <c r="AG324" s="106">
        <f>260/285</f>
        <v>0.91228070175438591</v>
      </c>
      <c r="AH324" s="106">
        <f>5/285</f>
        <v>1.7543859649122806E-2</v>
      </c>
      <c r="AI324" s="106">
        <f>25/285</f>
        <v>8.771929824561403E-2</v>
      </c>
      <c r="AJ324" s="105">
        <v>0.6</v>
      </c>
      <c r="AK324" s="105">
        <v>0</v>
      </c>
      <c r="AL324" s="12">
        <v>0</v>
      </c>
      <c r="AM324" s="12">
        <v>70</v>
      </c>
      <c r="AN324" s="12">
        <v>0</v>
      </c>
      <c r="AO324" s="12">
        <v>63</v>
      </c>
      <c r="AP324" s="12">
        <v>62</v>
      </c>
      <c r="AQ324" s="12">
        <v>43</v>
      </c>
      <c r="AR324" s="12">
        <v>47</v>
      </c>
      <c r="AS324" s="59">
        <v>0</v>
      </c>
      <c r="AT324" s="3">
        <v>8</v>
      </c>
      <c r="AU324" s="3">
        <v>6</v>
      </c>
      <c r="AV324" s="52">
        <v>81.7</v>
      </c>
      <c r="AW324" s="52">
        <v>17.2</v>
      </c>
      <c r="AX324" s="52">
        <v>1.1000000000000001</v>
      </c>
      <c r="AY324" s="70">
        <v>0</v>
      </c>
      <c r="AZ324" s="61">
        <v>0</v>
      </c>
      <c r="BA324" s="61">
        <v>8.6092715231788075E-2</v>
      </c>
      <c r="BB324" s="78">
        <v>94.293777371835404</v>
      </c>
      <c r="BC324" s="49">
        <v>19.471947194719501</v>
      </c>
      <c r="BD324" s="90" t="s">
        <v>83</v>
      </c>
      <c r="BE324" s="49">
        <v>3.3</v>
      </c>
      <c r="BF324" s="49">
        <v>0</v>
      </c>
      <c r="BG324" s="49">
        <v>3.4</v>
      </c>
      <c r="BH324" s="49">
        <v>0</v>
      </c>
      <c r="BI324" s="49">
        <v>0</v>
      </c>
      <c r="BJ324" s="49">
        <v>20.3</v>
      </c>
      <c r="BK324" s="126">
        <v>11138</v>
      </c>
      <c r="BL324" s="126">
        <v>43792</v>
      </c>
      <c r="BM324" s="126">
        <v>39937</v>
      </c>
      <c r="BN324" s="133">
        <v>33194</v>
      </c>
      <c r="BO324" s="59">
        <v>0</v>
      </c>
      <c r="BP324" s="59">
        <v>0.34899999999999998</v>
      </c>
      <c r="BQ324" s="59">
        <v>9.01E-2</v>
      </c>
      <c r="BR324" s="59">
        <v>0</v>
      </c>
      <c r="BS324" s="59">
        <v>0</v>
      </c>
      <c r="BT324" s="49">
        <v>7.1</v>
      </c>
      <c r="BU324" s="59">
        <f t="shared" si="26"/>
        <v>0.43909999999999999</v>
      </c>
      <c r="BV324" s="59">
        <v>4.4999999999999998E-2</v>
      </c>
      <c r="BW324" s="59">
        <v>2.2499999999999999E-2</v>
      </c>
      <c r="BX324" s="59">
        <v>2.2499999999999999E-2</v>
      </c>
      <c r="BY324" s="59">
        <v>0</v>
      </c>
      <c r="BZ324" s="59">
        <v>0</v>
      </c>
      <c r="CA324" s="49">
        <v>16.8</v>
      </c>
      <c r="CB324" s="59">
        <f t="shared" si="27"/>
        <v>0.09</v>
      </c>
      <c r="CC324" s="59">
        <v>0.44379999999999997</v>
      </c>
      <c r="CD324" s="59">
        <v>0.39850000000000002</v>
      </c>
      <c r="CE324" s="59">
        <v>0.1351</v>
      </c>
      <c r="CF324" s="59">
        <v>2.2499999999999999E-2</v>
      </c>
      <c r="CG324" s="59">
        <v>0</v>
      </c>
      <c r="CH324" s="49">
        <v>11.7</v>
      </c>
      <c r="CI324" s="39" t="s">
        <v>85</v>
      </c>
      <c r="CJ324" s="18" t="s">
        <v>479</v>
      </c>
      <c r="CK324" s="20"/>
    </row>
    <row r="325" spans="1:99" x14ac:dyDescent="0.25">
      <c r="A325" s="18" t="s">
        <v>479</v>
      </c>
      <c r="B325" s="39" t="s">
        <v>81</v>
      </c>
      <c r="C325" s="39" t="s">
        <v>86</v>
      </c>
      <c r="D325" s="40">
        <v>8</v>
      </c>
      <c r="E325" s="40" t="s">
        <v>83</v>
      </c>
      <c r="F325" s="40">
        <v>8</v>
      </c>
      <c r="G325" s="162" t="s">
        <v>83</v>
      </c>
      <c r="H325" s="162" t="s">
        <v>83</v>
      </c>
      <c r="I325" s="166">
        <v>0</v>
      </c>
      <c r="J325" s="166">
        <v>3</v>
      </c>
      <c r="K325" s="166">
        <v>0</v>
      </c>
      <c r="L325" s="166">
        <v>2</v>
      </c>
      <c r="M325" s="166">
        <v>3</v>
      </c>
      <c r="N325" s="115">
        <v>1.0457516339869299E-2</v>
      </c>
      <c r="O325" s="115">
        <v>1.0457516339869299E-2</v>
      </c>
      <c r="P325" s="116" t="s">
        <v>83</v>
      </c>
      <c r="Q325" s="116" t="s">
        <v>83</v>
      </c>
      <c r="R325" s="119">
        <v>0</v>
      </c>
      <c r="S325" s="119">
        <v>1.2448132780083001E-2</v>
      </c>
      <c r="T325" s="119">
        <v>0</v>
      </c>
      <c r="U325" s="119">
        <v>1.19760479041916E-2</v>
      </c>
      <c r="V325" s="119">
        <v>2.04081632653061E-2</v>
      </c>
      <c r="W325" s="40">
        <v>702</v>
      </c>
      <c r="X325" s="40">
        <f t="shared" si="24"/>
        <v>702</v>
      </c>
      <c r="Y325" s="40">
        <f t="shared" si="25"/>
        <v>702</v>
      </c>
      <c r="Z325" s="105">
        <v>0.50569800569800605</v>
      </c>
      <c r="AA325" s="105">
        <v>0.49430199430199401</v>
      </c>
      <c r="AB325" s="106">
        <f>2/702</f>
        <v>2.8490028490028491E-3</v>
      </c>
      <c r="AC325" s="106">
        <f>2/702</f>
        <v>2.8490028490028491E-3</v>
      </c>
      <c r="AD325" s="106">
        <f>224/702</f>
        <v>0.31908831908831908</v>
      </c>
      <c r="AE325" s="106">
        <f>9/702</f>
        <v>1.282051282051282E-2</v>
      </c>
      <c r="AF325" s="106">
        <v>0</v>
      </c>
      <c r="AG325" s="106">
        <f>455/702</f>
        <v>0.64814814814814814</v>
      </c>
      <c r="AH325" s="106">
        <f>10/702</f>
        <v>1.4245014245014245E-2</v>
      </c>
      <c r="AI325" s="106">
        <f>247/702</f>
        <v>0.35185185185185186</v>
      </c>
      <c r="AJ325" s="105">
        <v>0.65954415954415957</v>
      </c>
      <c r="AK325" s="105">
        <v>7.12250712250712E-3</v>
      </c>
      <c r="AL325" s="12">
        <v>0</v>
      </c>
      <c r="AM325" s="12">
        <v>0</v>
      </c>
      <c r="AN325" s="12">
        <v>18</v>
      </c>
      <c r="AO325" s="12">
        <v>219</v>
      </c>
      <c r="AP325" s="12">
        <v>175</v>
      </c>
      <c r="AQ325" s="12">
        <v>150</v>
      </c>
      <c r="AR325" s="12">
        <v>140</v>
      </c>
      <c r="AS325" s="59">
        <v>7.5949367088607597E-2</v>
      </c>
      <c r="AT325" s="3">
        <v>9</v>
      </c>
      <c r="AU325" s="3">
        <v>6</v>
      </c>
      <c r="AV325" s="52">
        <v>73.5</v>
      </c>
      <c r="AW325" s="52">
        <v>19.3</v>
      </c>
      <c r="AX325" s="52">
        <v>6.9</v>
      </c>
      <c r="AY325" s="71">
        <v>0.3</v>
      </c>
      <c r="AZ325" s="61">
        <v>0.46719160104986879</v>
      </c>
      <c r="BA325" s="61">
        <v>0.28346456692913385</v>
      </c>
      <c r="BB325" s="77">
        <v>90.610666090540406</v>
      </c>
      <c r="BC325" s="49">
        <v>43.506493506493499</v>
      </c>
      <c r="BD325" s="90" t="s">
        <v>83</v>
      </c>
      <c r="BE325" s="90" t="s">
        <v>83</v>
      </c>
      <c r="BF325" s="49">
        <v>9.8000000000000007</v>
      </c>
      <c r="BG325" s="49">
        <v>3.1</v>
      </c>
      <c r="BH325" s="49">
        <v>1.4</v>
      </c>
      <c r="BI325" s="49">
        <v>1.4</v>
      </c>
      <c r="BJ325" s="49">
        <v>18.8</v>
      </c>
      <c r="BK325" s="126">
        <v>9513</v>
      </c>
      <c r="BL325" s="126">
        <v>45200</v>
      </c>
      <c r="BM325" s="126">
        <v>42738</v>
      </c>
      <c r="BN325" s="133">
        <v>36848</v>
      </c>
      <c r="BO325" s="59">
        <v>0</v>
      </c>
      <c r="BP325" s="59">
        <v>0.44850000000000001</v>
      </c>
      <c r="BQ325" s="59">
        <v>0.15509999999999999</v>
      </c>
      <c r="BR325" s="59">
        <v>0</v>
      </c>
      <c r="BS325" s="59">
        <v>1.29E-2</v>
      </c>
      <c r="BT325" s="49">
        <v>11.1</v>
      </c>
      <c r="BU325" s="59">
        <f t="shared" si="26"/>
        <v>0.61650000000000005</v>
      </c>
      <c r="BV325" s="59">
        <v>3.8800000000000001E-2</v>
      </c>
      <c r="BW325" s="59">
        <v>1.29E-2</v>
      </c>
      <c r="BX325" s="59">
        <v>2.5899999999999999E-2</v>
      </c>
      <c r="BY325" s="59">
        <v>0</v>
      </c>
      <c r="BZ325" s="59">
        <v>0</v>
      </c>
      <c r="CA325" s="49">
        <v>12</v>
      </c>
      <c r="CB325" s="59">
        <f t="shared" si="27"/>
        <v>7.7600000000000002E-2</v>
      </c>
      <c r="CC325" s="59">
        <v>0.29730000000000001</v>
      </c>
      <c r="CD325" s="59">
        <v>0.47870000000000001</v>
      </c>
      <c r="CE325" s="59">
        <v>0.21110000000000001</v>
      </c>
      <c r="CF325" s="59">
        <v>0</v>
      </c>
      <c r="CG325" s="59">
        <v>1.29E-2</v>
      </c>
      <c r="CH325" s="49">
        <v>11.4</v>
      </c>
      <c r="CI325" s="39" t="s">
        <v>86</v>
      </c>
      <c r="CJ325" s="18" t="s">
        <v>479</v>
      </c>
      <c r="CK325" s="20"/>
    </row>
    <row r="326" spans="1:99" x14ac:dyDescent="0.25">
      <c r="A326" s="18" t="s">
        <v>479</v>
      </c>
      <c r="B326" s="39" t="s">
        <v>81</v>
      </c>
      <c r="C326" s="39" t="s">
        <v>87</v>
      </c>
      <c r="D326" s="40">
        <v>6</v>
      </c>
      <c r="E326" s="40" t="s">
        <v>83</v>
      </c>
      <c r="F326" s="40">
        <v>6</v>
      </c>
      <c r="G326" s="162" t="s">
        <v>83</v>
      </c>
      <c r="H326" s="162" t="s">
        <v>83</v>
      </c>
      <c r="I326" s="166">
        <v>0</v>
      </c>
      <c r="J326" s="163">
        <v>0</v>
      </c>
      <c r="K326" s="163">
        <v>2</v>
      </c>
      <c r="L326" s="163">
        <v>1</v>
      </c>
      <c r="M326" s="163">
        <v>3</v>
      </c>
      <c r="N326" s="115">
        <v>1.01180438448567E-2</v>
      </c>
      <c r="O326" s="115">
        <v>1.01180438448567E-2</v>
      </c>
      <c r="P326" s="116" t="s">
        <v>83</v>
      </c>
      <c r="Q326" s="116" t="s">
        <v>83</v>
      </c>
      <c r="R326" s="119">
        <v>0</v>
      </c>
      <c r="S326" s="115">
        <v>0</v>
      </c>
      <c r="T326" s="115">
        <v>1.0928961748633901E-2</v>
      </c>
      <c r="U326" s="115">
        <v>8.3333333333333297E-3</v>
      </c>
      <c r="V326" s="115">
        <v>2.4390243902439001E-2</v>
      </c>
      <c r="W326" s="40">
        <v>556</v>
      </c>
      <c r="X326" s="40">
        <f t="shared" si="24"/>
        <v>556</v>
      </c>
      <c r="Y326" s="40">
        <f t="shared" si="25"/>
        <v>556</v>
      </c>
      <c r="Z326" s="105">
        <v>0.47841726618704999</v>
      </c>
      <c r="AA326" s="105">
        <v>0.52158273381294995</v>
      </c>
      <c r="AB326" s="106">
        <f>4/556</f>
        <v>7.1942446043165471E-3</v>
      </c>
      <c r="AC326" s="106">
        <f>1/556</f>
        <v>1.7985611510791368E-3</v>
      </c>
      <c r="AD326" s="106">
        <f>14/556</f>
        <v>2.5179856115107913E-2</v>
      </c>
      <c r="AE326" s="106">
        <f>10/556</f>
        <v>1.7985611510791366E-2</v>
      </c>
      <c r="AF326" s="106">
        <v>0</v>
      </c>
      <c r="AG326" s="106">
        <f>515/556</f>
        <v>0.92625899280575541</v>
      </c>
      <c r="AH326" s="106">
        <f>12/556</f>
        <v>2.1582733812949641E-2</v>
      </c>
      <c r="AI326" s="106">
        <f>41/556</f>
        <v>7.3741007194244604E-2</v>
      </c>
      <c r="AJ326" s="105">
        <v>0.45503597122302158</v>
      </c>
      <c r="AK326" s="105">
        <v>7.1942446043165497E-3</v>
      </c>
      <c r="AL326" s="12">
        <v>0</v>
      </c>
      <c r="AM326" s="12">
        <v>0</v>
      </c>
      <c r="AN326" s="12">
        <v>3</v>
      </c>
      <c r="AO326" s="12">
        <v>151</v>
      </c>
      <c r="AP326" s="12">
        <v>162</v>
      </c>
      <c r="AQ326" s="12">
        <v>118</v>
      </c>
      <c r="AR326" s="12">
        <v>122</v>
      </c>
      <c r="AS326" s="59">
        <v>1.948051948051948E-2</v>
      </c>
      <c r="AT326" s="3">
        <v>9</v>
      </c>
      <c r="AU326" s="3">
        <v>6</v>
      </c>
      <c r="AV326" s="52">
        <v>58.5</v>
      </c>
      <c r="AW326" s="52">
        <v>15.3</v>
      </c>
      <c r="AX326" s="52">
        <v>22.9</v>
      </c>
      <c r="AY326" s="71">
        <v>3.3</v>
      </c>
      <c r="AZ326" s="59">
        <v>1.6863406408094434E-3</v>
      </c>
      <c r="BA326" s="59">
        <v>8.2630691399662726E-2</v>
      </c>
      <c r="BB326" s="78">
        <v>92.442665135686497</v>
      </c>
      <c r="BC326" s="49">
        <v>48.322147651006702</v>
      </c>
      <c r="BD326" s="90" t="s">
        <v>83</v>
      </c>
      <c r="BE326" s="90" t="s">
        <v>83</v>
      </c>
      <c r="BF326" s="49">
        <v>5.5</v>
      </c>
      <c r="BG326" s="49">
        <v>2.5</v>
      </c>
      <c r="BH326" s="49">
        <v>0</v>
      </c>
      <c r="BI326" s="49">
        <v>0</v>
      </c>
      <c r="BJ326" s="49">
        <v>20.100000000000001</v>
      </c>
      <c r="BK326" s="126">
        <v>8344</v>
      </c>
      <c r="BL326" s="126">
        <v>46289</v>
      </c>
      <c r="BM326" s="126">
        <v>44523</v>
      </c>
      <c r="BN326" s="133">
        <v>34151</v>
      </c>
      <c r="BO326" s="59">
        <v>0</v>
      </c>
      <c r="BP326" s="59">
        <v>0.41010000000000002</v>
      </c>
      <c r="BQ326" s="59">
        <v>7.9699999999999993E-2</v>
      </c>
      <c r="BR326" s="59">
        <v>0</v>
      </c>
      <c r="BS326" s="59">
        <v>0</v>
      </c>
      <c r="BT326" s="49">
        <v>13.3</v>
      </c>
      <c r="BU326" s="59">
        <f t="shared" si="26"/>
        <v>0.48980000000000001</v>
      </c>
      <c r="BV326" s="59">
        <v>3.5400000000000001E-2</v>
      </c>
      <c r="BW326" s="59">
        <v>0</v>
      </c>
      <c r="BX326" s="59">
        <v>3.5400000000000001E-2</v>
      </c>
      <c r="BY326" s="59">
        <v>0</v>
      </c>
      <c r="BZ326" s="59">
        <v>0</v>
      </c>
      <c r="CA326" s="49">
        <v>20.5</v>
      </c>
      <c r="CB326" s="59">
        <f t="shared" si="27"/>
        <v>7.0800000000000002E-2</v>
      </c>
      <c r="CC326" s="59">
        <v>0.39369999999999999</v>
      </c>
      <c r="CD326" s="59">
        <v>0.43369999999999997</v>
      </c>
      <c r="CE326" s="59">
        <v>0.1726</v>
      </c>
      <c r="CF326" s="59">
        <v>0</v>
      </c>
      <c r="CG326" s="59">
        <v>0</v>
      </c>
      <c r="CH326" s="49">
        <v>13.2</v>
      </c>
      <c r="CI326" s="39" t="s">
        <v>87</v>
      </c>
      <c r="CJ326" s="18" t="s">
        <v>479</v>
      </c>
      <c r="CK326" s="20"/>
    </row>
    <row r="327" spans="1:99" x14ac:dyDescent="0.25">
      <c r="A327" s="18" t="s">
        <v>479</v>
      </c>
      <c r="B327" s="39" t="s">
        <v>88</v>
      </c>
      <c r="C327" s="39" t="s">
        <v>89</v>
      </c>
      <c r="D327" s="40">
        <v>1</v>
      </c>
      <c r="E327" s="40">
        <v>0</v>
      </c>
      <c r="F327" s="40">
        <v>1</v>
      </c>
      <c r="G327" s="163">
        <v>0</v>
      </c>
      <c r="H327" s="163">
        <v>0</v>
      </c>
      <c r="I327" s="163">
        <v>0</v>
      </c>
      <c r="J327" s="163">
        <v>0</v>
      </c>
      <c r="K327" s="163">
        <v>1</v>
      </c>
      <c r="L327" s="163">
        <v>0</v>
      </c>
      <c r="M327" s="163">
        <v>0</v>
      </c>
      <c r="N327" s="115">
        <v>5.74712643678161E-3</v>
      </c>
      <c r="O327" s="115">
        <v>9.7087378640776708E-3</v>
      </c>
      <c r="P327" s="115">
        <v>0</v>
      </c>
      <c r="Q327" s="115">
        <v>0</v>
      </c>
      <c r="R327" s="115">
        <v>0</v>
      </c>
      <c r="S327" s="115">
        <v>0</v>
      </c>
      <c r="T327" s="115">
        <v>3.2258064516128997E-2</v>
      </c>
      <c r="U327" s="115">
        <v>0</v>
      </c>
      <c r="V327" s="115">
        <v>0</v>
      </c>
      <c r="W327" s="40">
        <v>395</v>
      </c>
      <c r="X327" s="40">
        <f t="shared" si="24"/>
        <v>97</v>
      </c>
      <c r="Y327" s="40">
        <f t="shared" si="25"/>
        <v>163</v>
      </c>
      <c r="Z327" s="105">
        <v>0.49873417721518998</v>
      </c>
      <c r="AA327" s="105">
        <v>0.50126582278481002</v>
      </c>
      <c r="AB327" s="106">
        <f>7/395</f>
        <v>1.7721518987341773E-2</v>
      </c>
      <c r="AC327" s="106">
        <f>3/395</f>
        <v>7.5949367088607592E-3</v>
      </c>
      <c r="AD327" s="106">
        <f>2/395</f>
        <v>5.0632911392405064E-3</v>
      </c>
      <c r="AE327" s="106">
        <f>5/395</f>
        <v>1.2658227848101266E-2</v>
      </c>
      <c r="AF327" s="106">
        <v>0</v>
      </c>
      <c r="AG327" s="106">
        <f>376/395</f>
        <v>0.95189873417721516</v>
      </c>
      <c r="AH327" s="106">
        <f>2/395</f>
        <v>5.0632911392405064E-3</v>
      </c>
      <c r="AI327" s="106">
        <f>19/395</f>
        <v>4.810126582278481E-2</v>
      </c>
      <c r="AJ327" s="105">
        <v>0.57215189873417727</v>
      </c>
      <c r="AK327" s="105">
        <v>0</v>
      </c>
      <c r="AL327" s="12">
        <v>34</v>
      </c>
      <c r="AM327" s="12">
        <v>32</v>
      </c>
      <c r="AN327" s="12">
        <v>3</v>
      </c>
      <c r="AO327" s="12">
        <v>19</v>
      </c>
      <c r="AP327" s="12">
        <v>28</v>
      </c>
      <c r="AQ327" s="12">
        <v>26</v>
      </c>
      <c r="AR327" s="12">
        <v>21</v>
      </c>
      <c r="AS327" s="59">
        <v>0.13636363636363635</v>
      </c>
      <c r="AT327" s="3">
        <v>1</v>
      </c>
      <c r="AU327" s="3">
        <v>6</v>
      </c>
      <c r="AV327" s="52">
        <v>74.7</v>
      </c>
      <c r="AW327" s="52">
        <v>11</v>
      </c>
      <c r="AX327" s="52">
        <v>11</v>
      </c>
      <c r="AY327" s="71">
        <v>3.2</v>
      </c>
      <c r="AZ327" s="59">
        <v>1.6548463356973995E-2</v>
      </c>
      <c r="BA327" s="59">
        <v>1.6548463356973995E-2</v>
      </c>
      <c r="BB327" s="78">
        <v>94.2195289668214</v>
      </c>
      <c r="BC327" s="49">
        <v>31.139240506329099</v>
      </c>
      <c r="BD327" s="49">
        <v>0</v>
      </c>
      <c r="BE327" s="49">
        <v>3</v>
      </c>
      <c r="BF327" s="49">
        <v>0</v>
      </c>
      <c r="BG327" s="49">
        <v>0</v>
      </c>
      <c r="BH327" s="49">
        <v>0</v>
      </c>
      <c r="BI327" s="49">
        <v>0</v>
      </c>
      <c r="BJ327" s="49">
        <v>21.6</v>
      </c>
      <c r="BK327" s="126">
        <v>9740</v>
      </c>
      <c r="BL327" s="126">
        <v>47498</v>
      </c>
      <c r="BM327" s="126">
        <v>52008</v>
      </c>
      <c r="BN327" s="133">
        <v>39071</v>
      </c>
      <c r="BO327" s="59">
        <v>0</v>
      </c>
      <c r="BP327" s="59">
        <v>0.46550000000000002</v>
      </c>
      <c r="BQ327" s="59">
        <v>0.127</v>
      </c>
      <c r="BR327" s="59">
        <v>0</v>
      </c>
      <c r="BS327" s="59">
        <v>0</v>
      </c>
      <c r="BT327" s="49">
        <v>12.7</v>
      </c>
      <c r="BU327" s="59">
        <f t="shared" si="26"/>
        <v>0.59250000000000003</v>
      </c>
      <c r="BV327" s="59">
        <v>2.12E-2</v>
      </c>
      <c r="BW327" s="59">
        <v>0</v>
      </c>
      <c r="BX327" s="59">
        <v>2.12E-2</v>
      </c>
      <c r="BY327" s="59">
        <v>2.12E-2</v>
      </c>
      <c r="BZ327" s="59">
        <v>0</v>
      </c>
      <c r="CA327" s="49">
        <v>17.3</v>
      </c>
      <c r="CB327" s="59">
        <f t="shared" si="27"/>
        <v>6.3600000000000004E-2</v>
      </c>
      <c r="CC327" s="59">
        <v>0.3085</v>
      </c>
      <c r="CD327" s="59">
        <v>0.50790000000000002</v>
      </c>
      <c r="CE327" s="59">
        <v>0.16250000000000001</v>
      </c>
      <c r="CF327" s="59">
        <v>2.12E-2</v>
      </c>
      <c r="CG327" s="59">
        <v>0</v>
      </c>
      <c r="CH327" s="49">
        <v>12.2</v>
      </c>
      <c r="CI327" s="39" t="s">
        <v>89</v>
      </c>
      <c r="CJ327" s="18" t="s">
        <v>479</v>
      </c>
      <c r="CK327" s="20"/>
    </row>
    <row r="328" spans="1:99" x14ac:dyDescent="0.25">
      <c r="A328" s="18" t="s">
        <v>479</v>
      </c>
      <c r="B328" s="39" t="s">
        <v>88</v>
      </c>
      <c r="C328" s="39" t="s">
        <v>90</v>
      </c>
      <c r="D328" s="40">
        <v>1</v>
      </c>
      <c r="E328" s="40">
        <v>0</v>
      </c>
      <c r="F328" s="40">
        <v>1</v>
      </c>
      <c r="G328" s="163">
        <v>0</v>
      </c>
      <c r="H328" s="163">
        <v>0</v>
      </c>
      <c r="I328" s="162" t="s">
        <v>83</v>
      </c>
      <c r="J328" s="163">
        <v>0</v>
      </c>
      <c r="K328" s="163">
        <v>1</v>
      </c>
      <c r="L328" s="163">
        <v>0</v>
      </c>
      <c r="M328" s="163">
        <v>0</v>
      </c>
      <c r="N328" s="115">
        <v>5.4644808743169399E-3</v>
      </c>
      <c r="O328" s="115">
        <v>8.1300813008130107E-3</v>
      </c>
      <c r="P328" s="115">
        <v>0</v>
      </c>
      <c r="Q328" s="115">
        <v>0</v>
      </c>
      <c r="R328" s="116" t="s">
        <v>83</v>
      </c>
      <c r="S328" s="115">
        <v>0</v>
      </c>
      <c r="T328" s="115">
        <v>2.6315789473684199E-2</v>
      </c>
      <c r="U328" s="115">
        <v>0</v>
      </c>
      <c r="V328" s="115">
        <v>0</v>
      </c>
      <c r="W328" s="40">
        <v>423</v>
      </c>
      <c r="X328" s="40">
        <f t="shared" si="24"/>
        <v>121</v>
      </c>
      <c r="Y328" s="40">
        <f t="shared" si="25"/>
        <v>179</v>
      </c>
      <c r="Z328" s="105">
        <v>0.54373522458628798</v>
      </c>
      <c r="AA328" s="105">
        <v>0.45626477541371202</v>
      </c>
      <c r="AB328" s="106">
        <f>2/423</f>
        <v>4.7281323877068557E-3</v>
      </c>
      <c r="AC328" s="106">
        <f>7/423</f>
        <v>1.6548463356973995E-2</v>
      </c>
      <c r="AD328" s="106">
        <v>0</v>
      </c>
      <c r="AE328" s="106">
        <f>3/423</f>
        <v>7.0921985815602835E-3</v>
      </c>
      <c r="AF328" s="106">
        <v>0</v>
      </c>
      <c r="AG328" s="106">
        <f>409/423</f>
        <v>0.96690307328605196</v>
      </c>
      <c r="AH328" s="106">
        <f>2/423</f>
        <v>4.7281323877068557E-3</v>
      </c>
      <c r="AI328" s="106">
        <f>14/423</f>
        <v>3.309692671394799E-2</v>
      </c>
      <c r="AJ328" s="105">
        <v>0.6028368794326241</v>
      </c>
      <c r="AK328" s="105">
        <v>2.36406619385343E-3</v>
      </c>
      <c r="AL328" s="12">
        <v>33</v>
      </c>
      <c r="AM328" s="12">
        <v>25</v>
      </c>
      <c r="AN328" s="12">
        <v>0</v>
      </c>
      <c r="AO328" s="12">
        <v>30</v>
      </c>
      <c r="AP328" s="12">
        <v>36</v>
      </c>
      <c r="AQ328" s="12">
        <v>32</v>
      </c>
      <c r="AR328" s="12">
        <v>23</v>
      </c>
      <c r="AS328" s="59">
        <v>0</v>
      </c>
      <c r="AT328" s="3">
        <v>1</v>
      </c>
      <c r="AU328" s="3">
        <v>6</v>
      </c>
      <c r="AV328" s="52">
        <v>85.2</v>
      </c>
      <c r="AW328" s="52">
        <v>11</v>
      </c>
      <c r="AX328" s="52">
        <v>2.7</v>
      </c>
      <c r="AY328" s="71">
        <v>1.1000000000000001</v>
      </c>
      <c r="AZ328" s="59">
        <v>0</v>
      </c>
      <c r="BA328" s="59">
        <v>1.5837104072398189E-2</v>
      </c>
      <c r="BB328" s="77">
        <v>94.430101547708901</v>
      </c>
      <c r="BC328" s="49">
        <v>25.5474452554745</v>
      </c>
      <c r="BD328" s="49">
        <v>0</v>
      </c>
      <c r="BE328" s="49">
        <v>0</v>
      </c>
      <c r="BF328" s="49">
        <v>0</v>
      </c>
      <c r="BG328" s="49">
        <v>0</v>
      </c>
      <c r="BH328" s="49">
        <v>0</v>
      </c>
      <c r="BI328" s="49">
        <v>0</v>
      </c>
      <c r="BJ328" s="49">
        <v>18.2</v>
      </c>
      <c r="BK328" s="126">
        <v>11402</v>
      </c>
      <c r="BL328" s="126">
        <v>48732</v>
      </c>
      <c r="BM328" s="126">
        <v>41845</v>
      </c>
      <c r="BN328" s="133">
        <v>37816</v>
      </c>
      <c r="BO328" s="59">
        <v>0</v>
      </c>
      <c r="BP328" s="59">
        <v>0.5323</v>
      </c>
      <c r="BQ328" s="59">
        <v>3.1800000000000002E-2</v>
      </c>
      <c r="BR328" s="59">
        <v>0</v>
      </c>
      <c r="BS328" s="59">
        <v>0</v>
      </c>
      <c r="BT328" s="49">
        <v>16.7</v>
      </c>
      <c r="BU328" s="59">
        <f t="shared" si="26"/>
        <v>0.56410000000000005</v>
      </c>
      <c r="BV328" s="59">
        <v>3.1800000000000002E-2</v>
      </c>
      <c r="BW328" s="59">
        <v>0</v>
      </c>
      <c r="BX328" s="59">
        <v>3.1800000000000002E-2</v>
      </c>
      <c r="BY328" s="59">
        <v>0</v>
      </c>
      <c r="BZ328" s="59">
        <v>0</v>
      </c>
      <c r="CA328" s="49">
        <v>19.5</v>
      </c>
      <c r="CB328" s="59">
        <f t="shared" si="27"/>
        <v>6.3600000000000004E-2</v>
      </c>
      <c r="CC328" s="59">
        <v>0.37240000000000001</v>
      </c>
      <c r="CD328" s="59">
        <v>0.54820000000000002</v>
      </c>
      <c r="CE328" s="59">
        <v>7.9399999999999998E-2</v>
      </c>
      <c r="CF328" s="59">
        <v>0</v>
      </c>
      <c r="CG328" s="59">
        <v>0</v>
      </c>
      <c r="CH328" s="49">
        <v>14.7</v>
      </c>
      <c r="CI328" s="39" t="s">
        <v>90</v>
      </c>
      <c r="CJ328" s="18" t="s">
        <v>479</v>
      </c>
      <c r="CK328" s="20"/>
    </row>
    <row r="329" spans="1:99" x14ac:dyDescent="0.25">
      <c r="A329" s="18" t="s">
        <v>479</v>
      </c>
      <c r="B329" s="39" t="s">
        <v>88</v>
      </c>
      <c r="C329" s="39" t="s">
        <v>91</v>
      </c>
      <c r="D329" s="40">
        <v>1</v>
      </c>
      <c r="E329" s="40" t="s">
        <v>83</v>
      </c>
      <c r="F329" s="40">
        <v>1</v>
      </c>
      <c r="G329" s="162" t="s">
        <v>83</v>
      </c>
      <c r="H329" s="162" t="s">
        <v>83</v>
      </c>
      <c r="I329" s="162" t="s">
        <v>83</v>
      </c>
      <c r="J329" s="163">
        <v>1</v>
      </c>
      <c r="K329" s="163">
        <v>0</v>
      </c>
      <c r="L329" s="163">
        <v>0</v>
      </c>
      <c r="M329" s="163">
        <v>0</v>
      </c>
      <c r="N329" s="115">
        <v>2.6809651474530801E-3</v>
      </c>
      <c r="O329" s="115">
        <v>2.6809651474530801E-3</v>
      </c>
      <c r="P329" s="116" t="s">
        <v>83</v>
      </c>
      <c r="Q329" s="116" t="s">
        <v>83</v>
      </c>
      <c r="R329" s="116" t="s">
        <v>83</v>
      </c>
      <c r="S329" s="115">
        <v>1.1494252873563199E-2</v>
      </c>
      <c r="T329" s="115">
        <v>0</v>
      </c>
      <c r="U329" s="115">
        <v>0</v>
      </c>
      <c r="V329" s="115">
        <v>0</v>
      </c>
      <c r="W329" s="40">
        <v>354</v>
      </c>
      <c r="X329" s="40">
        <f t="shared" si="24"/>
        <v>354</v>
      </c>
      <c r="Y329" s="40">
        <f t="shared" si="25"/>
        <v>354</v>
      </c>
      <c r="Z329" s="105">
        <v>0.53107344632768405</v>
      </c>
      <c r="AA329" s="105">
        <v>0.468926553672316</v>
      </c>
      <c r="AB329" s="106">
        <f>11/354</f>
        <v>3.1073446327683617E-2</v>
      </c>
      <c r="AC329" s="106">
        <f>4/354</f>
        <v>1.1299435028248588E-2</v>
      </c>
      <c r="AD329" s="106">
        <f>58/354</f>
        <v>0.16384180790960451</v>
      </c>
      <c r="AE329" s="106">
        <f>8/354</f>
        <v>2.2598870056497175E-2</v>
      </c>
      <c r="AF329" s="106">
        <f>1/354</f>
        <v>2.8248587570621469E-3</v>
      </c>
      <c r="AG329" s="106">
        <f>269/354</f>
        <v>0.75988700564971756</v>
      </c>
      <c r="AH329" s="106">
        <f>3/354</f>
        <v>8.4745762711864406E-3</v>
      </c>
      <c r="AI329" s="106">
        <f>85/354</f>
        <v>0.24011299435028249</v>
      </c>
      <c r="AJ329" s="105">
        <v>0.52259887005649719</v>
      </c>
      <c r="AK329" s="105">
        <v>2.8248587570621499E-3</v>
      </c>
      <c r="AL329" s="12">
        <v>0</v>
      </c>
      <c r="AM329" s="12">
        <v>0</v>
      </c>
      <c r="AN329" s="12">
        <v>0</v>
      </c>
      <c r="AO329" s="12">
        <v>83</v>
      </c>
      <c r="AP329" s="12">
        <v>100</v>
      </c>
      <c r="AQ329" s="12">
        <v>96</v>
      </c>
      <c r="AR329" s="12">
        <v>75</v>
      </c>
      <c r="AS329" s="59">
        <v>0</v>
      </c>
      <c r="AT329" s="3">
        <v>9</v>
      </c>
      <c r="AU329" s="3">
        <v>6</v>
      </c>
      <c r="AV329" s="52">
        <v>81.3</v>
      </c>
      <c r="AW329" s="52">
        <v>17.399999999999999</v>
      </c>
      <c r="AX329" s="52">
        <v>1.3</v>
      </c>
      <c r="AY329" s="70">
        <v>0</v>
      </c>
      <c r="AZ329" s="59">
        <v>0.27419354838709675</v>
      </c>
      <c r="BA329" s="59">
        <v>0.11559139784946236</v>
      </c>
      <c r="BB329" s="78">
        <v>94.458006628405101</v>
      </c>
      <c r="BC329" s="49">
        <v>24.664879356568399</v>
      </c>
      <c r="BD329" s="90" t="s">
        <v>83</v>
      </c>
      <c r="BE329" s="90" t="s">
        <v>83</v>
      </c>
      <c r="BF329" s="49">
        <v>6.4</v>
      </c>
      <c r="BG329" s="49">
        <v>0</v>
      </c>
      <c r="BH329" s="49">
        <v>2.2000000000000002</v>
      </c>
      <c r="BI329" s="49">
        <v>0</v>
      </c>
      <c r="BJ329" s="49">
        <v>20</v>
      </c>
      <c r="BK329" s="126">
        <v>10631</v>
      </c>
      <c r="BL329" s="126">
        <v>50050</v>
      </c>
      <c r="BM329" s="126">
        <v>40833</v>
      </c>
      <c r="BN329" s="133">
        <v>40922</v>
      </c>
      <c r="BO329" s="59">
        <v>0</v>
      </c>
      <c r="BP329" s="59">
        <v>0.41089999999999999</v>
      </c>
      <c r="BQ329" s="59">
        <v>0.18770000000000001</v>
      </c>
      <c r="BR329" s="59">
        <v>0</v>
      </c>
      <c r="BS329" s="59">
        <v>0</v>
      </c>
      <c r="BT329" s="49">
        <v>14</v>
      </c>
      <c r="BU329" s="59">
        <f t="shared" si="26"/>
        <v>0.59860000000000002</v>
      </c>
      <c r="BV329" s="59">
        <v>4.4299999999999999E-2</v>
      </c>
      <c r="BW329" s="59">
        <v>0</v>
      </c>
      <c r="BX329" s="59">
        <v>4.4299999999999999E-2</v>
      </c>
      <c r="BY329" s="59">
        <v>0</v>
      </c>
      <c r="BZ329" s="59">
        <v>0</v>
      </c>
      <c r="CA329" s="49">
        <v>11.3</v>
      </c>
      <c r="CB329" s="59">
        <f t="shared" si="27"/>
        <v>8.8599999999999998E-2</v>
      </c>
      <c r="CC329" s="59">
        <v>0.31269999999999998</v>
      </c>
      <c r="CD329" s="59">
        <v>0.43309999999999998</v>
      </c>
      <c r="CE329" s="59">
        <v>0.25419999999999998</v>
      </c>
      <c r="CF329" s="59">
        <v>0</v>
      </c>
      <c r="CG329" s="59">
        <v>0</v>
      </c>
      <c r="CH329" s="49">
        <v>14.9</v>
      </c>
      <c r="CI329" s="39" t="s">
        <v>91</v>
      </c>
      <c r="CJ329" s="18" t="s">
        <v>479</v>
      </c>
      <c r="CK329" s="20"/>
    </row>
    <row r="330" spans="1:99" x14ac:dyDescent="0.25">
      <c r="A330" s="18" t="s">
        <v>479</v>
      </c>
      <c r="B330" s="39" t="s">
        <v>88</v>
      </c>
      <c r="C330" s="39" t="s">
        <v>92</v>
      </c>
      <c r="D330" s="45">
        <v>1</v>
      </c>
      <c r="E330" s="45" t="s">
        <v>83</v>
      </c>
      <c r="F330" s="45">
        <v>1</v>
      </c>
      <c r="G330" s="169" t="s">
        <v>83</v>
      </c>
      <c r="H330" s="169" t="s">
        <v>83</v>
      </c>
      <c r="I330" s="164">
        <v>1</v>
      </c>
      <c r="J330" s="164">
        <v>0</v>
      </c>
      <c r="K330" s="164">
        <v>0</v>
      </c>
      <c r="L330" s="164">
        <v>0</v>
      </c>
      <c r="M330" s="164">
        <v>0</v>
      </c>
      <c r="N330" s="117">
        <v>3.4364261168384901E-3</v>
      </c>
      <c r="O330" s="117">
        <v>3.4364261168384901E-3</v>
      </c>
      <c r="P330" s="121" t="s">
        <v>83</v>
      </c>
      <c r="Q330" s="121" t="s">
        <v>83</v>
      </c>
      <c r="R330" s="117">
        <v>0.14285714285714299</v>
      </c>
      <c r="S330" s="117">
        <v>0</v>
      </c>
      <c r="T330" s="117">
        <v>0</v>
      </c>
      <c r="U330" s="117">
        <v>0</v>
      </c>
      <c r="V330" s="117">
        <v>0</v>
      </c>
      <c r="W330" s="40">
        <v>271</v>
      </c>
      <c r="X330" s="40">
        <f t="shared" si="24"/>
        <v>271</v>
      </c>
      <c r="Y330" s="40">
        <f t="shared" si="25"/>
        <v>271</v>
      </c>
      <c r="Z330" s="105">
        <v>0.54981549815498199</v>
      </c>
      <c r="AA330" s="105">
        <v>0.45018450184501801</v>
      </c>
      <c r="AB330" s="106">
        <f>1/271</f>
        <v>3.6900369003690036E-3</v>
      </c>
      <c r="AC330" s="106">
        <f>1/271</f>
        <v>3.6900369003690036E-3</v>
      </c>
      <c r="AD330" s="106">
        <f>96/271</f>
        <v>0.35424354243542433</v>
      </c>
      <c r="AE330" s="106">
        <f>2/271</f>
        <v>7.3800738007380072E-3</v>
      </c>
      <c r="AF330" s="106">
        <v>0</v>
      </c>
      <c r="AG330" s="106">
        <f>169/271</f>
        <v>0.62361623616236161</v>
      </c>
      <c r="AH330" s="106">
        <f>2/271</f>
        <v>7.3800738007380072E-3</v>
      </c>
      <c r="AI330" s="106">
        <f>102/271</f>
        <v>0.37638376383763839</v>
      </c>
      <c r="AJ330" s="105">
        <v>0.67527675276752763</v>
      </c>
      <c r="AK330" s="105">
        <v>0</v>
      </c>
      <c r="AL330" s="12">
        <v>0</v>
      </c>
      <c r="AM330" s="12">
        <v>0</v>
      </c>
      <c r="AN330" s="12">
        <v>4</v>
      </c>
      <c r="AO330" s="12">
        <v>79</v>
      </c>
      <c r="AP330" s="12">
        <v>73</v>
      </c>
      <c r="AQ330" s="12">
        <v>60</v>
      </c>
      <c r="AR330" s="12">
        <v>55</v>
      </c>
      <c r="AS330" s="59">
        <v>4.8192771084337352E-2</v>
      </c>
      <c r="AT330" s="3">
        <v>9</v>
      </c>
      <c r="AU330" s="3">
        <v>6</v>
      </c>
      <c r="AV330" s="52">
        <v>88.1</v>
      </c>
      <c r="AW330" s="52">
        <v>11.9</v>
      </c>
      <c r="AX330" s="53">
        <v>0</v>
      </c>
      <c r="AY330" s="70">
        <v>0</v>
      </c>
      <c r="AZ330" s="59">
        <v>0.16206896551724137</v>
      </c>
      <c r="BA330" s="59">
        <v>0.13448275862068965</v>
      </c>
      <c r="BB330" s="77">
        <v>94.561698549506005</v>
      </c>
      <c r="BC330" s="49">
        <v>24.827586206896601</v>
      </c>
      <c r="BD330" s="90" t="s">
        <v>83</v>
      </c>
      <c r="BE330" s="90" t="s">
        <v>83</v>
      </c>
      <c r="BF330" s="49">
        <v>6.7</v>
      </c>
      <c r="BG330" s="49">
        <v>0</v>
      </c>
      <c r="BH330" s="49">
        <v>0</v>
      </c>
      <c r="BI330" s="49">
        <v>1.7</v>
      </c>
      <c r="BJ330" s="49">
        <v>18.7</v>
      </c>
      <c r="BK330" s="126">
        <v>14287</v>
      </c>
      <c r="BL330" s="126">
        <v>47428</v>
      </c>
      <c r="BM330" s="126">
        <v>46045</v>
      </c>
      <c r="BN330" s="133">
        <v>38045</v>
      </c>
      <c r="BO330" s="59">
        <v>0</v>
      </c>
      <c r="BP330" s="59">
        <v>0.37590000000000001</v>
      </c>
      <c r="BQ330" s="59">
        <v>0.1128</v>
      </c>
      <c r="BR330" s="59">
        <v>0</v>
      </c>
      <c r="BS330" s="59">
        <v>0</v>
      </c>
      <c r="BT330" s="49">
        <v>7.3</v>
      </c>
      <c r="BU330" s="59">
        <f t="shared" si="26"/>
        <v>0.48870000000000002</v>
      </c>
      <c r="BV330" s="59">
        <v>3.7600000000000001E-2</v>
      </c>
      <c r="BW330" s="59">
        <v>0</v>
      </c>
      <c r="BX330" s="59">
        <v>3.7600000000000001E-2</v>
      </c>
      <c r="BY330" s="59">
        <v>0</v>
      </c>
      <c r="BZ330" s="59">
        <v>0</v>
      </c>
      <c r="CA330" s="49">
        <v>24.5</v>
      </c>
      <c r="CB330" s="59">
        <f t="shared" si="27"/>
        <v>7.5200000000000003E-2</v>
      </c>
      <c r="CC330" s="59">
        <v>0.37969999999999998</v>
      </c>
      <c r="CD330" s="59">
        <v>0.43230000000000002</v>
      </c>
      <c r="CE330" s="59">
        <v>0.188</v>
      </c>
      <c r="CF330" s="59">
        <v>0</v>
      </c>
      <c r="CG330" s="59">
        <v>0</v>
      </c>
      <c r="CH330" s="49">
        <v>12.1</v>
      </c>
      <c r="CI330" s="39" t="s">
        <v>92</v>
      </c>
      <c r="CJ330" s="18" t="s">
        <v>479</v>
      </c>
      <c r="CK330" s="20"/>
    </row>
    <row r="331" spans="1:99" x14ac:dyDescent="0.25">
      <c r="A331" s="18" t="s">
        <v>479</v>
      </c>
      <c r="B331" s="39" t="s">
        <v>88</v>
      </c>
      <c r="C331" s="39" t="s">
        <v>93</v>
      </c>
      <c r="D331" s="40">
        <v>2</v>
      </c>
      <c r="E331" s="40">
        <v>0</v>
      </c>
      <c r="F331" s="40">
        <v>2</v>
      </c>
      <c r="G331" s="163">
        <v>0</v>
      </c>
      <c r="H331" s="163">
        <v>0</v>
      </c>
      <c r="I331" s="163">
        <v>0</v>
      </c>
      <c r="J331" s="163">
        <v>0</v>
      </c>
      <c r="K331" s="163">
        <v>1</v>
      </c>
      <c r="L331" s="163">
        <v>0</v>
      </c>
      <c r="M331" s="163">
        <v>1</v>
      </c>
      <c r="N331" s="115">
        <v>6.8259385665529002E-3</v>
      </c>
      <c r="O331" s="115">
        <v>1.03626943005181E-2</v>
      </c>
      <c r="P331" s="115">
        <v>0</v>
      </c>
      <c r="Q331" s="115">
        <v>0</v>
      </c>
      <c r="R331" s="115">
        <v>0</v>
      </c>
      <c r="S331" s="115">
        <v>0</v>
      </c>
      <c r="T331" s="115">
        <v>1.6129032258064498E-2</v>
      </c>
      <c r="U331" s="115">
        <v>0</v>
      </c>
      <c r="V331" s="115">
        <v>2.3809523809523801E-2</v>
      </c>
      <c r="W331" s="40">
        <v>274</v>
      </c>
      <c r="X331" s="40">
        <f t="shared" si="24"/>
        <v>180</v>
      </c>
      <c r="Y331" s="40">
        <f t="shared" si="25"/>
        <v>274</v>
      </c>
      <c r="Z331" s="105">
        <v>0.43795620437956201</v>
      </c>
      <c r="AA331" s="105">
        <v>0.56204379562043805</v>
      </c>
      <c r="AB331" s="106">
        <f>7/274</f>
        <v>2.5547445255474453E-2</v>
      </c>
      <c r="AC331" s="106">
        <f>1/274</f>
        <v>3.6496350364963502E-3</v>
      </c>
      <c r="AD331" s="106">
        <f>105/274</f>
        <v>0.38321167883211676</v>
      </c>
      <c r="AE331" s="106">
        <f>6/274</f>
        <v>2.1897810218978103E-2</v>
      </c>
      <c r="AF331" s="106">
        <v>0</v>
      </c>
      <c r="AG331" s="106">
        <f>150/274</f>
        <v>0.54744525547445255</v>
      </c>
      <c r="AH331" s="106">
        <f>5/274</f>
        <v>1.824817518248175E-2</v>
      </c>
      <c r="AI331" s="106">
        <f>124/274</f>
        <v>0.45255474452554745</v>
      </c>
      <c r="AJ331" s="105">
        <v>0.68613138686131392</v>
      </c>
      <c r="AK331" s="105">
        <v>0</v>
      </c>
      <c r="AL331" s="12">
        <v>39</v>
      </c>
      <c r="AM331" s="12">
        <v>55</v>
      </c>
      <c r="AN331" s="12">
        <v>9</v>
      </c>
      <c r="AO331" s="12">
        <v>31</v>
      </c>
      <c r="AP331" s="12">
        <v>59</v>
      </c>
      <c r="AQ331" s="12">
        <v>41</v>
      </c>
      <c r="AR331" s="12">
        <v>40</v>
      </c>
      <c r="AS331" s="59">
        <v>0.22500000000000001</v>
      </c>
      <c r="AT331" s="3">
        <v>7</v>
      </c>
      <c r="AU331" s="3">
        <v>6</v>
      </c>
      <c r="AV331" s="52">
        <v>90.5</v>
      </c>
      <c r="AW331" s="52">
        <v>8.4</v>
      </c>
      <c r="AX331" s="52">
        <v>1.1000000000000001</v>
      </c>
      <c r="AY331" s="70">
        <v>0</v>
      </c>
      <c r="AZ331" s="59">
        <v>0.22945205479452055</v>
      </c>
      <c r="BA331" s="59">
        <v>0.12671232876712329</v>
      </c>
      <c r="BB331" s="78">
        <v>94.623523369286104</v>
      </c>
      <c r="BC331" s="49">
        <v>28.082191780821901</v>
      </c>
      <c r="BD331" s="49">
        <v>0</v>
      </c>
      <c r="BE331" s="49">
        <v>0</v>
      </c>
      <c r="BF331" s="49">
        <v>0</v>
      </c>
      <c r="BG331" s="49">
        <v>0</v>
      </c>
      <c r="BH331" s="49">
        <v>0</v>
      </c>
      <c r="BI331" s="49">
        <v>0</v>
      </c>
      <c r="BJ331" s="49">
        <v>18.600000000000001</v>
      </c>
      <c r="BK331" s="126">
        <v>13716</v>
      </c>
      <c r="BL331" s="126">
        <v>49088</v>
      </c>
      <c r="BM331" s="126">
        <v>44915</v>
      </c>
      <c r="BN331" s="133">
        <v>35905</v>
      </c>
      <c r="BO331" s="59">
        <v>0</v>
      </c>
      <c r="BP331" s="59">
        <v>0.2928</v>
      </c>
      <c r="BQ331" s="59">
        <v>0.12690000000000001</v>
      </c>
      <c r="BR331" s="59">
        <v>1.9400000000000001E-2</v>
      </c>
      <c r="BS331" s="59">
        <v>0</v>
      </c>
      <c r="BT331" s="49">
        <v>11.2</v>
      </c>
      <c r="BU331" s="59">
        <f t="shared" si="26"/>
        <v>0.43910000000000005</v>
      </c>
      <c r="BV331" s="59">
        <v>3.8800000000000001E-2</v>
      </c>
      <c r="BW331" s="59">
        <v>0</v>
      </c>
      <c r="BX331" s="59">
        <v>3.6400000000000002E-2</v>
      </c>
      <c r="BY331" s="59">
        <v>0</v>
      </c>
      <c r="BZ331" s="59">
        <v>0</v>
      </c>
      <c r="CA331" s="49">
        <v>14.7</v>
      </c>
      <c r="CB331" s="59">
        <f t="shared" si="27"/>
        <v>7.5200000000000003E-2</v>
      </c>
      <c r="CC331" s="59">
        <v>0.4662</v>
      </c>
      <c r="CD331" s="59">
        <v>0.31219999999999998</v>
      </c>
      <c r="CE331" s="59">
        <v>0.20219999999999999</v>
      </c>
      <c r="CF331" s="59">
        <v>1.9400000000000001E-2</v>
      </c>
      <c r="CG331" s="59">
        <v>0</v>
      </c>
      <c r="CH331" s="49">
        <v>12.8</v>
      </c>
      <c r="CI331" s="39" t="s">
        <v>93</v>
      </c>
      <c r="CJ331" s="18" t="s">
        <v>479</v>
      </c>
      <c r="CK331" s="20"/>
    </row>
    <row r="332" spans="1:99" x14ac:dyDescent="0.25">
      <c r="A332" s="18" t="s">
        <v>479</v>
      </c>
      <c r="B332" s="39" t="s">
        <v>88</v>
      </c>
      <c r="C332" s="39" t="s">
        <v>94</v>
      </c>
      <c r="D332" s="40">
        <v>0</v>
      </c>
      <c r="E332" s="40">
        <v>0</v>
      </c>
      <c r="F332" s="40">
        <v>0</v>
      </c>
      <c r="G332" s="163">
        <v>0</v>
      </c>
      <c r="H332" s="163">
        <v>0</v>
      </c>
      <c r="I332" s="162" t="s">
        <v>83</v>
      </c>
      <c r="J332" s="163">
        <v>0</v>
      </c>
      <c r="K332" s="163">
        <v>0</v>
      </c>
      <c r="L332" s="163">
        <v>0</v>
      </c>
      <c r="M332" s="163">
        <v>0</v>
      </c>
      <c r="N332" s="115">
        <v>0</v>
      </c>
      <c r="O332" s="115">
        <v>0</v>
      </c>
      <c r="P332" s="115">
        <v>0</v>
      </c>
      <c r="Q332" s="115">
        <v>0</v>
      </c>
      <c r="R332" s="116" t="s">
        <v>83</v>
      </c>
      <c r="S332" s="115">
        <v>0</v>
      </c>
      <c r="T332" s="115">
        <v>0</v>
      </c>
      <c r="U332" s="115">
        <v>0</v>
      </c>
      <c r="V332" s="115">
        <v>0</v>
      </c>
      <c r="W332" s="40">
        <v>265</v>
      </c>
      <c r="X332" s="40">
        <f t="shared" si="24"/>
        <v>90</v>
      </c>
      <c r="Y332" s="40">
        <f t="shared" si="25"/>
        <v>129</v>
      </c>
      <c r="Z332" s="105">
        <v>0.50566037735849101</v>
      </c>
      <c r="AA332" s="105">
        <v>0.49433962264150899</v>
      </c>
      <c r="AB332" s="106">
        <f>5/265</f>
        <v>1.8867924528301886E-2</v>
      </c>
      <c r="AC332" s="106">
        <v>0</v>
      </c>
      <c r="AD332" s="106">
        <f>13/265</f>
        <v>4.9056603773584909E-2</v>
      </c>
      <c r="AE332" s="106">
        <f>5/265</f>
        <v>1.8867924528301886E-2</v>
      </c>
      <c r="AF332" s="106">
        <v>0</v>
      </c>
      <c r="AG332" s="106">
        <f>237/265</f>
        <v>0.89433962264150946</v>
      </c>
      <c r="AH332" s="106">
        <f>5/265</f>
        <v>1.8867924528301886E-2</v>
      </c>
      <c r="AI332" s="106">
        <f>28/265</f>
        <v>0.10566037735849057</v>
      </c>
      <c r="AJ332" s="105">
        <v>0.63773584905660374</v>
      </c>
      <c r="AK332" s="105">
        <v>3.77358490566038E-3</v>
      </c>
      <c r="AL332" s="12">
        <v>17</v>
      </c>
      <c r="AM332" s="12">
        <v>22</v>
      </c>
      <c r="AN332" s="12">
        <v>0</v>
      </c>
      <c r="AO332" s="12">
        <v>24</v>
      </c>
      <c r="AP332" s="12">
        <v>23</v>
      </c>
      <c r="AQ332" s="12">
        <v>22</v>
      </c>
      <c r="AR332" s="12">
        <v>21</v>
      </c>
      <c r="AS332" s="59">
        <v>0</v>
      </c>
      <c r="AT332" s="3">
        <v>1</v>
      </c>
      <c r="AU332" s="3">
        <v>6</v>
      </c>
      <c r="AV332" s="52">
        <v>84.4</v>
      </c>
      <c r="AW332" s="52">
        <v>13.5</v>
      </c>
      <c r="AX332" s="52">
        <v>2.1</v>
      </c>
      <c r="AY332" s="70">
        <v>0</v>
      </c>
      <c r="AZ332" s="59">
        <v>5.362776025236593E-2</v>
      </c>
      <c r="BA332" s="59">
        <v>6.6246056782334389E-2</v>
      </c>
      <c r="BB332" s="77">
        <v>94.133327736031205</v>
      </c>
      <c r="BC332" s="49">
        <v>28.145695364238399</v>
      </c>
      <c r="BD332" s="49">
        <v>0</v>
      </c>
      <c r="BE332" s="49">
        <v>4.5</v>
      </c>
      <c r="BF332" s="49">
        <v>0</v>
      </c>
      <c r="BG332" s="49">
        <v>0</v>
      </c>
      <c r="BH332" s="49">
        <v>0</v>
      </c>
      <c r="BI332" s="49">
        <v>19</v>
      </c>
      <c r="BJ332" s="49">
        <v>19</v>
      </c>
      <c r="BK332" s="126">
        <v>12358</v>
      </c>
      <c r="BL332" s="126">
        <v>46128</v>
      </c>
      <c r="BM332" s="126">
        <v>40569</v>
      </c>
      <c r="BN332" s="133">
        <v>34653</v>
      </c>
      <c r="BO332" s="59">
        <v>0</v>
      </c>
      <c r="BP332" s="59">
        <v>0.43190000000000001</v>
      </c>
      <c r="BQ332" s="59">
        <v>5.16E-2</v>
      </c>
      <c r="BR332" s="59">
        <v>0</v>
      </c>
      <c r="BS332" s="59">
        <v>0</v>
      </c>
      <c r="BT332" s="49">
        <v>8.6</v>
      </c>
      <c r="BU332" s="59">
        <f t="shared" si="26"/>
        <v>0.48349999999999999</v>
      </c>
      <c r="BV332" s="59">
        <v>4.1300000000000003E-2</v>
      </c>
      <c r="BW332" s="59">
        <v>0</v>
      </c>
      <c r="BX332" s="59">
        <v>4.1300000000000003E-2</v>
      </c>
      <c r="BY332" s="59">
        <v>0</v>
      </c>
      <c r="BZ332" s="59">
        <v>0</v>
      </c>
      <c r="CA332" s="49">
        <v>10.5</v>
      </c>
      <c r="CB332" s="59">
        <f t="shared" si="27"/>
        <v>8.2600000000000007E-2</v>
      </c>
      <c r="CC332" s="59">
        <v>0.43380000000000002</v>
      </c>
      <c r="CD332" s="59">
        <v>0.4526</v>
      </c>
      <c r="CE332" s="59">
        <v>0.11360000000000001</v>
      </c>
      <c r="CF332" s="59">
        <v>0</v>
      </c>
      <c r="CG332" s="59">
        <v>0</v>
      </c>
      <c r="CH332" s="49">
        <v>10.3</v>
      </c>
      <c r="CI332" s="39" t="s">
        <v>94</v>
      </c>
      <c r="CJ332" s="18" t="s">
        <v>479</v>
      </c>
      <c r="CK332" s="20"/>
    </row>
    <row r="333" spans="1:99" x14ac:dyDescent="0.25">
      <c r="A333" s="18" t="s">
        <v>479</v>
      </c>
      <c r="B333" s="39" t="s">
        <v>95</v>
      </c>
      <c r="C333" s="39" t="s">
        <v>96</v>
      </c>
      <c r="D333" s="40">
        <v>21</v>
      </c>
      <c r="E333" s="40" t="s">
        <v>83</v>
      </c>
      <c r="F333" s="40">
        <v>21</v>
      </c>
      <c r="G333" s="162" t="s">
        <v>83</v>
      </c>
      <c r="H333" s="162" t="s">
        <v>83</v>
      </c>
      <c r="I333" s="163">
        <v>1</v>
      </c>
      <c r="J333" s="163">
        <v>3</v>
      </c>
      <c r="K333" s="163">
        <v>8</v>
      </c>
      <c r="L333" s="163">
        <v>6</v>
      </c>
      <c r="M333" s="163">
        <v>3</v>
      </c>
      <c r="N333" s="115">
        <v>4.15841584158416E-2</v>
      </c>
      <c r="O333" s="115">
        <v>4.15841584158416E-2</v>
      </c>
      <c r="P333" s="116" t="s">
        <v>83</v>
      </c>
      <c r="Q333" s="116" t="s">
        <v>83</v>
      </c>
      <c r="R333" s="115">
        <v>5.8823529411764698E-2</v>
      </c>
      <c r="S333" s="115">
        <v>2.32558139534884E-2</v>
      </c>
      <c r="T333" s="115">
        <v>6.4516129032258104E-2</v>
      </c>
      <c r="U333" s="115">
        <v>5.0847457627118599E-2</v>
      </c>
      <c r="V333" s="115">
        <v>2.5641025641025599E-2</v>
      </c>
      <c r="W333" s="40">
        <v>464</v>
      </c>
      <c r="X333" s="40">
        <f t="shared" si="24"/>
        <v>464</v>
      </c>
      <c r="Y333" s="40">
        <f t="shared" si="25"/>
        <v>464</v>
      </c>
      <c r="Z333" s="105">
        <v>0.46551724137931</v>
      </c>
      <c r="AA333" s="105">
        <v>0.53448275862068995</v>
      </c>
      <c r="AB333" s="106">
        <f>2/464</f>
        <v>4.3103448275862068E-3</v>
      </c>
      <c r="AC333" s="106">
        <v>0</v>
      </c>
      <c r="AD333" s="106">
        <f>439/464</f>
        <v>0.94612068965517238</v>
      </c>
      <c r="AE333" s="106">
        <f>2/464</f>
        <v>4.3103448275862068E-3</v>
      </c>
      <c r="AF333" s="106">
        <v>0</v>
      </c>
      <c r="AG333" s="106">
        <f>21/464</f>
        <v>4.5258620689655173E-2</v>
      </c>
      <c r="AH333" s="106">
        <v>0</v>
      </c>
      <c r="AI333" s="106">
        <f>443/464</f>
        <v>0.95474137931034486</v>
      </c>
      <c r="AJ333" s="105">
        <v>0.875</v>
      </c>
      <c r="AK333" s="105">
        <v>0</v>
      </c>
      <c r="AL333" s="12">
        <v>0</v>
      </c>
      <c r="AM333" s="12">
        <v>0</v>
      </c>
      <c r="AN333" s="12">
        <v>16</v>
      </c>
      <c r="AO333" s="12">
        <v>113</v>
      </c>
      <c r="AP333" s="12">
        <v>113</v>
      </c>
      <c r="AQ333" s="12">
        <v>123</v>
      </c>
      <c r="AR333" s="12">
        <v>99</v>
      </c>
      <c r="AS333" s="59">
        <v>0.12403100775193798</v>
      </c>
      <c r="AT333" s="3">
        <v>9</v>
      </c>
      <c r="AU333" s="3">
        <v>6</v>
      </c>
      <c r="AV333" s="52">
        <v>58.8</v>
      </c>
      <c r="AW333" s="52">
        <v>29.2</v>
      </c>
      <c r="AX333" s="52">
        <v>10.6</v>
      </c>
      <c r="AY333" s="71">
        <v>1.3</v>
      </c>
      <c r="AZ333" s="59">
        <v>7.8313253012048195E-2</v>
      </c>
      <c r="BA333" s="59">
        <v>0.30522088353413657</v>
      </c>
      <c r="BB333" s="78">
        <v>91.488794023479201</v>
      </c>
      <c r="BC333" s="49">
        <v>14.658634538152601</v>
      </c>
      <c r="BD333" s="90" t="s">
        <v>83</v>
      </c>
      <c r="BE333" s="90" t="s">
        <v>83</v>
      </c>
      <c r="BF333" s="49">
        <v>7.3</v>
      </c>
      <c r="BG333" s="49">
        <v>3.6</v>
      </c>
      <c r="BH333" s="49">
        <v>3.6</v>
      </c>
      <c r="BI333" s="49">
        <v>0.9</v>
      </c>
      <c r="BJ333" s="49">
        <v>16.8</v>
      </c>
      <c r="BK333" s="126">
        <v>15638</v>
      </c>
      <c r="BL333" s="126">
        <v>58047</v>
      </c>
      <c r="BM333" s="126">
        <v>50938</v>
      </c>
      <c r="BN333" s="133">
        <v>44772</v>
      </c>
      <c r="BO333" s="59">
        <v>0</v>
      </c>
      <c r="BP333" s="59">
        <v>0.2417</v>
      </c>
      <c r="BQ333" s="59">
        <v>0.1996</v>
      </c>
      <c r="BR333" s="59">
        <v>0</v>
      </c>
      <c r="BS333" s="59">
        <v>1.2800000000000001E-2</v>
      </c>
      <c r="BT333" s="49">
        <v>9.8000000000000007</v>
      </c>
      <c r="BU333" s="59">
        <f t="shared" si="26"/>
        <v>0.4541</v>
      </c>
      <c r="BV333" s="59">
        <v>5.1299999999999998E-2</v>
      </c>
      <c r="BW333" s="59">
        <v>0</v>
      </c>
      <c r="BX333" s="59">
        <v>4.9599999999999998E-2</v>
      </c>
      <c r="BY333" s="59">
        <v>0</v>
      </c>
      <c r="BZ333" s="59">
        <v>0</v>
      </c>
      <c r="CA333" s="49">
        <v>11.7</v>
      </c>
      <c r="CB333" s="59">
        <f t="shared" si="27"/>
        <v>0.10089999999999999</v>
      </c>
      <c r="CC333" s="59">
        <v>0.39900000000000002</v>
      </c>
      <c r="CD333" s="59">
        <v>0.26729999999999998</v>
      </c>
      <c r="CE333" s="59">
        <v>0.32079999999999997</v>
      </c>
      <c r="CF333" s="59">
        <v>0</v>
      </c>
      <c r="CG333" s="59">
        <v>1.2800000000000001E-2</v>
      </c>
      <c r="CH333" s="49">
        <v>10.4</v>
      </c>
      <c r="CI333" s="39" t="s">
        <v>96</v>
      </c>
      <c r="CJ333" s="18" t="s">
        <v>479</v>
      </c>
      <c r="CK333" s="20"/>
    </row>
    <row r="334" spans="1:99" x14ac:dyDescent="0.25">
      <c r="A334" s="18" t="s">
        <v>479</v>
      </c>
      <c r="B334" s="39" t="s">
        <v>95</v>
      </c>
      <c r="C334" s="39" t="s">
        <v>97</v>
      </c>
      <c r="D334" s="40">
        <v>54</v>
      </c>
      <c r="E334" s="40" t="s">
        <v>83</v>
      </c>
      <c r="F334" s="40">
        <v>54</v>
      </c>
      <c r="G334" s="162" t="s">
        <v>83</v>
      </c>
      <c r="H334" s="162" t="s">
        <v>83</v>
      </c>
      <c r="I334" s="163">
        <v>0</v>
      </c>
      <c r="J334" s="163">
        <v>11</v>
      </c>
      <c r="K334" s="163">
        <v>15</v>
      </c>
      <c r="L334" s="163">
        <v>16</v>
      </c>
      <c r="M334" s="163">
        <v>12</v>
      </c>
      <c r="N334" s="115">
        <v>2.6614095613602801E-2</v>
      </c>
      <c r="O334" s="115">
        <v>2.6614095613602801E-2</v>
      </c>
      <c r="P334" s="116" t="s">
        <v>83</v>
      </c>
      <c r="Q334" s="116" t="s">
        <v>83</v>
      </c>
      <c r="R334" s="115">
        <v>0</v>
      </c>
      <c r="S334" s="115">
        <v>2.00364298724954E-2</v>
      </c>
      <c r="T334" s="115">
        <v>2.8901734104046201E-2</v>
      </c>
      <c r="U334" s="115">
        <v>3.2989690721649499E-2</v>
      </c>
      <c r="V334" s="115">
        <v>2.7149321266968299E-2</v>
      </c>
      <c r="W334" s="40">
        <v>1905</v>
      </c>
      <c r="X334" s="40">
        <f t="shared" si="24"/>
        <v>1905</v>
      </c>
      <c r="Y334" s="40">
        <f t="shared" si="25"/>
        <v>1905</v>
      </c>
      <c r="Z334" s="105">
        <v>0.49711286089238799</v>
      </c>
      <c r="AA334" s="105">
        <v>0.50288713910761196</v>
      </c>
      <c r="AB334" s="106">
        <f>10/1905</f>
        <v>5.2493438320209973E-3</v>
      </c>
      <c r="AC334" s="106">
        <f>19/1905</f>
        <v>9.9737532808398949E-3</v>
      </c>
      <c r="AD334" s="106">
        <f>789/1905</f>
        <v>0.4141732283464567</v>
      </c>
      <c r="AE334" s="106">
        <f>249/1905</f>
        <v>0.13070866141732285</v>
      </c>
      <c r="AF334" s="106">
        <f>4/1905</f>
        <v>2.0997375328083989E-3</v>
      </c>
      <c r="AG334" s="106">
        <f>821/1905</f>
        <v>0.43097112860892389</v>
      </c>
      <c r="AH334" s="106">
        <f>13/1905</f>
        <v>6.8241469816272965E-3</v>
      </c>
      <c r="AI334" s="106">
        <f>1084/1905</f>
        <v>0.56902887139107616</v>
      </c>
      <c r="AJ334" s="105">
        <v>0.53543307086614178</v>
      </c>
      <c r="AK334" s="105">
        <v>2.9921259842519699E-2</v>
      </c>
      <c r="AL334" s="12">
        <v>0</v>
      </c>
      <c r="AM334" s="12">
        <v>0</v>
      </c>
      <c r="AN334" s="12">
        <v>32</v>
      </c>
      <c r="AO334" s="12">
        <v>504</v>
      </c>
      <c r="AP334" s="12">
        <v>491</v>
      </c>
      <c r="AQ334" s="12">
        <v>454</v>
      </c>
      <c r="AR334" s="12">
        <v>424</v>
      </c>
      <c r="AS334" s="59">
        <v>5.9701492537313432E-2</v>
      </c>
      <c r="AT334" s="3">
        <v>9</v>
      </c>
      <c r="AU334" s="3">
        <v>6</v>
      </c>
      <c r="AV334" s="52">
        <v>47.6</v>
      </c>
      <c r="AW334" s="52">
        <v>28.8</v>
      </c>
      <c r="AX334" s="52">
        <v>20</v>
      </c>
      <c r="AY334" s="71">
        <v>3.6</v>
      </c>
      <c r="AZ334" s="59">
        <v>0.16317365269461079</v>
      </c>
      <c r="BA334" s="59">
        <v>8.3333333333333329E-2</v>
      </c>
      <c r="BB334" s="77">
        <v>94.519614687438803</v>
      </c>
      <c r="BC334" s="49">
        <v>16.387795275590499</v>
      </c>
      <c r="BD334" s="90" t="s">
        <v>83</v>
      </c>
      <c r="BE334" s="90" t="s">
        <v>83</v>
      </c>
      <c r="BF334" s="49">
        <v>11.1</v>
      </c>
      <c r="BG334" s="49">
        <v>3.9</v>
      </c>
      <c r="BH334" s="49">
        <v>1.8</v>
      </c>
      <c r="BI334" s="49">
        <v>3.5</v>
      </c>
      <c r="BJ334" s="49">
        <v>19.2</v>
      </c>
      <c r="BK334" s="126">
        <v>11120</v>
      </c>
      <c r="BL334" s="126">
        <v>52445</v>
      </c>
      <c r="BM334" s="126">
        <v>52064</v>
      </c>
      <c r="BN334" s="133">
        <v>45115</v>
      </c>
      <c r="BO334" s="59">
        <v>0</v>
      </c>
      <c r="BP334" s="59">
        <v>0.38369999999999999</v>
      </c>
      <c r="BQ334" s="59">
        <v>0.21629999999999999</v>
      </c>
      <c r="BR334" s="59">
        <v>0</v>
      </c>
      <c r="BS334" s="59">
        <v>1.4500000000000001E-2</v>
      </c>
      <c r="BT334" s="49">
        <v>10.7</v>
      </c>
      <c r="BU334" s="59">
        <f t="shared" si="26"/>
        <v>0.61449999999999994</v>
      </c>
      <c r="BV334" s="59">
        <v>2.4199999999999999E-2</v>
      </c>
      <c r="BW334" s="59">
        <v>4.7999999999999996E-3</v>
      </c>
      <c r="BX334" s="59">
        <v>2.9000000000000001E-2</v>
      </c>
      <c r="BY334" s="59">
        <v>0</v>
      </c>
      <c r="BZ334" s="59">
        <v>4.7999999999999996E-3</v>
      </c>
      <c r="CA334" s="49">
        <v>11</v>
      </c>
      <c r="CB334" s="59">
        <f t="shared" si="27"/>
        <v>6.2799999999999995E-2</v>
      </c>
      <c r="CC334" s="59">
        <v>0.2787</v>
      </c>
      <c r="CD334" s="59">
        <v>0.40300000000000002</v>
      </c>
      <c r="CE334" s="59">
        <v>0.29770000000000002</v>
      </c>
      <c r="CF334" s="59">
        <v>1.1999999999999999E-3</v>
      </c>
      <c r="CG334" s="59">
        <v>1.9300000000000001E-2</v>
      </c>
      <c r="CH334" s="49">
        <v>10.5</v>
      </c>
      <c r="CI334" s="39" t="s">
        <v>97</v>
      </c>
      <c r="CJ334" s="18" t="s">
        <v>479</v>
      </c>
      <c r="CK334" s="20"/>
    </row>
    <row r="335" spans="1:99" x14ac:dyDescent="0.25">
      <c r="A335" s="18" t="s">
        <v>479</v>
      </c>
      <c r="B335" s="39" t="s">
        <v>95</v>
      </c>
      <c r="C335" s="39" t="s">
        <v>98</v>
      </c>
      <c r="D335" s="40">
        <v>31</v>
      </c>
      <c r="E335" s="40" t="s">
        <v>83</v>
      </c>
      <c r="F335" s="40">
        <v>31</v>
      </c>
      <c r="G335" s="162" t="s">
        <v>83</v>
      </c>
      <c r="H335" s="162" t="s">
        <v>83</v>
      </c>
      <c r="I335" s="163">
        <v>0</v>
      </c>
      <c r="J335" s="163">
        <v>8</v>
      </c>
      <c r="K335" s="163">
        <v>11</v>
      </c>
      <c r="L335" s="163">
        <v>11</v>
      </c>
      <c r="M335" s="163">
        <v>1</v>
      </c>
      <c r="N335" s="115">
        <v>1.4719848053181399E-2</v>
      </c>
      <c r="O335" s="115">
        <v>1.4719848053181399E-2</v>
      </c>
      <c r="P335" s="116" t="s">
        <v>83</v>
      </c>
      <c r="Q335" s="116" t="s">
        <v>83</v>
      </c>
      <c r="R335" s="115">
        <v>0</v>
      </c>
      <c r="S335" s="115">
        <v>1.36286201022147E-2</v>
      </c>
      <c r="T335" s="115">
        <v>2.05223880597015E-2</v>
      </c>
      <c r="U335" s="115">
        <v>2.1072796934865901E-2</v>
      </c>
      <c r="V335" s="115">
        <v>2.2522522522522501E-3</v>
      </c>
      <c r="W335" s="40">
        <v>2009</v>
      </c>
      <c r="X335" s="40">
        <f t="shared" si="24"/>
        <v>2009</v>
      </c>
      <c r="Y335" s="40">
        <f t="shared" si="25"/>
        <v>2009</v>
      </c>
      <c r="Z335" s="105">
        <v>0.47386759581881499</v>
      </c>
      <c r="AA335" s="105">
        <v>0.52613240418118501</v>
      </c>
      <c r="AB335" s="106">
        <f>11/2009</f>
        <v>5.4753608760577405E-3</v>
      </c>
      <c r="AC335" s="106">
        <f>5/2009</f>
        <v>2.4888003982080635E-3</v>
      </c>
      <c r="AD335" s="106">
        <f>299/2009</f>
        <v>0.1488302638128422</v>
      </c>
      <c r="AE335" s="106">
        <f>88/2009</f>
        <v>4.3802887008461924E-2</v>
      </c>
      <c r="AF335" s="106">
        <f>2/2009</f>
        <v>9.9552015928322545E-4</v>
      </c>
      <c r="AG335" s="106">
        <f>1583/2009</f>
        <v>0.78795420607267297</v>
      </c>
      <c r="AH335" s="106">
        <f>21/2009</f>
        <v>1.0452961672473868E-2</v>
      </c>
      <c r="AI335" s="106">
        <f>426/2009</f>
        <v>0.21204579392732703</v>
      </c>
      <c r="AJ335" s="105">
        <v>0.38078646092583374</v>
      </c>
      <c r="AK335" s="105">
        <v>7.4664011946241901E-3</v>
      </c>
      <c r="AL335" s="12">
        <v>0</v>
      </c>
      <c r="AM335" s="12">
        <v>0</v>
      </c>
      <c r="AN335" s="12">
        <v>16</v>
      </c>
      <c r="AO335" s="12">
        <v>542</v>
      </c>
      <c r="AP335" s="12">
        <v>508</v>
      </c>
      <c r="AQ335" s="12">
        <v>504</v>
      </c>
      <c r="AR335" s="12">
        <v>439</v>
      </c>
      <c r="AS335" s="59">
        <v>2.8673835125448029E-2</v>
      </c>
      <c r="AT335" s="3">
        <v>9</v>
      </c>
      <c r="AU335" s="3">
        <v>6</v>
      </c>
      <c r="AV335" s="52">
        <v>40.1</v>
      </c>
      <c r="AW335" s="52">
        <v>36.299999999999997</v>
      </c>
      <c r="AX335" s="52">
        <v>21.3</v>
      </c>
      <c r="AY335" s="71">
        <v>2.2999999999999998</v>
      </c>
      <c r="AZ335" s="59">
        <v>9.9856665074056383E-2</v>
      </c>
      <c r="BA335" s="59">
        <v>5.7811753463927376E-2</v>
      </c>
      <c r="BB335" s="78">
        <v>94.747289861232801</v>
      </c>
      <c r="BC335" s="49">
        <v>2.6901669758812599</v>
      </c>
      <c r="BD335" s="90" t="s">
        <v>83</v>
      </c>
      <c r="BE335" s="90" t="s">
        <v>83</v>
      </c>
      <c r="BF335" s="49">
        <v>4.5999999999999996</v>
      </c>
      <c r="BG335" s="49">
        <v>3.1</v>
      </c>
      <c r="BH335" s="49">
        <v>3.3</v>
      </c>
      <c r="BI335" s="49">
        <v>0</v>
      </c>
      <c r="BJ335" s="49">
        <v>20.399999999999999</v>
      </c>
      <c r="BK335" s="126">
        <v>10037</v>
      </c>
      <c r="BL335" s="126">
        <v>52458</v>
      </c>
      <c r="BM335" s="126">
        <v>50413</v>
      </c>
      <c r="BN335" s="133">
        <v>45762</v>
      </c>
      <c r="BO335" s="59">
        <v>0</v>
      </c>
      <c r="BP335" s="59">
        <v>0.47060000000000002</v>
      </c>
      <c r="BQ335" s="59">
        <v>0.18410000000000001</v>
      </c>
      <c r="BR335" s="59">
        <v>5.3E-3</v>
      </c>
      <c r="BS335" s="59">
        <v>5.3E-3</v>
      </c>
      <c r="BT335" s="49">
        <v>9.9</v>
      </c>
      <c r="BU335" s="59">
        <f t="shared" si="26"/>
        <v>0.6653</v>
      </c>
      <c r="BV335" s="59">
        <v>2.6700000000000002E-2</v>
      </c>
      <c r="BW335" s="59">
        <v>0</v>
      </c>
      <c r="BX335" s="59">
        <v>2.1399999999999999E-2</v>
      </c>
      <c r="BY335" s="59">
        <v>5.3E-3</v>
      </c>
      <c r="BZ335" s="59">
        <v>0</v>
      </c>
      <c r="CA335" s="49">
        <v>15.3</v>
      </c>
      <c r="CB335" s="59">
        <f t="shared" si="27"/>
        <v>5.3400000000000003E-2</v>
      </c>
      <c r="CC335" s="59">
        <v>0.24729999999999999</v>
      </c>
      <c r="CD335" s="59">
        <v>0.48659999999999998</v>
      </c>
      <c r="CE335" s="59">
        <v>0.2394</v>
      </c>
      <c r="CF335" s="59">
        <v>2.1399999999999999E-2</v>
      </c>
      <c r="CG335" s="59">
        <v>5.3E-3</v>
      </c>
      <c r="CH335" s="49">
        <v>9.8000000000000007</v>
      </c>
      <c r="CI335" s="39" t="s">
        <v>98</v>
      </c>
      <c r="CJ335" s="18" t="s">
        <v>479</v>
      </c>
      <c r="CK335" s="20"/>
    </row>
    <row r="336" spans="1:99" x14ac:dyDescent="0.25">
      <c r="A336" s="18" t="s">
        <v>479</v>
      </c>
      <c r="B336" s="39" t="s">
        <v>95</v>
      </c>
      <c r="C336" s="39" t="s">
        <v>99</v>
      </c>
      <c r="D336" s="40">
        <v>40</v>
      </c>
      <c r="E336" s="40" t="s">
        <v>83</v>
      </c>
      <c r="F336" s="40">
        <v>40</v>
      </c>
      <c r="G336" s="162" t="s">
        <v>83</v>
      </c>
      <c r="H336" s="162" t="s">
        <v>83</v>
      </c>
      <c r="I336" s="163">
        <v>0</v>
      </c>
      <c r="J336" s="163">
        <v>11</v>
      </c>
      <c r="K336" s="163">
        <v>10</v>
      </c>
      <c r="L336" s="163">
        <v>8</v>
      </c>
      <c r="M336" s="163">
        <v>11</v>
      </c>
      <c r="N336" s="115">
        <v>1.7652250661959398E-2</v>
      </c>
      <c r="O336" s="115">
        <v>1.7652250661959398E-2</v>
      </c>
      <c r="P336" s="116" t="s">
        <v>83</v>
      </c>
      <c r="Q336" s="116" t="s">
        <v>83</v>
      </c>
      <c r="R336" s="115">
        <v>0</v>
      </c>
      <c r="S336" s="115">
        <v>1.6742770167427701E-2</v>
      </c>
      <c r="T336" s="115">
        <v>1.68350168350168E-2</v>
      </c>
      <c r="U336" s="115">
        <v>1.58102766798419E-2</v>
      </c>
      <c r="V336" s="115">
        <v>2.23577235772358E-2</v>
      </c>
      <c r="W336" s="40">
        <v>2142</v>
      </c>
      <c r="X336" s="40">
        <f t="shared" si="24"/>
        <v>2142</v>
      </c>
      <c r="Y336" s="40">
        <f t="shared" si="25"/>
        <v>2142</v>
      </c>
      <c r="Z336" s="105">
        <v>0.49953314659197001</v>
      </c>
      <c r="AA336" s="105">
        <v>0.50046685340802999</v>
      </c>
      <c r="AB336" s="106">
        <f>9/2142</f>
        <v>4.2016806722689074E-3</v>
      </c>
      <c r="AC336" s="106">
        <f>44/2142</f>
        <v>2.0541549953314659E-2</v>
      </c>
      <c r="AD336" s="106">
        <f>468/2142</f>
        <v>0.21848739495798319</v>
      </c>
      <c r="AE336" s="106">
        <f>78/2142</f>
        <v>3.6414565826330535E-2</v>
      </c>
      <c r="AF336" s="106">
        <f>2/2142</f>
        <v>9.3370681605975728E-4</v>
      </c>
      <c r="AG336" s="106">
        <f>1515/2142</f>
        <v>0.70728291316526615</v>
      </c>
      <c r="AH336" s="106">
        <f>26/2142</f>
        <v>1.2138188608776844E-2</v>
      </c>
      <c r="AI336" s="106">
        <f>627/2142</f>
        <v>0.29271708683473391</v>
      </c>
      <c r="AJ336" s="105">
        <v>0.25676937441643322</v>
      </c>
      <c r="AK336" s="105">
        <v>4.20168067226891E-3</v>
      </c>
      <c r="AL336" s="12">
        <v>0</v>
      </c>
      <c r="AM336" s="12">
        <v>0</v>
      </c>
      <c r="AN336" s="12">
        <v>8</v>
      </c>
      <c r="AO336" s="12">
        <v>621</v>
      </c>
      <c r="AP336" s="12">
        <v>567</v>
      </c>
      <c r="AQ336" s="12">
        <v>475</v>
      </c>
      <c r="AR336" s="12">
        <v>471</v>
      </c>
      <c r="AS336" s="59">
        <v>1.2718600953895072E-2</v>
      </c>
      <c r="AT336" s="3">
        <v>9</v>
      </c>
      <c r="AU336" s="3">
        <v>6</v>
      </c>
      <c r="AV336" s="52">
        <v>37.4</v>
      </c>
      <c r="AW336" s="52">
        <v>29.4</v>
      </c>
      <c r="AX336" s="52">
        <v>30</v>
      </c>
      <c r="AY336" s="71">
        <v>3.2</v>
      </c>
      <c r="AZ336" s="59">
        <v>0.11403118040089087</v>
      </c>
      <c r="BA336" s="59">
        <v>2.5389755011135856E-2</v>
      </c>
      <c r="BB336" s="77">
        <v>95.531380640470701</v>
      </c>
      <c r="BC336" s="49">
        <v>0.838852097130243</v>
      </c>
      <c r="BD336" s="90" t="s">
        <v>83</v>
      </c>
      <c r="BE336" s="90" t="s">
        <v>83</v>
      </c>
      <c r="BF336" s="49">
        <v>4.7</v>
      </c>
      <c r="BG336" s="49">
        <v>2.9</v>
      </c>
      <c r="BH336" s="49">
        <v>8.8000000000000007</v>
      </c>
      <c r="BI336" s="49">
        <v>2.7</v>
      </c>
      <c r="BJ336" s="49">
        <v>22.4</v>
      </c>
      <c r="BK336" s="126">
        <v>9548</v>
      </c>
      <c r="BL336" s="126">
        <v>53764</v>
      </c>
      <c r="BM336" s="126">
        <v>62794</v>
      </c>
      <c r="BN336" s="133">
        <v>45820</v>
      </c>
      <c r="BO336" s="59">
        <v>0</v>
      </c>
      <c r="BP336" s="59">
        <v>0.37580000000000002</v>
      </c>
      <c r="BQ336" s="59">
        <v>0.24510000000000001</v>
      </c>
      <c r="BR336" s="59">
        <v>5.3E-3</v>
      </c>
      <c r="BS336" s="59">
        <v>2.1499999999999998E-2</v>
      </c>
      <c r="BT336" s="49">
        <v>12.1</v>
      </c>
      <c r="BU336" s="59">
        <f t="shared" si="26"/>
        <v>0.64769999999999994</v>
      </c>
      <c r="BV336" s="59">
        <v>2.1299999999999999E-2</v>
      </c>
      <c r="BW336" s="59">
        <v>0</v>
      </c>
      <c r="BX336" s="59">
        <v>2.0199999999999999E-2</v>
      </c>
      <c r="BY336" s="59">
        <v>0</v>
      </c>
      <c r="BZ336" s="59">
        <v>0</v>
      </c>
      <c r="CA336" s="49">
        <v>17.8</v>
      </c>
      <c r="CB336" s="59">
        <f t="shared" si="27"/>
        <v>4.1499999999999995E-2</v>
      </c>
      <c r="CC336" s="59">
        <v>0.27889999999999998</v>
      </c>
      <c r="CD336" s="59">
        <v>0.37580000000000002</v>
      </c>
      <c r="CE336" s="59">
        <v>0.31319999999999998</v>
      </c>
      <c r="CF336" s="59">
        <v>1.06E-2</v>
      </c>
      <c r="CG336" s="59">
        <v>2.1499999999999998E-2</v>
      </c>
      <c r="CH336" s="49">
        <v>11.2</v>
      </c>
      <c r="CI336" s="39" t="s">
        <v>99</v>
      </c>
      <c r="CJ336" s="18" t="s">
        <v>479</v>
      </c>
      <c r="CK336" s="20"/>
    </row>
    <row r="337" spans="1:89" x14ac:dyDescent="0.25">
      <c r="A337" s="18" t="s">
        <v>479</v>
      </c>
      <c r="B337" s="39" t="s">
        <v>100</v>
      </c>
      <c r="C337" s="39" t="s">
        <v>101</v>
      </c>
      <c r="D337" s="40">
        <v>36</v>
      </c>
      <c r="E337" s="40" t="s">
        <v>83</v>
      </c>
      <c r="F337" s="40">
        <v>36</v>
      </c>
      <c r="G337" s="162" t="s">
        <v>83</v>
      </c>
      <c r="H337" s="162" t="s">
        <v>83</v>
      </c>
      <c r="I337" s="163">
        <v>1</v>
      </c>
      <c r="J337" s="163">
        <v>3</v>
      </c>
      <c r="K337" s="163">
        <v>8</v>
      </c>
      <c r="L337" s="163">
        <v>14</v>
      </c>
      <c r="M337" s="163">
        <v>10</v>
      </c>
      <c r="N337" s="115">
        <v>3.2461677186654603E-2</v>
      </c>
      <c r="O337" s="115">
        <v>3.2461677186654603E-2</v>
      </c>
      <c r="P337" s="116" t="s">
        <v>83</v>
      </c>
      <c r="Q337" s="116" t="s">
        <v>83</v>
      </c>
      <c r="R337" s="115">
        <v>2.5000000000000001E-2</v>
      </c>
      <c r="S337" s="115">
        <v>1.0752688172042999E-2</v>
      </c>
      <c r="T337" s="115">
        <v>2.54777070063694E-2</v>
      </c>
      <c r="U337" s="115">
        <v>5.7613168724279802E-2</v>
      </c>
      <c r="V337" s="115">
        <v>4.2918454935622297E-2</v>
      </c>
      <c r="W337" s="40">
        <v>1033</v>
      </c>
      <c r="X337" s="40">
        <f t="shared" si="24"/>
        <v>1033</v>
      </c>
      <c r="Y337" s="40">
        <f t="shared" si="25"/>
        <v>1033</v>
      </c>
      <c r="Z337" s="105">
        <v>0.48789932236205202</v>
      </c>
      <c r="AA337" s="105">
        <v>0.51210067763794798</v>
      </c>
      <c r="AB337" s="106">
        <f>2/1033</f>
        <v>1.9361084220716361E-3</v>
      </c>
      <c r="AC337" s="106">
        <f>4/1033</f>
        <v>3.8722168441432721E-3</v>
      </c>
      <c r="AD337" s="106">
        <f>388/1033</f>
        <v>0.37560503388189737</v>
      </c>
      <c r="AE337" s="106">
        <f>41/1033</f>
        <v>3.9690222652468542E-2</v>
      </c>
      <c r="AF337" s="106">
        <v>0</v>
      </c>
      <c r="AG337" s="106">
        <f>596/1033</f>
        <v>0.57696030977734758</v>
      </c>
      <c r="AH337" s="106">
        <f>2/1033</f>
        <v>1.9361084220716361E-3</v>
      </c>
      <c r="AI337" s="106">
        <f>437/1033</f>
        <v>0.42303969022265248</v>
      </c>
      <c r="AJ337" s="105">
        <v>0.60987415295256531</v>
      </c>
      <c r="AK337" s="105">
        <v>1.7424975798644701E-2</v>
      </c>
      <c r="AL337" s="12">
        <v>0</v>
      </c>
      <c r="AM337" s="12">
        <v>0</v>
      </c>
      <c r="AN337" s="12">
        <v>33</v>
      </c>
      <c r="AO337" s="12">
        <v>251</v>
      </c>
      <c r="AP337" s="12">
        <v>302</v>
      </c>
      <c r="AQ337" s="12">
        <v>226</v>
      </c>
      <c r="AR337" s="12">
        <v>221</v>
      </c>
      <c r="AS337" s="59">
        <v>0.11619718309859155</v>
      </c>
      <c r="AT337" s="3">
        <v>9</v>
      </c>
      <c r="AU337" s="3">
        <v>6</v>
      </c>
      <c r="AV337" s="52">
        <v>67.8</v>
      </c>
      <c r="AW337" s="52">
        <v>23.7</v>
      </c>
      <c r="AX337" s="52">
        <v>8.1</v>
      </c>
      <c r="AY337" s="71">
        <v>0.4</v>
      </c>
      <c r="AZ337" s="59">
        <v>0.13644688644688643</v>
      </c>
      <c r="BA337" s="59">
        <v>0.11355311355311355</v>
      </c>
      <c r="BB337" s="78">
        <v>93.907489175633401</v>
      </c>
      <c r="BC337" s="49">
        <v>13.4719710669078</v>
      </c>
      <c r="BD337" s="90" t="s">
        <v>83</v>
      </c>
      <c r="BE337" s="90" t="s">
        <v>83</v>
      </c>
      <c r="BF337" s="49">
        <v>6.4</v>
      </c>
      <c r="BG337" s="49">
        <v>4.5999999999999996</v>
      </c>
      <c r="BH337" s="49">
        <v>1</v>
      </c>
      <c r="BI337" s="49">
        <v>2.2000000000000002</v>
      </c>
      <c r="BJ337" s="49">
        <v>18.3</v>
      </c>
      <c r="BK337" s="126">
        <v>12420</v>
      </c>
      <c r="BL337" s="126">
        <v>50902</v>
      </c>
      <c r="BM337" s="126">
        <v>52702</v>
      </c>
      <c r="BN337" s="133">
        <v>41182</v>
      </c>
      <c r="BO337" s="59">
        <v>4.0899999999999999E-2</v>
      </c>
      <c r="BP337" s="59">
        <v>0.30780000000000002</v>
      </c>
      <c r="BQ337" s="59">
        <v>0.2092</v>
      </c>
      <c r="BR337" s="59">
        <v>8.2000000000000007E-3</v>
      </c>
      <c r="BS337" s="59">
        <v>0</v>
      </c>
      <c r="BT337" s="49">
        <v>14.7</v>
      </c>
      <c r="BU337" s="59">
        <f t="shared" si="26"/>
        <v>0.56610000000000005</v>
      </c>
      <c r="BV337" s="59">
        <v>3.2800000000000003E-2</v>
      </c>
      <c r="BW337" s="59">
        <v>0</v>
      </c>
      <c r="BX337" s="59">
        <v>3.2800000000000003E-2</v>
      </c>
      <c r="BY337" s="59">
        <v>0</v>
      </c>
      <c r="BZ337" s="59">
        <v>0</v>
      </c>
      <c r="CA337" s="49">
        <v>16.5</v>
      </c>
      <c r="CB337" s="59">
        <f t="shared" si="27"/>
        <v>6.5600000000000006E-2</v>
      </c>
      <c r="CC337" s="59">
        <v>0.38690000000000002</v>
      </c>
      <c r="CD337" s="59">
        <v>0.3241</v>
      </c>
      <c r="CE337" s="59">
        <v>0.28079999999999999</v>
      </c>
      <c r="CF337" s="59">
        <v>8.2000000000000007E-3</v>
      </c>
      <c r="CG337" s="59">
        <v>0</v>
      </c>
      <c r="CH337" s="49">
        <v>14.8</v>
      </c>
      <c r="CI337" s="39" t="s">
        <v>101</v>
      </c>
      <c r="CJ337" s="18" t="s">
        <v>479</v>
      </c>
      <c r="CK337" s="20"/>
    </row>
    <row r="338" spans="1:89" x14ac:dyDescent="0.25">
      <c r="A338" s="18" t="s">
        <v>479</v>
      </c>
      <c r="B338" s="39" t="s">
        <v>102</v>
      </c>
      <c r="C338" s="39" t="s">
        <v>103</v>
      </c>
      <c r="D338" s="40">
        <v>19</v>
      </c>
      <c r="E338" s="40">
        <v>0</v>
      </c>
      <c r="F338" s="40">
        <v>19</v>
      </c>
      <c r="G338" s="163">
        <v>0</v>
      </c>
      <c r="H338" s="163">
        <v>0</v>
      </c>
      <c r="I338" s="163">
        <v>0</v>
      </c>
      <c r="J338" s="163">
        <v>5</v>
      </c>
      <c r="K338" s="163">
        <v>3</v>
      </c>
      <c r="L338" s="163">
        <v>8</v>
      </c>
      <c r="M338" s="163">
        <v>3</v>
      </c>
      <c r="N338" s="115">
        <v>3.3807829181494699E-2</v>
      </c>
      <c r="O338" s="115">
        <v>5.06666666666667E-2</v>
      </c>
      <c r="P338" s="115">
        <v>0</v>
      </c>
      <c r="Q338" s="115">
        <v>0</v>
      </c>
      <c r="R338" s="115">
        <v>0</v>
      </c>
      <c r="S338" s="115">
        <v>3.9682539682539701E-2</v>
      </c>
      <c r="T338" s="115">
        <v>3.5714285714285698E-2</v>
      </c>
      <c r="U338" s="115">
        <v>8.8888888888888906E-2</v>
      </c>
      <c r="V338" s="115">
        <v>4.1095890410958902E-2</v>
      </c>
      <c r="W338" s="40">
        <v>491</v>
      </c>
      <c r="X338" s="40">
        <f t="shared" si="24"/>
        <v>325</v>
      </c>
      <c r="Y338" s="40">
        <f t="shared" si="25"/>
        <v>491</v>
      </c>
      <c r="Z338" s="105">
        <v>0.47861507128309599</v>
      </c>
      <c r="AA338" s="105">
        <v>0.52138492871690401</v>
      </c>
      <c r="AB338" s="106">
        <f>1/491</f>
        <v>2.0366598778004071E-3</v>
      </c>
      <c r="AC338" s="106">
        <f>2/491</f>
        <v>4.0733197556008143E-3</v>
      </c>
      <c r="AD338" s="106">
        <f>272/491</f>
        <v>0.55397148676171082</v>
      </c>
      <c r="AE338" s="106">
        <f>10/491</f>
        <v>2.0366598778004074E-2</v>
      </c>
      <c r="AF338" s="106">
        <v>0</v>
      </c>
      <c r="AG338" s="106">
        <f>203/491</f>
        <v>0.4134419551934827</v>
      </c>
      <c r="AH338" s="106">
        <f>3/491</f>
        <v>6.1099796334012219E-3</v>
      </c>
      <c r="AI338" s="106">
        <f>288/491</f>
        <v>0.5865580448065173</v>
      </c>
      <c r="AJ338" s="105">
        <v>0.79633401221995925</v>
      </c>
      <c r="AK338" s="105">
        <v>6.1099796334012201E-3</v>
      </c>
      <c r="AL338" s="12">
        <v>77</v>
      </c>
      <c r="AM338" s="12">
        <v>89</v>
      </c>
      <c r="AN338" s="12">
        <v>2</v>
      </c>
      <c r="AO338" s="12">
        <v>109</v>
      </c>
      <c r="AP338" s="12">
        <v>75</v>
      </c>
      <c r="AQ338" s="12">
        <v>72</v>
      </c>
      <c r="AR338" s="12">
        <v>67</v>
      </c>
      <c r="AS338" s="59">
        <v>1.8018018018018018E-2</v>
      </c>
      <c r="AT338" s="3">
        <v>7</v>
      </c>
      <c r="AU338" s="3">
        <v>6</v>
      </c>
      <c r="AV338" s="52">
        <v>52.6</v>
      </c>
      <c r="AW338" s="52">
        <v>19.100000000000001</v>
      </c>
      <c r="AX338" s="52">
        <v>26.5</v>
      </c>
      <c r="AY338" s="71">
        <v>1.9</v>
      </c>
      <c r="AZ338" s="59">
        <v>0.25547445255474455</v>
      </c>
      <c r="BA338" s="59">
        <v>0.354014598540146</v>
      </c>
      <c r="BB338" s="77">
        <v>89.894665554064005</v>
      </c>
      <c r="BC338" s="49">
        <v>42.321428571428598</v>
      </c>
      <c r="BD338" s="49">
        <v>1.2</v>
      </c>
      <c r="BE338" s="49">
        <v>1.1000000000000001</v>
      </c>
      <c r="BF338" s="49">
        <v>21.1</v>
      </c>
      <c r="BG338" s="49">
        <v>0</v>
      </c>
      <c r="BH338" s="49">
        <v>3.6</v>
      </c>
      <c r="BI338" s="49">
        <v>3.9</v>
      </c>
      <c r="BJ338" s="49">
        <v>18.3</v>
      </c>
      <c r="BK338" s="126">
        <v>9649</v>
      </c>
      <c r="BL338" s="126">
        <v>45412</v>
      </c>
      <c r="BM338" s="126">
        <v>47558</v>
      </c>
      <c r="BN338" s="133">
        <v>38048</v>
      </c>
      <c r="BO338" s="59">
        <v>0</v>
      </c>
      <c r="BP338" s="59">
        <v>0.3735</v>
      </c>
      <c r="BQ338" s="59">
        <v>0.2177</v>
      </c>
      <c r="BR338" s="59">
        <v>0</v>
      </c>
      <c r="BS338" s="59">
        <v>0</v>
      </c>
      <c r="BT338" s="49">
        <v>15.3</v>
      </c>
      <c r="BU338" s="59">
        <f t="shared" si="26"/>
        <v>0.59119999999999995</v>
      </c>
      <c r="BV338" s="59">
        <v>2.18E-2</v>
      </c>
      <c r="BW338" s="59">
        <v>2.18E-2</v>
      </c>
      <c r="BX338" s="59">
        <v>4.3499999999999997E-2</v>
      </c>
      <c r="BY338" s="59">
        <v>0</v>
      </c>
      <c r="BZ338" s="59">
        <v>0</v>
      </c>
      <c r="CA338" s="49">
        <v>15.8</v>
      </c>
      <c r="CB338" s="59">
        <f t="shared" si="27"/>
        <v>8.7099999999999997E-2</v>
      </c>
      <c r="CC338" s="59">
        <v>0.3</v>
      </c>
      <c r="CD338" s="59">
        <v>0.3952</v>
      </c>
      <c r="CE338" s="59">
        <v>0.30480000000000002</v>
      </c>
      <c r="CF338" s="59">
        <v>0</v>
      </c>
      <c r="CG338" s="59">
        <v>0</v>
      </c>
      <c r="CH338" s="49">
        <v>15</v>
      </c>
      <c r="CI338" s="39" t="s">
        <v>103</v>
      </c>
      <c r="CJ338" s="18" t="s">
        <v>479</v>
      </c>
      <c r="CK338" s="20"/>
    </row>
    <row r="339" spans="1:89" x14ac:dyDescent="0.25">
      <c r="A339" s="18" t="s">
        <v>479</v>
      </c>
      <c r="B339" s="39" t="s">
        <v>102</v>
      </c>
      <c r="C339" s="39" t="s">
        <v>104</v>
      </c>
      <c r="D339" s="40">
        <v>25</v>
      </c>
      <c r="E339" s="40">
        <v>3</v>
      </c>
      <c r="F339" s="40">
        <v>22</v>
      </c>
      <c r="G339" s="163">
        <v>3</v>
      </c>
      <c r="H339" s="163">
        <v>0</v>
      </c>
      <c r="I339" s="163">
        <v>2</v>
      </c>
      <c r="J339" s="163">
        <v>12</v>
      </c>
      <c r="K339" s="163">
        <v>0</v>
      </c>
      <c r="L339" s="163">
        <v>3</v>
      </c>
      <c r="M339" s="163">
        <v>5</v>
      </c>
      <c r="N339" s="115">
        <v>2.5720164609053499E-2</v>
      </c>
      <c r="O339" s="115">
        <v>3.3898305084745797E-2</v>
      </c>
      <c r="P339" s="115">
        <v>1.5228426395939101E-2</v>
      </c>
      <c r="Q339" s="115">
        <v>0</v>
      </c>
      <c r="R339" s="115">
        <v>0.04</v>
      </c>
      <c r="S339" s="115">
        <v>6.7796610169491497E-2</v>
      </c>
      <c r="T339" s="115">
        <v>0</v>
      </c>
      <c r="U339" s="115">
        <v>2.32558139534884E-2</v>
      </c>
      <c r="V339" s="115">
        <v>4.20168067226891E-2</v>
      </c>
      <c r="W339" s="40">
        <v>894</v>
      </c>
      <c r="X339" s="40">
        <f t="shared" si="24"/>
        <v>599</v>
      </c>
      <c r="Y339" s="40">
        <f t="shared" si="25"/>
        <v>894</v>
      </c>
      <c r="Z339" s="105">
        <v>0.50111856823266199</v>
      </c>
      <c r="AA339" s="105">
        <v>0.49888143176733801</v>
      </c>
      <c r="AB339" s="106">
        <f>17/894</f>
        <v>1.901565995525727E-2</v>
      </c>
      <c r="AC339" s="106">
        <f>25/894</f>
        <v>2.7964205816554809E-2</v>
      </c>
      <c r="AD339" s="106">
        <f>409/894</f>
        <v>0.45749440715883671</v>
      </c>
      <c r="AE339" s="106">
        <f>4/894</f>
        <v>4.4742729306487695E-3</v>
      </c>
      <c r="AF339" s="106">
        <v>0</v>
      </c>
      <c r="AG339" s="106">
        <f>434/894</f>
        <v>0.4854586129753915</v>
      </c>
      <c r="AH339" s="106">
        <f>5/894</f>
        <v>5.5928411633109623E-3</v>
      </c>
      <c r="AI339" s="106">
        <f>460/894</f>
        <v>0.5145413870246085</v>
      </c>
      <c r="AJ339" s="105">
        <v>0.81655480984340045</v>
      </c>
      <c r="AK339" s="105">
        <v>1.2304250559284099E-2</v>
      </c>
      <c r="AL339" s="12">
        <v>175</v>
      </c>
      <c r="AM339" s="12">
        <v>120</v>
      </c>
      <c r="AN339" s="12">
        <v>45</v>
      </c>
      <c r="AO339" s="12">
        <v>158</v>
      </c>
      <c r="AP339" s="12">
        <v>161</v>
      </c>
      <c r="AQ339" s="12">
        <v>124</v>
      </c>
      <c r="AR339" s="12">
        <v>111</v>
      </c>
      <c r="AS339" s="59">
        <v>0.22167487684729065</v>
      </c>
      <c r="AT339" s="3">
        <v>7</v>
      </c>
      <c r="AU339" s="3">
        <v>6</v>
      </c>
      <c r="AV339" s="52">
        <v>35.1</v>
      </c>
      <c r="AW339" s="52">
        <v>21.4</v>
      </c>
      <c r="AX339" s="52">
        <v>37.200000000000003</v>
      </c>
      <c r="AY339" s="71">
        <v>6.3</v>
      </c>
      <c r="AZ339" s="59">
        <v>0.2549634273772205</v>
      </c>
      <c r="BA339" s="59">
        <v>0.27272727272727271</v>
      </c>
      <c r="BB339" s="78">
        <v>90.865869081514603</v>
      </c>
      <c r="BC339" s="49">
        <v>31.198347107438</v>
      </c>
      <c r="BD339" s="49">
        <v>15.2</v>
      </c>
      <c r="BE339" s="49">
        <v>2.6</v>
      </c>
      <c r="BF339" s="49">
        <v>0</v>
      </c>
      <c r="BG339" s="49">
        <v>0.7</v>
      </c>
      <c r="BH339" s="49">
        <v>0</v>
      </c>
      <c r="BI339" s="49">
        <v>7.1</v>
      </c>
      <c r="BJ339" s="49">
        <v>17.600000000000001</v>
      </c>
      <c r="BK339" s="126">
        <v>9096</v>
      </c>
      <c r="BL339" s="126">
        <v>43564</v>
      </c>
      <c r="BM339" s="126">
        <v>46639</v>
      </c>
      <c r="BN339" s="133">
        <v>36059</v>
      </c>
      <c r="BO339" s="59">
        <v>0</v>
      </c>
      <c r="BP339" s="59">
        <v>0.46229999999999999</v>
      </c>
      <c r="BQ339" s="59">
        <v>0.10680000000000001</v>
      </c>
      <c r="BR339" s="59">
        <v>0</v>
      </c>
      <c r="BS339" s="59">
        <v>0</v>
      </c>
      <c r="BT339" s="49">
        <v>9.1999999999999993</v>
      </c>
      <c r="BU339" s="59">
        <f t="shared" si="26"/>
        <v>0.56909999999999994</v>
      </c>
      <c r="BV339" s="59">
        <v>2.6700000000000002E-2</v>
      </c>
      <c r="BW339" s="59">
        <v>0</v>
      </c>
      <c r="BX339" s="59">
        <v>6.6699999999999995E-2</v>
      </c>
      <c r="BY339" s="59">
        <v>0</v>
      </c>
      <c r="BZ339" s="59">
        <v>0</v>
      </c>
      <c r="CA339" s="49">
        <v>11.7</v>
      </c>
      <c r="CB339" s="59">
        <f t="shared" si="27"/>
        <v>9.3399999999999997E-2</v>
      </c>
      <c r="CC339" s="59">
        <v>0.33750000000000002</v>
      </c>
      <c r="CD339" s="59">
        <v>0.47560000000000002</v>
      </c>
      <c r="CE339" s="59">
        <v>0.18690000000000001</v>
      </c>
      <c r="CF339" s="59">
        <v>0</v>
      </c>
      <c r="CG339" s="59">
        <v>0</v>
      </c>
      <c r="CH339" s="49">
        <v>10.9</v>
      </c>
      <c r="CI339" s="39" t="s">
        <v>104</v>
      </c>
      <c r="CJ339" s="18" t="s">
        <v>479</v>
      </c>
      <c r="CK339" s="20"/>
    </row>
    <row r="340" spans="1:89" x14ac:dyDescent="0.25">
      <c r="A340" s="18" t="s">
        <v>479</v>
      </c>
      <c r="B340" s="39" t="s">
        <v>102</v>
      </c>
      <c r="C340" s="39" t="s">
        <v>105</v>
      </c>
      <c r="D340" s="40">
        <v>18</v>
      </c>
      <c r="E340" s="40">
        <v>5</v>
      </c>
      <c r="F340" s="40">
        <v>13</v>
      </c>
      <c r="G340" s="163">
        <v>1</v>
      </c>
      <c r="H340" s="163">
        <v>4</v>
      </c>
      <c r="I340" s="163">
        <v>0</v>
      </c>
      <c r="J340" s="163">
        <v>6</v>
      </c>
      <c r="K340" s="163">
        <v>4</v>
      </c>
      <c r="L340" s="163">
        <v>0</v>
      </c>
      <c r="M340" s="163">
        <v>3</v>
      </c>
      <c r="N340" s="115">
        <v>2.3809523809523801E-2</v>
      </c>
      <c r="O340" s="115">
        <v>2.6422764227642299E-2</v>
      </c>
      <c r="P340" s="115">
        <v>7.2463768115942004E-3</v>
      </c>
      <c r="Q340" s="115">
        <v>3.1746031746031703E-2</v>
      </c>
      <c r="R340" s="115">
        <v>0</v>
      </c>
      <c r="S340" s="115">
        <v>4.6153846153846198E-2</v>
      </c>
      <c r="T340" s="115">
        <v>2.9411764705882401E-2</v>
      </c>
      <c r="U340" s="115">
        <v>0</v>
      </c>
      <c r="V340" s="115">
        <v>3.4482758620689703E-2</v>
      </c>
      <c r="W340" s="40">
        <v>690</v>
      </c>
      <c r="X340" s="40">
        <f t="shared" si="24"/>
        <v>448</v>
      </c>
      <c r="Y340" s="40">
        <f t="shared" si="25"/>
        <v>690</v>
      </c>
      <c r="Z340" s="105">
        <v>0.43188405797101398</v>
      </c>
      <c r="AA340" s="105">
        <v>0.56811594202898597</v>
      </c>
      <c r="AB340" s="106">
        <f>5/690</f>
        <v>7.246376811594203E-3</v>
      </c>
      <c r="AC340" s="106">
        <f>2/690</f>
        <v>2.8985507246376812E-3</v>
      </c>
      <c r="AD340" s="106">
        <f>325/690</f>
        <v>0.47101449275362317</v>
      </c>
      <c r="AE340" s="106">
        <f>5/690</f>
        <v>7.246376811594203E-3</v>
      </c>
      <c r="AF340" s="106">
        <v>0</v>
      </c>
      <c r="AG340" s="106">
        <f>350/690</f>
        <v>0.50724637681159424</v>
      </c>
      <c r="AH340" s="106">
        <f>3/690</f>
        <v>4.3478260869565218E-3</v>
      </c>
      <c r="AI340" s="106">
        <f>340/690</f>
        <v>0.49275362318840582</v>
      </c>
      <c r="AJ340" s="105">
        <v>0.77246376811594208</v>
      </c>
      <c r="AK340" s="105">
        <v>5.7971014492753598E-3</v>
      </c>
      <c r="AL340" s="12">
        <v>131</v>
      </c>
      <c r="AM340" s="12">
        <v>111</v>
      </c>
      <c r="AN340" s="12">
        <v>35</v>
      </c>
      <c r="AO340" s="12">
        <v>109</v>
      </c>
      <c r="AP340" s="12">
        <v>126</v>
      </c>
      <c r="AQ340" s="12">
        <v>98</v>
      </c>
      <c r="AR340" s="12">
        <v>80</v>
      </c>
      <c r="AS340" s="59">
        <v>0.24305555555555555</v>
      </c>
      <c r="AT340" s="3">
        <v>7</v>
      </c>
      <c r="AU340" s="3">
        <v>6</v>
      </c>
      <c r="AV340" s="52">
        <v>49.8</v>
      </c>
      <c r="AW340" s="52">
        <v>16.7</v>
      </c>
      <c r="AX340" s="52">
        <v>27.3</v>
      </c>
      <c r="AY340" s="71">
        <v>6.1</v>
      </c>
      <c r="AZ340" s="59">
        <v>0.1424731182795699</v>
      </c>
      <c r="BA340" s="59">
        <v>0.30779569892473119</v>
      </c>
      <c r="BB340" s="77">
        <v>91.260738813108006</v>
      </c>
      <c r="BC340" s="49">
        <v>32.4933687002653</v>
      </c>
      <c r="BD340" s="49">
        <v>6.4</v>
      </c>
      <c r="BE340" s="49">
        <v>8.1</v>
      </c>
      <c r="BF340" s="49">
        <v>16.8</v>
      </c>
      <c r="BG340" s="49">
        <v>8</v>
      </c>
      <c r="BH340" s="49">
        <v>2.6</v>
      </c>
      <c r="BI340" s="49">
        <v>1.1000000000000001</v>
      </c>
      <c r="BJ340" s="49">
        <v>17.8</v>
      </c>
      <c r="BK340" s="126">
        <v>8617</v>
      </c>
      <c r="BL340" s="126">
        <v>45237</v>
      </c>
      <c r="BM340" s="126">
        <v>44929</v>
      </c>
      <c r="BN340" s="133">
        <v>33838</v>
      </c>
      <c r="BO340" s="59">
        <v>0</v>
      </c>
      <c r="BP340" s="59">
        <v>0.34129999999999999</v>
      </c>
      <c r="BQ340" s="59">
        <v>0.1144</v>
      </c>
      <c r="BR340" s="59">
        <v>0</v>
      </c>
      <c r="BS340" s="59">
        <v>0</v>
      </c>
      <c r="BT340" s="49">
        <v>12.9</v>
      </c>
      <c r="BU340" s="59">
        <f t="shared" si="26"/>
        <v>0.45569999999999999</v>
      </c>
      <c r="BV340" s="59">
        <v>3.5200000000000002E-2</v>
      </c>
      <c r="BW340" s="59">
        <v>1.7600000000000001E-2</v>
      </c>
      <c r="BX340" s="59">
        <v>3.5200000000000002E-2</v>
      </c>
      <c r="BY340" s="59">
        <v>0</v>
      </c>
      <c r="BZ340" s="59">
        <v>0</v>
      </c>
      <c r="CA340" s="49">
        <v>16.600000000000001</v>
      </c>
      <c r="CB340" s="59">
        <f t="shared" si="27"/>
        <v>8.7999999999999995E-2</v>
      </c>
      <c r="CC340" s="59">
        <v>0.43890000000000001</v>
      </c>
      <c r="CD340" s="59">
        <v>0.39400000000000002</v>
      </c>
      <c r="CE340" s="59">
        <v>0.1671</v>
      </c>
      <c r="CF340" s="59">
        <v>0</v>
      </c>
      <c r="CG340" s="59">
        <v>0</v>
      </c>
      <c r="CH340" s="49">
        <v>12.4</v>
      </c>
      <c r="CI340" s="39" t="s">
        <v>105</v>
      </c>
      <c r="CJ340" s="18" t="s">
        <v>479</v>
      </c>
      <c r="CK340" s="20"/>
    </row>
    <row r="341" spans="1:89" x14ac:dyDescent="0.25">
      <c r="A341" s="18" t="s">
        <v>479</v>
      </c>
      <c r="B341" s="39" t="s">
        <v>102</v>
      </c>
      <c r="C341" s="39" t="s">
        <v>106</v>
      </c>
      <c r="D341" s="40">
        <v>0</v>
      </c>
      <c r="E341" s="40">
        <v>0</v>
      </c>
      <c r="F341" s="40">
        <v>0</v>
      </c>
      <c r="G341" s="163">
        <v>0</v>
      </c>
      <c r="H341" s="163">
        <v>0</v>
      </c>
      <c r="I341" s="162" t="s">
        <v>83</v>
      </c>
      <c r="J341" s="163">
        <v>0</v>
      </c>
      <c r="K341" s="163">
        <v>0</v>
      </c>
      <c r="L341" s="163">
        <v>0</v>
      </c>
      <c r="M341" s="163">
        <v>0</v>
      </c>
      <c r="N341" s="115">
        <v>0</v>
      </c>
      <c r="O341" s="115">
        <v>0</v>
      </c>
      <c r="P341" s="115">
        <v>0</v>
      </c>
      <c r="Q341" s="115">
        <v>0</v>
      </c>
      <c r="R341" s="116" t="s">
        <v>83</v>
      </c>
      <c r="S341" s="115">
        <v>0</v>
      </c>
      <c r="T341" s="115">
        <v>0</v>
      </c>
      <c r="U341" s="115">
        <v>0</v>
      </c>
      <c r="V341" s="115">
        <v>0</v>
      </c>
      <c r="W341" s="40">
        <v>383</v>
      </c>
      <c r="X341" s="40">
        <f t="shared" si="24"/>
        <v>229</v>
      </c>
      <c r="Y341" s="40">
        <f t="shared" si="25"/>
        <v>383</v>
      </c>
      <c r="Z341" s="105">
        <v>0.50391644908616195</v>
      </c>
      <c r="AA341" s="105">
        <v>0.49608355091383799</v>
      </c>
      <c r="AB341" s="106">
        <f>3/383</f>
        <v>7.832898172323759E-3</v>
      </c>
      <c r="AC341" s="106">
        <v>0</v>
      </c>
      <c r="AD341" s="106">
        <f>117/383</f>
        <v>0.30548302872062666</v>
      </c>
      <c r="AE341" s="106">
        <f>7/383</f>
        <v>1.8276762402088774E-2</v>
      </c>
      <c r="AF341" s="106">
        <v>0</v>
      </c>
      <c r="AG341" s="106">
        <f>255/383</f>
        <v>0.66579634464751958</v>
      </c>
      <c r="AH341" s="106">
        <f>1/383</f>
        <v>2.6109660574412533E-3</v>
      </c>
      <c r="AI341" s="106">
        <f>128/383</f>
        <v>0.33420365535248042</v>
      </c>
      <c r="AJ341" s="105">
        <v>0.59530026109660572</v>
      </c>
      <c r="AK341" s="105">
        <v>0</v>
      </c>
      <c r="AL341" s="12">
        <v>76</v>
      </c>
      <c r="AM341" s="12">
        <v>78</v>
      </c>
      <c r="AN341" s="12">
        <v>0</v>
      </c>
      <c r="AO341" s="12">
        <v>74</v>
      </c>
      <c r="AP341" s="12">
        <v>57</v>
      </c>
      <c r="AQ341" s="12">
        <v>61</v>
      </c>
      <c r="AR341" s="12">
        <v>37</v>
      </c>
      <c r="AS341" s="59">
        <v>0</v>
      </c>
      <c r="AT341" s="3">
        <v>7</v>
      </c>
      <c r="AU341" s="3">
        <v>4</v>
      </c>
      <c r="AV341" s="52">
        <v>56.7</v>
      </c>
      <c r="AW341" s="52">
        <v>26.1</v>
      </c>
      <c r="AX341" s="52">
        <v>14.9</v>
      </c>
      <c r="AY341" s="71">
        <v>2.2000000000000002</v>
      </c>
      <c r="AZ341" s="59">
        <v>0.10335917312661498</v>
      </c>
      <c r="BA341" s="59">
        <v>0.10594315245478036</v>
      </c>
      <c r="BB341" s="78">
        <v>94.402465247281896</v>
      </c>
      <c r="BC341" s="49">
        <v>23.037974683544299</v>
      </c>
      <c r="BD341" s="49">
        <v>0</v>
      </c>
      <c r="BE341" s="49">
        <v>0</v>
      </c>
      <c r="BF341" s="49">
        <v>1.4</v>
      </c>
      <c r="BG341" s="49">
        <v>0</v>
      </c>
      <c r="BH341" s="49">
        <v>3.7</v>
      </c>
      <c r="BI341" s="49">
        <v>2.2999999999999998</v>
      </c>
      <c r="BJ341" s="49">
        <v>17.2</v>
      </c>
      <c r="BK341" s="126">
        <v>9119</v>
      </c>
      <c r="BL341" s="126">
        <v>46759</v>
      </c>
      <c r="BM341" s="126">
        <v>59215</v>
      </c>
      <c r="BN341" s="133">
        <v>40867</v>
      </c>
      <c r="BO341" s="59">
        <v>0</v>
      </c>
      <c r="BP341" s="59">
        <v>0.47689999999999999</v>
      </c>
      <c r="BQ341" s="59">
        <v>9.2299999999999993E-2</v>
      </c>
      <c r="BR341" s="59">
        <v>0</v>
      </c>
      <c r="BS341" s="59">
        <v>0</v>
      </c>
      <c r="BT341" s="49">
        <v>14.2</v>
      </c>
      <c r="BU341" s="59">
        <f t="shared" si="26"/>
        <v>0.56919999999999993</v>
      </c>
      <c r="BV341" s="59">
        <v>3.0800000000000001E-2</v>
      </c>
      <c r="BW341" s="59">
        <v>0</v>
      </c>
      <c r="BX341" s="59">
        <v>6.1499999999999999E-2</v>
      </c>
      <c r="BY341" s="59">
        <v>0</v>
      </c>
      <c r="BZ341" s="59">
        <v>0</v>
      </c>
      <c r="CA341" s="49">
        <v>25.7</v>
      </c>
      <c r="CB341" s="59">
        <f t="shared" si="27"/>
        <v>9.2299999999999993E-2</v>
      </c>
      <c r="CC341" s="59">
        <v>0.27689999999999998</v>
      </c>
      <c r="CD341" s="59">
        <v>0.50770000000000004</v>
      </c>
      <c r="CE341" s="59">
        <v>0.21540000000000001</v>
      </c>
      <c r="CF341" s="59">
        <v>0</v>
      </c>
      <c r="CG341" s="59">
        <v>0</v>
      </c>
      <c r="CH341" s="49">
        <v>15.2</v>
      </c>
      <c r="CI341" s="39" t="s">
        <v>106</v>
      </c>
      <c r="CJ341" s="18" t="s">
        <v>479</v>
      </c>
      <c r="CK341" s="20"/>
    </row>
    <row r="342" spans="1:89" x14ac:dyDescent="0.25">
      <c r="A342" s="18" t="s">
        <v>479</v>
      </c>
      <c r="B342" s="39" t="s">
        <v>107</v>
      </c>
      <c r="C342" s="39" t="s">
        <v>108</v>
      </c>
      <c r="D342" s="40">
        <v>8</v>
      </c>
      <c r="E342" s="40" t="s">
        <v>83</v>
      </c>
      <c r="F342" s="40">
        <v>8</v>
      </c>
      <c r="G342" s="162" t="s">
        <v>83</v>
      </c>
      <c r="H342" s="162" t="s">
        <v>83</v>
      </c>
      <c r="I342" s="162" t="s">
        <v>83</v>
      </c>
      <c r="J342" s="163">
        <v>3</v>
      </c>
      <c r="K342" s="163">
        <v>2</v>
      </c>
      <c r="L342" s="163">
        <v>1</v>
      </c>
      <c r="M342" s="163">
        <v>2</v>
      </c>
      <c r="N342" s="115">
        <v>9.2378752886835992E-3</v>
      </c>
      <c r="O342" s="115">
        <v>9.2378752886835992E-3</v>
      </c>
      <c r="P342" s="116" t="s">
        <v>83</v>
      </c>
      <c r="Q342" s="116" t="s">
        <v>83</v>
      </c>
      <c r="R342" s="116" t="s">
        <v>83</v>
      </c>
      <c r="S342" s="115">
        <v>1.2448132780083001E-2</v>
      </c>
      <c r="T342" s="115">
        <v>8.7336244541484694E-3</v>
      </c>
      <c r="U342" s="115">
        <v>4.9019607843137298E-3</v>
      </c>
      <c r="V342" s="115">
        <v>1.0416666666666701E-2</v>
      </c>
      <c r="W342" s="40">
        <v>814</v>
      </c>
      <c r="X342" s="40">
        <f t="shared" si="24"/>
        <v>814</v>
      </c>
      <c r="Y342" s="40">
        <f t="shared" si="25"/>
        <v>814</v>
      </c>
      <c r="Z342" s="105">
        <v>0.518427518427518</v>
      </c>
      <c r="AA342" s="105">
        <v>0.481572481572482</v>
      </c>
      <c r="AB342" s="106">
        <f>6/814</f>
        <v>7.3710073710073713E-3</v>
      </c>
      <c r="AC342" s="106">
        <f>12/814</f>
        <v>1.4742014742014743E-2</v>
      </c>
      <c r="AD342" s="106">
        <f>245/814</f>
        <v>0.300982800982801</v>
      </c>
      <c r="AE342" s="106">
        <f>40/814</f>
        <v>4.9140049140049137E-2</v>
      </c>
      <c r="AF342" s="106">
        <f>2/814</f>
        <v>2.4570024570024569E-3</v>
      </c>
      <c r="AG342" s="106">
        <f>472/814</f>
        <v>0.57985257985257987</v>
      </c>
      <c r="AH342" s="106">
        <f>37/814</f>
        <v>4.5454545454545456E-2</v>
      </c>
      <c r="AI342" s="106">
        <f>342/814</f>
        <v>0.42014742014742013</v>
      </c>
      <c r="AJ342" s="105">
        <v>0.4606879606879607</v>
      </c>
      <c r="AK342" s="105">
        <v>6.1425061425061404E-3</v>
      </c>
      <c r="AL342" s="12">
        <v>0</v>
      </c>
      <c r="AM342" s="12">
        <v>0</v>
      </c>
      <c r="AN342" s="12">
        <v>0</v>
      </c>
      <c r="AO342" s="12">
        <v>219</v>
      </c>
      <c r="AP342" s="12">
        <v>215</v>
      </c>
      <c r="AQ342" s="12">
        <v>197</v>
      </c>
      <c r="AR342" s="12">
        <v>183</v>
      </c>
      <c r="AS342" s="59">
        <v>0</v>
      </c>
      <c r="AT342" s="3">
        <v>9</v>
      </c>
      <c r="AU342" s="3">
        <v>6</v>
      </c>
      <c r="AV342" s="52">
        <v>70.5</v>
      </c>
      <c r="AW342" s="52">
        <v>17.8</v>
      </c>
      <c r="AX342" s="52">
        <v>11</v>
      </c>
      <c r="AY342" s="71">
        <v>0.6</v>
      </c>
      <c r="AZ342" s="59">
        <v>0.26157407407407407</v>
      </c>
      <c r="BA342" s="59">
        <v>0.16782407407407407</v>
      </c>
      <c r="BB342" s="77">
        <v>93.533523187232603</v>
      </c>
      <c r="BC342" s="49">
        <v>57.078142695356703</v>
      </c>
      <c r="BD342" s="90" t="s">
        <v>83</v>
      </c>
      <c r="BE342" s="90" t="s">
        <v>83</v>
      </c>
      <c r="BF342" s="49">
        <v>5.5</v>
      </c>
      <c r="BG342" s="49">
        <v>3.8</v>
      </c>
      <c r="BH342" s="49">
        <v>1.6</v>
      </c>
      <c r="BI342" s="49">
        <v>2.8</v>
      </c>
      <c r="BJ342" s="49">
        <v>20.3</v>
      </c>
      <c r="BK342" s="126">
        <v>9096</v>
      </c>
      <c r="BL342" s="126">
        <v>50710</v>
      </c>
      <c r="BM342" s="126">
        <v>37426</v>
      </c>
      <c r="BN342" s="133">
        <v>42066</v>
      </c>
      <c r="BO342" s="59">
        <v>0</v>
      </c>
      <c r="BP342" s="59">
        <v>0.43159999999999998</v>
      </c>
      <c r="BQ342" s="59">
        <v>0.14729999999999999</v>
      </c>
      <c r="BR342" s="59">
        <v>0</v>
      </c>
      <c r="BS342" s="59">
        <v>0</v>
      </c>
      <c r="BT342" s="49">
        <v>14</v>
      </c>
      <c r="BU342" s="59">
        <f t="shared" si="26"/>
        <v>0.57889999999999997</v>
      </c>
      <c r="BV342" s="59">
        <v>6.0699999999999997E-2</v>
      </c>
      <c r="BW342" s="59">
        <v>0</v>
      </c>
      <c r="BX342" s="59">
        <v>3.7600000000000001E-2</v>
      </c>
      <c r="BY342" s="59">
        <v>0</v>
      </c>
      <c r="BZ342" s="59">
        <v>0</v>
      </c>
      <c r="CA342" s="49">
        <v>11.3</v>
      </c>
      <c r="CB342" s="59">
        <f t="shared" si="27"/>
        <v>9.8299999999999998E-2</v>
      </c>
      <c r="CC342" s="59">
        <v>0.3034</v>
      </c>
      <c r="CD342" s="59">
        <v>0.48180000000000001</v>
      </c>
      <c r="CE342" s="59">
        <v>0.21479999999999999</v>
      </c>
      <c r="CF342" s="59">
        <v>0</v>
      </c>
      <c r="CG342" s="59">
        <v>0</v>
      </c>
      <c r="CH342" s="49">
        <v>13.3</v>
      </c>
      <c r="CI342" s="39" t="s">
        <v>108</v>
      </c>
      <c r="CJ342" s="18" t="s">
        <v>479</v>
      </c>
      <c r="CK342" s="20"/>
    </row>
    <row r="343" spans="1:89" x14ac:dyDescent="0.25">
      <c r="A343" s="18" t="s">
        <v>479</v>
      </c>
      <c r="B343" s="39" t="s">
        <v>107</v>
      </c>
      <c r="C343" s="39" t="s">
        <v>109</v>
      </c>
      <c r="D343" s="45">
        <v>0</v>
      </c>
      <c r="E343" s="45">
        <v>0</v>
      </c>
      <c r="F343" s="45">
        <v>0</v>
      </c>
      <c r="G343" s="164">
        <v>0</v>
      </c>
      <c r="H343" s="164">
        <v>0</v>
      </c>
      <c r="I343" s="169" t="s">
        <v>83</v>
      </c>
      <c r="J343" s="164">
        <v>0</v>
      </c>
      <c r="K343" s="164">
        <v>0</v>
      </c>
      <c r="L343" s="164">
        <v>0</v>
      </c>
      <c r="M343" s="164">
        <v>0</v>
      </c>
      <c r="N343" s="117">
        <v>0</v>
      </c>
      <c r="O343" s="117">
        <v>0</v>
      </c>
      <c r="P343" s="117">
        <v>0</v>
      </c>
      <c r="Q343" s="117">
        <v>0</v>
      </c>
      <c r="R343" s="121" t="s">
        <v>83</v>
      </c>
      <c r="S343" s="117">
        <v>0</v>
      </c>
      <c r="T343" s="117">
        <v>0</v>
      </c>
      <c r="U343" s="117">
        <v>0</v>
      </c>
      <c r="V343" s="117">
        <v>0</v>
      </c>
      <c r="W343" s="40">
        <v>426</v>
      </c>
      <c r="X343" s="40">
        <f t="shared" si="24"/>
        <v>250</v>
      </c>
      <c r="Y343" s="40">
        <f t="shared" si="25"/>
        <v>376</v>
      </c>
      <c r="Z343" s="105">
        <v>0.45305164319248797</v>
      </c>
      <c r="AA343" s="105">
        <v>0.54694835680751197</v>
      </c>
      <c r="AB343" s="106">
        <f>8/426</f>
        <v>1.8779342723004695E-2</v>
      </c>
      <c r="AC343" s="106">
        <f>3/426</f>
        <v>7.0422535211267607E-3</v>
      </c>
      <c r="AD343" s="106">
        <f>3/426</f>
        <v>7.0422535211267607E-3</v>
      </c>
      <c r="AE343" s="106">
        <f>11/426</f>
        <v>2.5821596244131457E-2</v>
      </c>
      <c r="AF343" s="106">
        <v>0</v>
      </c>
      <c r="AG343" s="106">
        <f>383/426</f>
        <v>0.89906103286384975</v>
      </c>
      <c r="AH343" s="106">
        <f>18/426</f>
        <v>4.2253521126760563E-2</v>
      </c>
      <c r="AI343" s="106">
        <f>43/426</f>
        <v>0.10093896713615023</v>
      </c>
      <c r="AJ343" s="105">
        <v>0.57276995305164324</v>
      </c>
      <c r="AK343" s="105">
        <v>4.6948356807511703E-3</v>
      </c>
      <c r="AL343" s="12">
        <v>59</v>
      </c>
      <c r="AM343" s="12">
        <v>67</v>
      </c>
      <c r="AN343" s="12">
        <v>0</v>
      </c>
      <c r="AO343" s="12">
        <v>69</v>
      </c>
      <c r="AP343" s="12">
        <v>75</v>
      </c>
      <c r="AQ343" s="12">
        <v>54</v>
      </c>
      <c r="AR343" s="12">
        <v>52</v>
      </c>
      <c r="AS343" s="59">
        <v>0</v>
      </c>
      <c r="AT343" s="3">
        <v>6</v>
      </c>
      <c r="AU343" s="3">
        <v>6</v>
      </c>
      <c r="AV343" s="52">
        <v>79.7</v>
      </c>
      <c r="AW343" s="52">
        <v>16.899999999999999</v>
      </c>
      <c r="AX343" s="52">
        <v>3.4</v>
      </c>
      <c r="AY343" s="70">
        <v>0</v>
      </c>
      <c r="AZ343" s="59">
        <v>0.16812227074235808</v>
      </c>
      <c r="BA343" s="59">
        <v>6.3318777292576414E-2</v>
      </c>
      <c r="BB343" s="78">
        <v>94.5786536208916</v>
      </c>
      <c r="BC343" s="49">
        <v>30</v>
      </c>
      <c r="BD343" s="49">
        <v>0</v>
      </c>
      <c r="BE343" s="49">
        <v>0</v>
      </c>
      <c r="BF343" s="49">
        <v>1.6</v>
      </c>
      <c r="BG343" s="49">
        <v>1.5</v>
      </c>
      <c r="BH343" s="49">
        <v>0</v>
      </c>
      <c r="BI343" s="49">
        <v>2</v>
      </c>
      <c r="BJ343" s="49">
        <v>20.2</v>
      </c>
      <c r="BK343" s="126">
        <v>11035</v>
      </c>
      <c r="BL343" s="126">
        <v>53827</v>
      </c>
      <c r="BM343" s="126">
        <v>39162</v>
      </c>
      <c r="BN343" s="133">
        <v>41596</v>
      </c>
      <c r="BO343" s="59">
        <v>0</v>
      </c>
      <c r="BP343" s="59">
        <v>0.31230000000000002</v>
      </c>
      <c r="BQ343" s="59">
        <v>0.21160000000000001</v>
      </c>
      <c r="BR343" s="59">
        <v>0</v>
      </c>
      <c r="BS343" s="59">
        <v>0</v>
      </c>
      <c r="BT343" s="49">
        <v>15.8</v>
      </c>
      <c r="BU343" s="59">
        <f t="shared" si="26"/>
        <v>0.52390000000000003</v>
      </c>
      <c r="BV343" s="59">
        <v>5.4399999999999997E-2</v>
      </c>
      <c r="BW343" s="59">
        <v>0</v>
      </c>
      <c r="BX343" s="59">
        <v>3.6200000000000003E-2</v>
      </c>
      <c r="BY343" s="59">
        <v>0</v>
      </c>
      <c r="BZ343" s="59">
        <v>0</v>
      </c>
      <c r="CA343" s="49">
        <v>8.8000000000000007</v>
      </c>
      <c r="CB343" s="59">
        <f t="shared" si="27"/>
        <v>9.06E-2</v>
      </c>
      <c r="CC343" s="59">
        <v>0.35370000000000001</v>
      </c>
      <c r="CD343" s="59">
        <v>0.35560000000000003</v>
      </c>
      <c r="CE343" s="59">
        <v>0.29070000000000001</v>
      </c>
      <c r="CF343" s="59">
        <v>0</v>
      </c>
      <c r="CG343" s="59">
        <v>0</v>
      </c>
      <c r="CH343" s="49">
        <v>13.2</v>
      </c>
      <c r="CI343" s="39" t="s">
        <v>109</v>
      </c>
      <c r="CJ343" s="18" t="s">
        <v>479</v>
      </c>
      <c r="CK343" s="20"/>
    </row>
    <row r="344" spans="1:89" x14ac:dyDescent="0.25">
      <c r="A344" s="18" t="s">
        <v>479</v>
      </c>
      <c r="B344" s="39" t="s">
        <v>107</v>
      </c>
      <c r="C344" s="39" t="s">
        <v>110</v>
      </c>
      <c r="D344" s="45">
        <v>1</v>
      </c>
      <c r="E344" s="45">
        <v>0</v>
      </c>
      <c r="F344" s="45">
        <v>1</v>
      </c>
      <c r="G344" s="164">
        <v>0</v>
      </c>
      <c r="H344" s="164">
        <v>0</v>
      </c>
      <c r="I344" s="169" t="s">
        <v>83</v>
      </c>
      <c r="J344" s="164">
        <v>1</v>
      </c>
      <c r="K344" s="164">
        <v>0</v>
      </c>
      <c r="L344" s="164">
        <v>0</v>
      </c>
      <c r="M344" s="164">
        <v>0</v>
      </c>
      <c r="N344" s="117">
        <v>3.9682539682539698E-3</v>
      </c>
      <c r="O344" s="117">
        <v>5.9171597633136102E-3</v>
      </c>
      <c r="P344" s="117">
        <v>0</v>
      </c>
      <c r="Q344" s="117">
        <v>0</v>
      </c>
      <c r="R344" s="121" t="s">
        <v>83</v>
      </c>
      <c r="S344" s="117">
        <v>2.04081632653061E-2</v>
      </c>
      <c r="T344" s="117">
        <v>0</v>
      </c>
      <c r="U344" s="117">
        <v>0</v>
      </c>
      <c r="V344" s="117">
        <v>0</v>
      </c>
      <c r="W344" s="40">
        <v>504</v>
      </c>
      <c r="X344" s="40">
        <f t="shared" si="24"/>
        <v>152</v>
      </c>
      <c r="Y344" s="40">
        <f t="shared" si="25"/>
        <v>227</v>
      </c>
      <c r="Z344" s="105">
        <v>0.48015873015873001</v>
      </c>
      <c r="AA344" s="105">
        <v>0.51984126984126999</v>
      </c>
      <c r="AB344" s="106">
        <f>2/504</f>
        <v>3.968253968253968E-3</v>
      </c>
      <c r="AC344" s="106">
        <f>3/504</f>
        <v>5.9523809523809521E-3</v>
      </c>
      <c r="AD344" s="106">
        <f>45/504</f>
        <v>8.9285714285714288E-2</v>
      </c>
      <c r="AE344" s="106">
        <f>13/504</f>
        <v>2.5793650793650792E-2</v>
      </c>
      <c r="AF344" s="106">
        <v>0</v>
      </c>
      <c r="AG344" s="106">
        <f>428/504</f>
        <v>0.84920634920634919</v>
      </c>
      <c r="AH344" s="106">
        <f>13/504</f>
        <v>2.5793650793650792E-2</v>
      </c>
      <c r="AI344" s="106">
        <f>76/504</f>
        <v>0.15079365079365079</v>
      </c>
      <c r="AJ344" s="105">
        <v>0.61507936507936511</v>
      </c>
      <c r="AK344" s="105">
        <v>0</v>
      </c>
      <c r="AL344" s="12">
        <v>39</v>
      </c>
      <c r="AM344" s="12">
        <v>36</v>
      </c>
      <c r="AN344" s="12">
        <v>0</v>
      </c>
      <c r="AO344" s="12">
        <v>46</v>
      </c>
      <c r="AP344" s="12">
        <v>29</v>
      </c>
      <c r="AQ344" s="12">
        <v>35</v>
      </c>
      <c r="AR344" s="12">
        <v>42</v>
      </c>
      <c r="AS344" s="59">
        <v>0</v>
      </c>
      <c r="AT344" s="3">
        <v>1</v>
      </c>
      <c r="AU344" s="3">
        <v>6</v>
      </c>
      <c r="AV344" s="52">
        <v>84.3</v>
      </c>
      <c r="AW344" s="52">
        <v>15.1</v>
      </c>
      <c r="AX344" s="52">
        <v>0.3</v>
      </c>
      <c r="AY344" s="71">
        <v>0.3</v>
      </c>
      <c r="AZ344" s="59">
        <v>0.14690265486725665</v>
      </c>
      <c r="BA344" s="59">
        <v>9.3805309734513273E-2</v>
      </c>
      <c r="BB344" s="77">
        <v>93.619419613600002</v>
      </c>
      <c r="BC344" s="49">
        <v>45.688073394495397</v>
      </c>
      <c r="BD344" s="93">
        <v>0</v>
      </c>
      <c r="BE344" s="93">
        <v>0</v>
      </c>
      <c r="BF344" s="49">
        <v>0</v>
      </c>
      <c r="BG344" s="49">
        <v>2.9</v>
      </c>
      <c r="BH344" s="49">
        <v>0</v>
      </c>
      <c r="BI344" s="49">
        <v>0</v>
      </c>
      <c r="BJ344" s="49">
        <v>19.100000000000001</v>
      </c>
      <c r="BK344" s="126">
        <v>11679</v>
      </c>
      <c r="BL344" s="126">
        <v>47883</v>
      </c>
      <c r="BM344" s="126">
        <v>39324</v>
      </c>
      <c r="BN344" s="133">
        <v>37118</v>
      </c>
      <c r="BO344" s="59">
        <v>0</v>
      </c>
      <c r="BP344" s="59">
        <v>0.4022</v>
      </c>
      <c r="BQ344" s="59">
        <v>0.1376</v>
      </c>
      <c r="BR344" s="59">
        <v>1.2699999999999999E-2</v>
      </c>
      <c r="BS344" s="59">
        <v>0</v>
      </c>
      <c r="BT344" s="49">
        <v>11.5</v>
      </c>
      <c r="BU344" s="59">
        <f t="shared" si="26"/>
        <v>0.5525000000000001</v>
      </c>
      <c r="BV344" s="59">
        <v>3.8300000000000001E-2</v>
      </c>
      <c r="BW344" s="59">
        <v>0</v>
      </c>
      <c r="BX344" s="59">
        <v>2.5499999999999998E-2</v>
      </c>
      <c r="BY344" s="59">
        <v>0</v>
      </c>
      <c r="BZ344" s="59">
        <v>0</v>
      </c>
      <c r="CA344" s="49">
        <v>8</v>
      </c>
      <c r="CB344" s="59">
        <f t="shared" si="27"/>
        <v>6.3799999999999996E-2</v>
      </c>
      <c r="CC344" s="59">
        <v>0.34860000000000002</v>
      </c>
      <c r="CD344" s="59">
        <v>0.45240000000000002</v>
      </c>
      <c r="CE344" s="59">
        <v>0.1736</v>
      </c>
      <c r="CF344" s="59">
        <v>2.5499999999999998E-2</v>
      </c>
      <c r="CG344" s="59">
        <v>0</v>
      </c>
      <c r="CH344" s="49">
        <v>10.3</v>
      </c>
      <c r="CI344" s="39" t="s">
        <v>110</v>
      </c>
      <c r="CJ344" s="18" t="s">
        <v>479</v>
      </c>
      <c r="CK344" s="20"/>
    </row>
    <row r="345" spans="1:89" x14ac:dyDescent="0.25">
      <c r="A345" s="18" t="s">
        <v>479</v>
      </c>
      <c r="B345" s="39" t="s">
        <v>107</v>
      </c>
      <c r="C345" s="39" t="s">
        <v>111</v>
      </c>
      <c r="D345" s="45">
        <v>1</v>
      </c>
      <c r="E345" s="45">
        <v>0</v>
      </c>
      <c r="F345" s="45">
        <v>1</v>
      </c>
      <c r="G345" s="164">
        <v>0</v>
      </c>
      <c r="H345" s="164">
        <v>0</v>
      </c>
      <c r="I345" s="164">
        <v>0</v>
      </c>
      <c r="J345" s="164">
        <v>1</v>
      </c>
      <c r="K345" s="164">
        <v>0</v>
      </c>
      <c r="L345" s="164">
        <v>0</v>
      </c>
      <c r="M345" s="164">
        <v>0</v>
      </c>
      <c r="N345" s="117">
        <v>5.78034682080925E-3</v>
      </c>
      <c r="O345" s="117">
        <v>9.0090090090090107E-3</v>
      </c>
      <c r="P345" s="117">
        <v>0</v>
      </c>
      <c r="Q345" s="117">
        <v>0</v>
      </c>
      <c r="R345" s="117">
        <v>0</v>
      </c>
      <c r="S345" s="117">
        <v>2.32558139534884E-2</v>
      </c>
      <c r="T345" s="117">
        <v>0</v>
      </c>
      <c r="U345" s="117">
        <v>0</v>
      </c>
      <c r="V345" s="117">
        <v>0</v>
      </c>
      <c r="W345" s="40">
        <v>366</v>
      </c>
      <c r="X345" s="40">
        <f t="shared" si="24"/>
        <v>92</v>
      </c>
      <c r="Y345" s="40">
        <f t="shared" si="25"/>
        <v>146</v>
      </c>
      <c r="Z345" s="105">
        <v>0.45628415300546399</v>
      </c>
      <c r="AA345" s="105">
        <v>0.54371584699453601</v>
      </c>
      <c r="AB345" s="106">
        <f>5/366</f>
        <v>1.3661202185792349E-2</v>
      </c>
      <c r="AC345" s="106">
        <v>0</v>
      </c>
      <c r="AD345" s="106">
        <f>10/366</f>
        <v>2.7322404371584699E-2</v>
      </c>
      <c r="AE345" s="106">
        <f>11/366</f>
        <v>3.0054644808743168E-2</v>
      </c>
      <c r="AF345" s="106">
        <v>0</v>
      </c>
      <c r="AG345" s="106">
        <f>337/366</f>
        <v>0.92076502732240439</v>
      </c>
      <c r="AH345" s="106">
        <f>3/366</f>
        <v>8.1967213114754103E-3</v>
      </c>
      <c r="AI345" s="106">
        <f>29/366</f>
        <v>7.9234972677595633E-2</v>
      </c>
      <c r="AJ345" s="105">
        <v>0.69945355191256831</v>
      </c>
      <c r="AK345" s="105">
        <v>0</v>
      </c>
      <c r="AL345" s="12">
        <v>28</v>
      </c>
      <c r="AM345" s="12">
        <v>26</v>
      </c>
      <c r="AN345" s="12">
        <v>1</v>
      </c>
      <c r="AO345" s="12">
        <v>35</v>
      </c>
      <c r="AP345" s="12">
        <v>19</v>
      </c>
      <c r="AQ345" s="12">
        <v>23</v>
      </c>
      <c r="AR345" s="12">
        <v>14</v>
      </c>
      <c r="AS345" s="59">
        <v>2.7777777777777776E-2</v>
      </c>
      <c r="AT345" s="3">
        <v>1</v>
      </c>
      <c r="AU345" s="3">
        <v>6</v>
      </c>
      <c r="AV345" s="52">
        <v>82.5</v>
      </c>
      <c r="AW345" s="52">
        <v>13.1</v>
      </c>
      <c r="AX345" s="52">
        <v>2.8</v>
      </c>
      <c r="AY345" s="71">
        <v>1.6</v>
      </c>
      <c r="AZ345" s="59">
        <v>0.17475728155339806</v>
      </c>
      <c r="BA345" s="59">
        <v>0.11407766990291263</v>
      </c>
      <c r="BB345" s="78">
        <v>92.827677245476096</v>
      </c>
      <c r="BC345" s="49">
        <v>28.287841191066999</v>
      </c>
      <c r="BD345" s="49">
        <v>3.7</v>
      </c>
      <c r="BE345" s="49">
        <v>8.6999999999999993</v>
      </c>
      <c r="BF345" s="49">
        <v>5.7</v>
      </c>
      <c r="BG345" s="49">
        <v>0</v>
      </c>
      <c r="BH345" s="49">
        <v>0</v>
      </c>
      <c r="BI345" s="49">
        <v>0</v>
      </c>
      <c r="BJ345" s="49">
        <v>20.5</v>
      </c>
      <c r="BK345" s="126">
        <v>12424</v>
      </c>
      <c r="BL345" s="126">
        <v>47261</v>
      </c>
      <c r="BM345" s="126">
        <v>46136</v>
      </c>
      <c r="BN345" s="126">
        <v>35902</v>
      </c>
      <c r="BO345" s="59">
        <v>0</v>
      </c>
      <c r="BP345" s="59">
        <v>0.34329999999999999</v>
      </c>
      <c r="BQ345" s="59">
        <v>0.16900000000000001</v>
      </c>
      <c r="BR345" s="59">
        <v>0</v>
      </c>
      <c r="BS345" s="59">
        <v>0</v>
      </c>
      <c r="BT345" s="49">
        <v>11.5</v>
      </c>
      <c r="BU345" s="59">
        <f t="shared" si="26"/>
        <v>0.51229999999999998</v>
      </c>
      <c r="BV345" s="59">
        <v>3.2300000000000002E-2</v>
      </c>
      <c r="BW345" s="59">
        <v>0</v>
      </c>
      <c r="BX345" s="59">
        <v>3.2300000000000002E-2</v>
      </c>
      <c r="BY345" s="59">
        <v>0</v>
      </c>
      <c r="BZ345" s="59">
        <v>0</v>
      </c>
      <c r="CA345" s="49">
        <v>15</v>
      </c>
      <c r="CB345" s="59">
        <f t="shared" si="27"/>
        <v>6.4600000000000005E-2</v>
      </c>
      <c r="CC345" s="59">
        <v>0.41849999999999998</v>
      </c>
      <c r="CD345" s="59">
        <v>0.36359999999999998</v>
      </c>
      <c r="CE345" s="59">
        <v>0.21790000000000001</v>
      </c>
      <c r="CF345" s="59">
        <v>0</v>
      </c>
      <c r="CG345" s="59">
        <v>0</v>
      </c>
      <c r="CH345" s="49">
        <v>10.8</v>
      </c>
      <c r="CI345" s="39" t="s">
        <v>111</v>
      </c>
      <c r="CJ345" s="18" t="s">
        <v>479</v>
      </c>
      <c r="CK345" s="20"/>
    </row>
    <row r="346" spans="1:89" x14ac:dyDescent="0.25">
      <c r="A346" s="18" t="s">
        <v>479</v>
      </c>
      <c r="B346" s="39" t="s">
        <v>107</v>
      </c>
      <c r="C346" s="39" t="s">
        <v>112</v>
      </c>
      <c r="D346" s="45">
        <v>5</v>
      </c>
      <c r="E346" s="45">
        <v>0</v>
      </c>
      <c r="F346" s="45">
        <v>5</v>
      </c>
      <c r="G346" s="164">
        <v>0</v>
      </c>
      <c r="H346" s="164">
        <v>0</v>
      </c>
      <c r="I346" s="169" t="s">
        <v>83</v>
      </c>
      <c r="J346" s="164">
        <v>0</v>
      </c>
      <c r="K346" s="164">
        <v>2</v>
      </c>
      <c r="L346" s="164">
        <v>2</v>
      </c>
      <c r="M346" s="164">
        <v>1</v>
      </c>
      <c r="N346" s="117">
        <v>6.2893081761006301E-3</v>
      </c>
      <c r="O346" s="117">
        <v>9.2592592592592605E-3</v>
      </c>
      <c r="P346" s="117">
        <v>0</v>
      </c>
      <c r="Q346" s="117">
        <v>0</v>
      </c>
      <c r="R346" s="121" t="s">
        <v>83</v>
      </c>
      <c r="S346" s="117">
        <v>0</v>
      </c>
      <c r="T346" s="117">
        <v>1.4388489208633099E-2</v>
      </c>
      <c r="U346" s="117">
        <v>1.5625E-2</v>
      </c>
      <c r="V346" s="117">
        <v>8.8495575221238902E-3</v>
      </c>
      <c r="W346" s="40">
        <v>751</v>
      </c>
      <c r="X346" s="40">
        <f t="shared" si="24"/>
        <v>516</v>
      </c>
      <c r="Y346" s="40">
        <f t="shared" si="25"/>
        <v>751</v>
      </c>
      <c r="Z346" s="105">
        <v>0.45539280958721701</v>
      </c>
      <c r="AA346" s="105">
        <v>0.54460719041278305</v>
      </c>
      <c r="AB346" s="106">
        <f>4/751</f>
        <v>5.3262316910785623E-3</v>
      </c>
      <c r="AC346" s="106">
        <f>2/751</f>
        <v>2.6631158455392811E-3</v>
      </c>
      <c r="AD346" s="106">
        <f>19/751</f>
        <v>2.529960053262317E-2</v>
      </c>
      <c r="AE346" s="106">
        <f>10/751</f>
        <v>1.3315579227696404E-2</v>
      </c>
      <c r="AF346" s="106">
        <v>0</v>
      </c>
      <c r="AG346" s="106">
        <f>706/751</f>
        <v>0.94007989347536614</v>
      </c>
      <c r="AH346" s="106">
        <f>10/751</f>
        <v>1.3315579227696404E-2</v>
      </c>
      <c r="AI346" s="106">
        <f>45/751</f>
        <v>5.9920106524633823E-2</v>
      </c>
      <c r="AJ346" s="105">
        <v>0.47003994673768307</v>
      </c>
      <c r="AK346" s="105">
        <v>0</v>
      </c>
      <c r="AL346" s="12">
        <v>129</v>
      </c>
      <c r="AM346" s="12">
        <v>106</v>
      </c>
      <c r="AN346" s="12">
        <v>0</v>
      </c>
      <c r="AO346" s="12">
        <v>153</v>
      </c>
      <c r="AP346" s="12">
        <v>135</v>
      </c>
      <c r="AQ346" s="12">
        <v>121</v>
      </c>
      <c r="AR346" s="12">
        <v>107</v>
      </c>
      <c r="AS346" s="59">
        <v>0</v>
      </c>
      <c r="AT346" s="3">
        <v>7</v>
      </c>
      <c r="AU346" s="3">
        <v>6</v>
      </c>
      <c r="AV346" s="52">
        <v>66.7</v>
      </c>
      <c r="AW346" s="52">
        <v>15.5</v>
      </c>
      <c r="AX346" s="52">
        <v>17.899999999999999</v>
      </c>
      <c r="AY346" s="70">
        <v>0</v>
      </c>
      <c r="AZ346" s="59">
        <v>0.1220125786163522</v>
      </c>
      <c r="BA346" s="59">
        <v>9.056603773584905E-2</v>
      </c>
      <c r="BB346" s="77">
        <v>93.7633812061448</v>
      </c>
      <c r="BC346" s="49">
        <v>43.905472636815901</v>
      </c>
      <c r="BD346" s="49">
        <v>0</v>
      </c>
      <c r="BE346" s="49">
        <v>0</v>
      </c>
      <c r="BF346" s="49">
        <v>2.1</v>
      </c>
      <c r="BG346" s="49">
        <v>1.6</v>
      </c>
      <c r="BH346" s="49">
        <v>0</v>
      </c>
      <c r="BI346" s="49">
        <v>0.9</v>
      </c>
      <c r="BJ346" s="49">
        <v>19</v>
      </c>
      <c r="BK346" s="126">
        <v>9771</v>
      </c>
      <c r="BL346" s="126">
        <v>52660</v>
      </c>
      <c r="BM346" s="126">
        <v>36869</v>
      </c>
      <c r="BN346" s="126">
        <v>37886</v>
      </c>
      <c r="BO346" s="59">
        <v>0</v>
      </c>
      <c r="BP346" s="59">
        <v>0.28149999999999997</v>
      </c>
      <c r="BQ346" s="59">
        <v>0.1842</v>
      </c>
      <c r="BR346" s="59">
        <v>0</v>
      </c>
      <c r="BS346" s="59">
        <v>0</v>
      </c>
      <c r="BT346" s="49">
        <v>13.4</v>
      </c>
      <c r="BU346" s="59">
        <f t="shared" si="26"/>
        <v>0.4657</v>
      </c>
      <c r="BV346" s="59">
        <v>3.2899999999999999E-2</v>
      </c>
      <c r="BW346" s="59">
        <v>1.0999999999999999E-2</v>
      </c>
      <c r="BX346" s="59">
        <v>3.3700000000000001E-2</v>
      </c>
      <c r="BY346" s="59">
        <v>0</v>
      </c>
      <c r="BZ346" s="59">
        <v>0</v>
      </c>
      <c r="CA346" s="49">
        <v>12.4</v>
      </c>
      <c r="CB346" s="59">
        <f t="shared" si="27"/>
        <v>7.7600000000000002E-2</v>
      </c>
      <c r="CC346" s="59">
        <v>0.42920000000000003</v>
      </c>
      <c r="CD346" s="59">
        <v>0.3322</v>
      </c>
      <c r="CE346" s="59">
        <v>0.23860000000000001</v>
      </c>
      <c r="CF346" s="59">
        <v>0</v>
      </c>
      <c r="CG346" s="59">
        <v>0</v>
      </c>
      <c r="CH346" s="49">
        <v>12.6</v>
      </c>
      <c r="CI346" s="39" t="s">
        <v>112</v>
      </c>
      <c r="CJ346" s="18" t="s">
        <v>479</v>
      </c>
      <c r="CK346" s="20"/>
    </row>
    <row r="347" spans="1:89" x14ac:dyDescent="0.25">
      <c r="A347" s="18" t="s">
        <v>479</v>
      </c>
      <c r="B347" s="39" t="s">
        <v>113</v>
      </c>
      <c r="C347" s="39" t="s">
        <v>114</v>
      </c>
      <c r="D347" s="40">
        <v>3</v>
      </c>
      <c r="E347" s="40">
        <v>2</v>
      </c>
      <c r="F347" s="40">
        <v>1</v>
      </c>
      <c r="G347" s="163">
        <v>0</v>
      </c>
      <c r="H347" s="163">
        <v>2</v>
      </c>
      <c r="I347" s="162" t="s">
        <v>83</v>
      </c>
      <c r="J347" s="163">
        <v>0</v>
      </c>
      <c r="K347" s="163">
        <v>0</v>
      </c>
      <c r="L347" s="163">
        <v>1</v>
      </c>
      <c r="M347" s="163">
        <v>0</v>
      </c>
      <c r="N347" s="115">
        <v>1.1235955056179799E-2</v>
      </c>
      <c r="O347" s="115">
        <v>6.2893081761006301E-3</v>
      </c>
      <c r="P347" s="115">
        <v>0</v>
      </c>
      <c r="Q347" s="115">
        <v>3.7037037037037E-2</v>
      </c>
      <c r="R347" s="116" t="s">
        <v>83</v>
      </c>
      <c r="S347" s="115">
        <v>0</v>
      </c>
      <c r="T347" s="115">
        <v>0</v>
      </c>
      <c r="U347" s="115">
        <v>2.7027027027027001E-2</v>
      </c>
      <c r="V347" s="115">
        <v>0</v>
      </c>
      <c r="W347" s="40">
        <v>296</v>
      </c>
      <c r="X347" s="40">
        <f t="shared" si="24"/>
        <v>149</v>
      </c>
      <c r="Y347" s="40">
        <f t="shared" si="25"/>
        <v>240</v>
      </c>
      <c r="Z347" s="105">
        <v>0.46621621621621601</v>
      </c>
      <c r="AA347" s="105">
        <v>0.53378378378378399</v>
      </c>
      <c r="AB347" s="106">
        <v>0</v>
      </c>
      <c r="AC347" s="106">
        <v>0</v>
      </c>
      <c r="AD347" s="106">
        <f>277/296</f>
        <v>0.93581081081081086</v>
      </c>
      <c r="AE347" s="106">
        <f>4/296</f>
        <v>1.3513513513513514E-2</v>
      </c>
      <c r="AF347" s="106">
        <v>0</v>
      </c>
      <c r="AG347" s="106">
        <f>15/296</f>
        <v>5.0675675675675678E-2</v>
      </c>
      <c r="AH347" s="106">
        <v>0</v>
      </c>
      <c r="AI347" s="106">
        <f>281/296</f>
        <v>0.94932432432432434</v>
      </c>
      <c r="AJ347" s="105">
        <v>0.90202702702702697</v>
      </c>
      <c r="AK347" s="105">
        <v>1.0135135135135099E-2</v>
      </c>
      <c r="AL347" s="12">
        <v>42</v>
      </c>
      <c r="AM347" s="12">
        <v>49</v>
      </c>
      <c r="AN347" s="12">
        <v>0</v>
      </c>
      <c r="AO347" s="12">
        <v>40</v>
      </c>
      <c r="AP347" s="12">
        <v>36</v>
      </c>
      <c r="AQ347" s="12">
        <v>39</v>
      </c>
      <c r="AR347" s="12">
        <v>34</v>
      </c>
      <c r="AS347" s="59">
        <v>0</v>
      </c>
      <c r="AT347" s="3">
        <v>6</v>
      </c>
      <c r="AU347" s="3">
        <v>6</v>
      </c>
      <c r="AV347" s="52">
        <v>84.1</v>
      </c>
      <c r="AW347" s="52">
        <v>14.5</v>
      </c>
      <c r="AX347" s="52">
        <v>1.4</v>
      </c>
      <c r="AY347" s="70">
        <v>0</v>
      </c>
      <c r="AZ347" s="59">
        <v>0.2225609756097561</v>
      </c>
      <c r="BA347" s="59">
        <v>0.18597560975609756</v>
      </c>
      <c r="BB347" s="78">
        <v>95.6839883405367</v>
      </c>
      <c r="BC347" s="49">
        <v>15.501519756838899</v>
      </c>
      <c r="BD347" s="49">
        <v>6.3</v>
      </c>
      <c r="BE347" s="49">
        <v>2.1</v>
      </c>
      <c r="BF347" s="49">
        <v>2.4</v>
      </c>
      <c r="BG347" s="49">
        <v>8.3000000000000007</v>
      </c>
      <c r="BH347" s="49">
        <v>0</v>
      </c>
      <c r="BI347" s="49">
        <v>0</v>
      </c>
      <c r="BJ347" s="49">
        <v>18.7</v>
      </c>
      <c r="BK347" s="126">
        <v>17641</v>
      </c>
      <c r="BL347" s="126">
        <v>55576</v>
      </c>
      <c r="BM347" s="126">
        <v>62095</v>
      </c>
      <c r="BN347" s="126">
        <v>45101</v>
      </c>
      <c r="BO347" s="59">
        <v>0</v>
      </c>
      <c r="BP347" s="59">
        <v>0.16739999999999999</v>
      </c>
      <c r="BQ347" s="59">
        <v>0.26669999999999999</v>
      </c>
      <c r="BR347" s="59">
        <v>0</v>
      </c>
      <c r="BS347" s="59">
        <v>0</v>
      </c>
      <c r="BT347" s="49">
        <v>16.3</v>
      </c>
      <c r="BU347" s="59">
        <f t="shared" si="26"/>
        <v>0.43409999999999999</v>
      </c>
      <c r="BV347" s="59">
        <v>0</v>
      </c>
      <c r="BW347" s="59">
        <v>1.6799999999999999E-2</v>
      </c>
      <c r="BX347" s="59">
        <v>3.3000000000000002E-2</v>
      </c>
      <c r="BY347" s="59">
        <v>0</v>
      </c>
      <c r="BZ347" s="59">
        <v>0</v>
      </c>
      <c r="CA347" s="49">
        <v>20.6</v>
      </c>
      <c r="CB347" s="59">
        <f t="shared" si="27"/>
        <v>4.9799999999999997E-2</v>
      </c>
      <c r="CC347" s="59">
        <v>0.30740000000000001</v>
      </c>
      <c r="CD347" s="59">
        <v>0.23469999999999999</v>
      </c>
      <c r="CE347" s="59">
        <v>0.42430000000000001</v>
      </c>
      <c r="CF347" s="59">
        <v>3.3599999999999998E-2</v>
      </c>
      <c r="CG347" s="59">
        <v>0</v>
      </c>
      <c r="CH347" s="49">
        <v>16.8</v>
      </c>
      <c r="CI347" s="39" t="s">
        <v>114</v>
      </c>
      <c r="CJ347" s="18" t="s">
        <v>479</v>
      </c>
      <c r="CK347" s="20"/>
    </row>
    <row r="348" spans="1:89" x14ac:dyDescent="0.25">
      <c r="A348" s="18" t="s">
        <v>479</v>
      </c>
      <c r="B348" s="39" t="s">
        <v>113</v>
      </c>
      <c r="C348" s="39" t="s">
        <v>115</v>
      </c>
      <c r="D348" s="40">
        <v>0</v>
      </c>
      <c r="E348" s="40">
        <v>0</v>
      </c>
      <c r="F348" s="40">
        <v>0</v>
      </c>
      <c r="G348" s="162" t="s">
        <v>83</v>
      </c>
      <c r="H348" s="163">
        <v>0</v>
      </c>
      <c r="I348" s="162" t="s">
        <v>83</v>
      </c>
      <c r="J348" s="163">
        <v>0</v>
      </c>
      <c r="K348" s="163">
        <v>0</v>
      </c>
      <c r="L348" s="163">
        <v>0</v>
      </c>
      <c r="M348" s="163">
        <v>0</v>
      </c>
      <c r="N348" s="115">
        <v>0</v>
      </c>
      <c r="O348" s="115">
        <v>0</v>
      </c>
      <c r="P348" s="116" t="s">
        <v>83</v>
      </c>
      <c r="Q348" s="115">
        <v>0</v>
      </c>
      <c r="R348" s="116" t="s">
        <v>83</v>
      </c>
      <c r="S348" s="115">
        <v>0</v>
      </c>
      <c r="T348" s="115">
        <v>0</v>
      </c>
      <c r="U348" s="115">
        <v>0</v>
      </c>
      <c r="V348" s="115">
        <v>0</v>
      </c>
      <c r="W348" s="40">
        <v>58</v>
      </c>
      <c r="X348" s="40">
        <f t="shared" si="24"/>
        <v>5</v>
      </c>
      <c r="Y348" s="40">
        <f t="shared" si="25"/>
        <v>6</v>
      </c>
      <c r="Z348" s="105">
        <v>0.34482758620689702</v>
      </c>
      <c r="AA348" s="105">
        <v>0.65517241379310298</v>
      </c>
      <c r="AB348" s="106">
        <v>0</v>
      </c>
      <c r="AC348" s="106">
        <v>0</v>
      </c>
      <c r="AD348" s="106">
        <f>33/58</f>
        <v>0.56896551724137934</v>
      </c>
      <c r="AE348" s="106">
        <v>0</v>
      </c>
      <c r="AF348" s="106">
        <v>0</v>
      </c>
      <c r="AG348" s="106">
        <f>24/58</f>
        <v>0.41379310344827586</v>
      </c>
      <c r="AH348" s="106">
        <f>1/58</f>
        <v>1.7241379310344827E-2</v>
      </c>
      <c r="AI348" s="106">
        <f>34/58</f>
        <v>0.58620689655172409</v>
      </c>
      <c r="AJ348" s="105">
        <v>0.81034482758620685</v>
      </c>
      <c r="AK348" s="105">
        <v>0</v>
      </c>
      <c r="AL348" s="12">
        <v>0</v>
      </c>
      <c r="AM348" s="12">
        <v>1</v>
      </c>
      <c r="AN348" s="12">
        <v>0</v>
      </c>
      <c r="AO348" s="12">
        <v>1</v>
      </c>
      <c r="AP348" s="12">
        <v>1</v>
      </c>
      <c r="AQ348" s="12">
        <v>2</v>
      </c>
      <c r="AR348" s="12">
        <v>1</v>
      </c>
      <c r="AS348" s="59">
        <v>0</v>
      </c>
      <c r="AT348" s="3">
        <v>1</v>
      </c>
      <c r="AU348" s="3">
        <v>6</v>
      </c>
      <c r="AV348" s="52">
        <v>100</v>
      </c>
      <c r="AW348" s="53">
        <v>0</v>
      </c>
      <c r="AX348" s="53">
        <v>0</v>
      </c>
      <c r="AY348" s="70">
        <v>0</v>
      </c>
      <c r="AZ348" s="59">
        <v>0</v>
      </c>
      <c r="BA348" s="59">
        <v>0</v>
      </c>
      <c r="BB348" s="77">
        <v>89.347762073027098</v>
      </c>
      <c r="BC348" s="49"/>
      <c r="BD348" s="90" t="s">
        <v>83</v>
      </c>
      <c r="BE348" s="49">
        <v>0</v>
      </c>
      <c r="BF348" s="49">
        <v>0</v>
      </c>
      <c r="BG348" s="49">
        <v>0</v>
      </c>
      <c r="BH348" s="49">
        <v>0</v>
      </c>
      <c r="BI348" s="49">
        <v>100</v>
      </c>
      <c r="BJ348" s="49"/>
      <c r="BK348" s="126">
        <v>46105</v>
      </c>
      <c r="BL348" s="126">
        <v>54459</v>
      </c>
      <c r="BM348" s="126">
        <v>25832</v>
      </c>
      <c r="BN348" s="126">
        <v>32958</v>
      </c>
      <c r="BO348" s="59">
        <v>0</v>
      </c>
      <c r="BP348" s="59">
        <v>0.1074</v>
      </c>
      <c r="BQ348" s="59">
        <v>0.1239</v>
      </c>
      <c r="BR348" s="59">
        <v>0</v>
      </c>
      <c r="BS348" s="59">
        <v>0</v>
      </c>
      <c r="BT348" s="49">
        <v>14.8</v>
      </c>
      <c r="BU348" s="59">
        <f t="shared" si="26"/>
        <v>0.23130000000000001</v>
      </c>
      <c r="BV348" s="59">
        <v>0</v>
      </c>
      <c r="BW348" s="59">
        <v>3.1E-2</v>
      </c>
      <c r="BX348" s="59">
        <v>3.1E-2</v>
      </c>
      <c r="BY348" s="59">
        <v>0</v>
      </c>
      <c r="BZ348" s="59">
        <v>0</v>
      </c>
      <c r="CA348" s="49">
        <v>26</v>
      </c>
      <c r="CB348" s="59">
        <f t="shared" si="27"/>
        <v>6.2E-2</v>
      </c>
      <c r="CC348" s="59">
        <v>0.61399999999999999</v>
      </c>
      <c r="CD348" s="59">
        <v>0.18459999999999999</v>
      </c>
      <c r="CE348" s="59">
        <v>0.20130000000000001</v>
      </c>
      <c r="CF348" s="59">
        <v>0</v>
      </c>
      <c r="CG348" s="59">
        <v>0</v>
      </c>
      <c r="CH348" s="49">
        <v>14.6</v>
      </c>
      <c r="CI348" s="39" t="s">
        <v>115</v>
      </c>
      <c r="CJ348" s="18" t="s">
        <v>479</v>
      </c>
      <c r="CK348" s="20"/>
    </row>
    <row r="349" spans="1:89" x14ac:dyDescent="0.25">
      <c r="A349" s="18" t="s">
        <v>479</v>
      </c>
      <c r="B349" s="39" t="s">
        <v>113</v>
      </c>
      <c r="C349" s="39" t="s">
        <v>116</v>
      </c>
      <c r="D349" s="40">
        <v>4</v>
      </c>
      <c r="E349" s="40">
        <v>0</v>
      </c>
      <c r="F349" s="40">
        <v>4</v>
      </c>
      <c r="G349" s="163">
        <v>0</v>
      </c>
      <c r="H349" s="163">
        <v>0</v>
      </c>
      <c r="I349" s="162" t="s">
        <v>83</v>
      </c>
      <c r="J349" s="163">
        <v>2</v>
      </c>
      <c r="K349" s="163">
        <v>2</v>
      </c>
      <c r="L349" s="163">
        <v>0</v>
      </c>
      <c r="M349" s="163">
        <v>0</v>
      </c>
      <c r="N349" s="115">
        <v>1.60642570281124E-2</v>
      </c>
      <c r="O349" s="115">
        <v>2.32558139534884E-2</v>
      </c>
      <c r="P349" s="115">
        <v>0</v>
      </c>
      <c r="Q349" s="115">
        <v>0</v>
      </c>
      <c r="R349" s="116" t="s">
        <v>83</v>
      </c>
      <c r="S349" s="115">
        <v>3.4482758620689703E-2</v>
      </c>
      <c r="T349" s="115">
        <v>4.7619047619047603E-2</v>
      </c>
      <c r="U349" s="115">
        <v>0</v>
      </c>
      <c r="V349" s="115">
        <v>0</v>
      </c>
      <c r="W349" s="40">
        <v>569</v>
      </c>
      <c r="X349" s="40">
        <f t="shared" si="24"/>
        <v>160</v>
      </c>
      <c r="Y349" s="40">
        <f t="shared" si="25"/>
        <v>229</v>
      </c>
      <c r="Z349" s="105">
        <v>0.52372583479789103</v>
      </c>
      <c r="AA349" s="105">
        <v>0.47627416520210902</v>
      </c>
      <c r="AB349" s="106">
        <f>1/569</f>
        <v>1.7574692442882249E-3</v>
      </c>
      <c r="AC349" s="106">
        <f>3/569</f>
        <v>5.272407732864675E-3</v>
      </c>
      <c r="AD349" s="106">
        <f>36/569</f>
        <v>6.32688927943761E-2</v>
      </c>
      <c r="AE349" s="106">
        <f>6/569</f>
        <v>1.054481546572935E-2</v>
      </c>
      <c r="AF349" s="106">
        <v>0</v>
      </c>
      <c r="AG349" s="106">
        <f>514/569</f>
        <v>0.90333919156414766</v>
      </c>
      <c r="AH349" s="106">
        <f>9/569</f>
        <v>1.5817223198594025E-2</v>
      </c>
      <c r="AI349" s="106">
        <f>55/569</f>
        <v>9.6660808435852369E-2</v>
      </c>
      <c r="AJ349" s="105">
        <v>0.61687170474516695</v>
      </c>
      <c r="AK349" s="105">
        <v>3.5149384885764501E-3</v>
      </c>
      <c r="AL349" s="12">
        <v>35</v>
      </c>
      <c r="AM349" s="12">
        <v>34</v>
      </c>
      <c r="AN349" s="12">
        <v>0</v>
      </c>
      <c r="AO349" s="12">
        <v>54</v>
      </c>
      <c r="AP349" s="12">
        <v>37</v>
      </c>
      <c r="AQ349" s="12">
        <v>32</v>
      </c>
      <c r="AR349" s="12">
        <v>37</v>
      </c>
      <c r="AS349" s="59">
        <v>0</v>
      </c>
      <c r="AT349" s="3">
        <v>1</v>
      </c>
      <c r="AU349" s="3">
        <v>6</v>
      </c>
      <c r="AV349" s="52">
        <v>88.2</v>
      </c>
      <c r="AW349" s="52">
        <v>8.1</v>
      </c>
      <c r="AX349" s="52">
        <v>1.3</v>
      </c>
      <c r="AY349" s="71">
        <v>2.4</v>
      </c>
      <c r="AZ349" s="59">
        <v>6.4516129032258064E-3</v>
      </c>
      <c r="BA349" s="59">
        <v>1.2903225806451613E-2</v>
      </c>
      <c r="BB349" s="78">
        <v>93.298870482727907</v>
      </c>
      <c r="BC349" s="49">
        <v>23.131672597864799</v>
      </c>
      <c r="BD349" s="49">
        <v>2.9</v>
      </c>
      <c r="BE349" s="49">
        <v>0</v>
      </c>
      <c r="BF349" s="49">
        <v>2.2000000000000002</v>
      </c>
      <c r="BG349" s="49">
        <v>0</v>
      </c>
      <c r="BH349" s="49">
        <v>0</v>
      </c>
      <c r="BI349" s="49">
        <v>2.5</v>
      </c>
      <c r="BJ349" s="49">
        <v>19.8</v>
      </c>
      <c r="BK349" s="126">
        <v>12932</v>
      </c>
      <c r="BL349" s="126">
        <v>53642</v>
      </c>
      <c r="BM349" s="126">
        <v>27500</v>
      </c>
      <c r="BN349" s="126">
        <v>43501</v>
      </c>
      <c r="BO349" s="59">
        <v>1.3599999999999999E-2</v>
      </c>
      <c r="BP349" s="59">
        <v>0.40500000000000003</v>
      </c>
      <c r="BQ349" s="59">
        <v>0.20219999999999999</v>
      </c>
      <c r="BR349" s="59">
        <v>0</v>
      </c>
      <c r="BS349" s="59">
        <v>0</v>
      </c>
      <c r="BT349" s="49">
        <v>13.5</v>
      </c>
      <c r="BU349" s="59">
        <f t="shared" si="26"/>
        <v>0.62080000000000002</v>
      </c>
      <c r="BV349" s="59">
        <v>1.3599999999999999E-2</v>
      </c>
      <c r="BW349" s="59">
        <v>2.0000000000000001E-4</v>
      </c>
      <c r="BX349" s="59">
        <v>0</v>
      </c>
      <c r="BY349" s="59">
        <v>0</v>
      </c>
      <c r="BZ349" s="59">
        <v>1.3599999999999999E-2</v>
      </c>
      <c r="CA349" s="49">
        <v>24</v>
      </c>
      <c r="CB349" s="59">
        <f t="shared" si="27"/>
        <v>2.7400000000000001E-2</v>
      </c>
      <c r="CC349" s="59">
        <v>0.3569</v>
      </c>
      <c r="CD349" s="59">
        <v>0.41289999999999999</v>
      </c>
      <c r="CE349" s="59">
        <v>0.21659999999999999</v>
      </c>
      <c r="CF349" s="59">
        <v>0</v>
      </c>
      <c r="CG349" s="59">
        <v>1.3599999999999999E-2</v>
      </c>
      <c r="CH349" s="49">
        <v>12.7</v>
      </c>
      <c r="CI349" s="39" t="s">
        <v>116</v>
      </c>
      <c r="CJ349" s="18" t="s">
        <v>479</v>
      </c>
      <c r="CK349" s="20"/>
    </row>
    <row r="350" spans="1:89" x14ac:dyDescent="0.25">
      <c r="A350" s="18" t="s">
        <v>479</v>
      </c>
      <c r="B350" s="39" t="s">
        <v>113</v>
      </c>
      <c r="C350" s="39" t="s">
        <v>117</v>
      </c>
      <c r="D350" s="40">
        <v>2</v>
      </c>
      <c r="E350" s="40">
        <v>0</v>
      </c>
      <c r="F350" s="40">
        <v>2</v>
      </c>
      <c r="G350" s="163">
        <v>0</v>
      </c>
      <c r="H350" s="163">
        <v>0</v>
      </c>
      <c r="I350" s="162" t="s">
        <v>83</v>
      </c>
      <c r="J350" s="163">
        <v>1</v>
      </c>
      <c r="K350" s="163">
        <v>0</v>
      </c>
      <c r="L350" s="163">
        <v>1</v>
      </c>
      <c r="M350" s="163">
        <v>0</v>
      </c>
      <c r="N350" s="115">
        <v>2.32558139534884E-2</v>
      </c>
      <c r="O350" s="115">
        <v>3.2786885245901599E-2</v>
      </c>
      <c r="P350" s="115">
        <v>0</v>
      </c>
      <c r="Q350" s="115">
        <v>0</v>
      </c>
      <c r="R350" s="116" t="s">
        <v>83</v>
      </c>
      <c r="S350" s="115">
        <v>8.3333333333333301E-2</v>
      </c>
      <c r="T350" s="115">
        <v>0</v>
      </c>
      <c r="U350" s="115">
        <v>6.6666666666666693E-2</v>
      </c>
      <c r="V350" s="115">
        <v>0</v>
      </c>
      <c r="W350" s="40">
        <v>185</v>
      </c>
      <c r="X350" s="40">
        <f t="shared" si="24"/>
        <v>55</v>
      </c>
      <c r="Y350" s="40">
        <f t="shared" si="25"/>
        <v>76</v>
      </c>
      <c r="Z350" s="105">
        <v>0.45405405405405402</v>
      </c>
      <c r="AA350" s="105">
        <v>0.54594594594594603</v>
      </c>
      <c r="AB350" s="106">
        <v>0</v>
      </c>
      <c r="AC350" s="106">
        <v>0</v>
      </c>
      <c r="AD350" s="106">
        <f>162/185</f>
        <v>0.87567567567567572</v>
      </c>
      <c r="AE350" s="106">
        <f>3/185</f>
        <v>1.6216216216216217E-2</v>
      </c>
      <c r="AF350" s="106">
        <v>0</v>
      </c>
      <c r="AG350" s="106">
        <f>13/185</f>
        <v>7.0270270270270274E-2</v>
      </c>
      <c r="AH350" s="106">
        <f>7/185</f>
        <v>3.783783783783784E-2</v>
      </c>
      <c r="AI350" s="106">
        <f>172/185</f>
        <v>0.92972972972972978</v>
      </c>
      <c r="AJ350" s="105">
        <v>0.87027027027027026</v>
      </c>
      <c r="AK350" s="105">
        <v>0</v>
      </c>
      <c r="AL350" s="12">
        <v>9</v>
      </c>
      <c r="AM350" s="12">
        <v>12</v>
      </c>
      <c r="AN350" s="12">
        <v>0</v>
      </c>
      <c r="AO350" s="12">
        <v>10</v>
      </c>
      <c r="AP350" s="12">
        <v>17</v>
      </c>
      <c r="AQ350" s="12">
        <v>12</v>
      </c>
      <c r="AR350" s="12">
        <v>16</v>
      </c>
      <c r="AS350" s="59">
        <v>0</v>
      </c>
      <c r="AT350" s="3">
        <v>1</v>
      </c>
      <c r="AU350" s="3">
        <v>6</v>
      </c>
      <c r="AV350" s="52">
        <v>86.7</v>
      </c>
      <c r="AW350" s="52">
        <v>6.1</v>
      </c>
      <c r="AX350" s="52">
        <v>7.1</v>
      </c>
      <c r="AY350" s="70">
        <v>0</v>
      </c>
      <c r="AZ350" s="59">
        <v>1.4084507042253521E-2</v>
      </c>
      <c r="BA350" s="59">
        <v>7.5117370892018781E-2</v>
      </c>
      <c r="BB350" s="77">
        <v>98.104484512251503</v>
      </c>
      <c r="BC350" s="49">
        <v>14.553990610328601</v>
      </c>
      <c r="BD350" s="93">
        <v>0</v>
      </c>
      <c r="BE350" s="93">
        <v>0</v>
      </c>
      <c r="BF350" s="49">
        <v>0</v>
      </c>
      <c r="BG350" s="49">
        <v>0</v>
      </c>
      <c r="BH350" s="49">
        <v>0</v>
      </c>
      <c r="BI350" s="49">
        <v>0</v>
      </c>
      <c r="BJ350" s="49">
        <v>17.3</v>
      </c>
      <c r="BK350" s="126">
        <v>17238</v>
      </c>
      <c r="BL350" s="126">
        <v>53366</v>
      </c>
      <c r="BM350" s="126">
        <v>52545</v>
      </c>
      <c r="BN350" s="126">
        <v>42913</v>
      </c>
      <c r="BO350" s="59">
        <v>0</v>
      </c>
      <c r="BP350" s="59">
        <v>0.25679999999999997</v>
      </c>
      <c r="BQ350" s="59">
        <v>0.3054</v>
      </c>
      <c r="BR350" s="59">
        <v>0</v>
      </c>
      <c r="BS350" s="59">
        <v>0</v>
      </c>
      <c r="BT350" s="49">
        <v>16.5</v>
      </c>
      <c r="BU350" s="59">
        <f t="shared" si="26"/>
        <v>0.56220000000000003</v>
      </c>
      <c r="BV350" s="59">
        <v>0</v>
      </c>
      <c r="BW350" s="59">
        <v>0</v>
      </c>
      <c r="BX350" s="59">
        <v>5.0299999999999997E-2</v>
      </c>
      <c r="BY350" s="59">
        <v>0</v>
      </c>
      <c r="BZ350" s="59">
        <v>0</v>
      </c>
      <c r="CA350" s="49">
        <v>11</v>
      </c>
      <c r="CB350" s="59">
        <f t="shared" si="27"/>
        <v>5.0299999999999997E-2</v>
      </c>
      <c r="CC350" s="59">
        <v>0.33389999999999997</v>
      </c>
      <c r="CD350" s="59">
        <v>0.30819999999999997</v>
      </c>
      <c r="CE350" s="59">
        <v>0.3579</v>
      </c>
      <c r="CF350" s="59">
        <v>0</v>
      </c>
      <c r="CG350" s="59">
        <v>0</v>
      </c>
      <c r="CH350" s="49">
        <v>14.3</v>
      </c>
      <c r="CI350" s="39" t="s">
        <v>117</v>
      </c>
      <c r="CJ350" s="18" t="s">
        <v>479</v>
      </c>
      <c r="CK350" s="20"/>
    </row>
    <row r="351" spans="1:89" x14ac:dyDescent="0.25">
      <c r="A351" s="18" t="s">
        <v>479</v>
      </c>
      <c r="B351" s="39" t="s">
        <v>113</v>
      </c>
      <c r="C351" s="39" t="s">
        <v>118</v>
      </c>
      <c r="D351" s="40">
        <v>0</v>
      </c>
      <c r="E351" s="40">
        <v>0</v>
      </c>
      <c r="F351" s="40">
        <v>0</v>
      </c>
      <c r="G351" s="163">
        <v>0</v>
      </c>
      <c r="H351" s="163">
        <v>0</v>
      </c>
      <c r="I351" s="162" t="s">
        <v>83</v>
      </c>
      <c r="J351" s="163">
        <v>0</v>
      </c>
      <c r="K351" s="163">
        <v>0</v>
      </c>
      <c r="L351" s="163">
        <v>0</v>
      </c>
      <c r="M351" s="163">
        <v>0</v>
      </c>
      <c r="N351" s="115">
        <v>0</v>
      </c>
      <c r="O351" s="115">
        <v>0</v>
      </c>
      <c r="P351" s="115">
        <v>0</v>
      </c>
      <c r="Q351" s="115">
        <v>0</v>
      </c>
      <c r="R351" s="116" t="s">
        <v>83</v>
      </c>
      <c r="S351" s="115">
        <v>0</v>
      </c>
      <c r="T351" s="115">
        <v>0</v>
      </c>
      <c r="U351" s="115">
        <v>0</v>
      </c>
      <c r="V351" s="115">
        <v>0</v>
      </c>
      <c r="W351" s="40">
        <v>255</v>
      </c>
      <c r="X351" s="40">
        <f t="shared" si="24"/>
        <v>135</v>
      </c>
      <c r="Y351" s="40">
        <f t="shared" si="25"/>
        <v>210</v>
      </c>
      <c r="Z351" s="105">
        <v>0.47058823529411797</v>
      </c>
      <c r="AA351" s="105">
        <v>0.52941176470588203</v>
      </c>
      <c r="AB351" s="106">
        <v>0</v>
      </c>
      <c r="AC351" s="106">
        <f>2/255</f>
        <v>7.8431372549019607E-3</v>
      </c>
      <c r="AD351" s="106">
        <f>135/255</f>
        <v>0.52941176470588236</v>
      </c>
      <c r="AE351" s="106">
        <f>2/255</f>
        <v>7.8431372549019607E-3</v>
      </c>
      <c r="AF351" s="106">
        <v>0</v>
      </c>
      <c r="AG351" s="106">
        <f>110/255</f>
        <v>0.43137254901960786</v>
      </c>
      <c r="AH351" s="106">
        <f>6/255</f>
        <v>2.3529411764705882E-2</v>
      </c>
      <c r="AI351" s="106">
        <f>145/255</f>
        <v>0.56862745098039214</v>
      </c>
      <c r="AJ351" s="105">
        <v>0.8</v>
      </c>
      <c r="AK351" s="105">
        <v>0</v>
      </c>
      <c r="AL351" s="12">
        <v>39</v>
      </c>
      <c r="AM351" s="12">
        <v>36</v>
      </c>
      <c r="AN351" s="12">
        <v>0</v>
      </c>
      <c r="AO351" s="12">
        <v>30</v>
      </c>
      <c r="AP351" s="12">
        <v>35</v>
      </c>
      <c r="AQ351" s="12">
        <v>33</v>
      </c>
      <c r="AR351" s="12">
        <v>37</v>
      </c>
      <c r="AS351" s="59">
        <v>0</v>
      </c>
      <c r="AT351" s="3">
        <v>6</v>
      </c>
      <c r="AU351" s="3">
        <v>6</v>
      </c>
      <c r="AV351" s="52">
        <v>80.3</v>
      </c>
      <c r="AW351" s="52">
        <v>13.1</v>
      </c>
      <c r="AX351" s="52">
        <v>6.6</v>
      </c>
      <c r="AY351" s="70">
        <v>0</v>
      </c>
      <c r="AZ351" s="59">
        <v>2.8571428571428571E-2</v>
      </c>
      <c r="BA351" s="59">
        <v>6.7857142857142852E-2</v>
      </c>
      <c r="BB351" s="78">
        <v>93.780642710447907</v>
      </c>
      <c r="BC351" s="49">
        <v>29.4326241134752</v>
      </c>
      <c r="BD351" s="93">
        <v>0</v>
      </c>
      <c r="BE351" s="93">
        <v>0</v>
      </c>
      <c r="BF351" s="49">
        <v>0</v>
      </c>
      <c r="BG351" s="49">
        <v>3.7</v>
      </c>
      <c r="BH351" s="49">
        <v>0</v>
      </c>
      <c r="BI351" s="49">
        <v>0</v>
      </c>
      <c r="BJ351" s="49">
        <v>19.8</v>
      </c>
      <c r="BK351" s="126">
        <v>14800</v>
      </c>
      <c r="BL351" s="126">
        <v>56000</v>
      </c>
      <c r="BM351" s="126">
        <v>57060</v>
      </c>
      <c r="BN351" s="126">
        <v>42082</v>
      </c>
      <c r="BO351" s="59">
        <v>0</v>
      </c>
      <c r="BP351" s="59">
        <v>0.19020000000000001</v>
      </c>
      <c r="BQ351" s="59">
        <v>0.29070000000000001</v>
      </c>
      <c r="BR351" s="59">
        <v>0</v>
      </c>
      <c r="BS351" s="59">
        <v>0</v>
      </c>
      <c r="BT351" s="49">
        <v>15.1</v>
      </c>
      <c r="BU351" s="59">
        <f t="shared" si="26"/>
        <v>0.48089999999999999</v>
      </c>
      <c r="BV351" s="59">
        <v>2.3800000000000002E-2</v>
      </c>
      <c r="BW351" s="59">
        <v>0</v>
      </c>
      <c r="BX351" s="59">
        <v>2.4199999999999999E-2</v>
      </c>
      <c r="BY351" s="59">
        <v>0</v>
      </c>
      <c r="BZ351" s="59">
        <v>0</v>
      </c>
      <c r="CA351" s="49">
        <v>13</v>
      </c>
      <c r="CB351" s="59">
        <f t="shared" si="27"/>
        <v>4.8000000000000001E-2</v>
      </c>
      <c r="CC351" s="59">
        <v>0.4652</v>
      </c>
      <c r="CD351" s="59">
        <v>0.21990000000000001</v>
      </c>
      <c r="CE351" s="59">
        <v>0.31490000000000001</v>
      </c>
      <c r="CF351" s="59">
        <v>0</v>
      </c>
      <c r="CG351" s="59">
        <v>0</v>
      </c>
      <c r="CH351" s="49">
        <v>12.7</v>
      </c>
      <c r="CI351" s="39" t="s">
        <v>118</v>
      </c>
      <c r="CJ351" s="18" t="s">
        <v>479</v>
      </c>
      <c r="CK351" s="20"/>
    </row>
    <row r="352" spans="1:89" x14ac:dyDescent="0.25">
      <c r="A352" s="18" t="s">
        <v>479</v>
      </c>
      <c r="B352" s="39" t="s">
        <v>113</v>
      </c>
      <c r="C352" s="39" t="s">
        <v>119</v>
      </c>
      <c r="D352" s="40">
        <v>1</v>
      </c>
      <c r="E352" s="40">
        <v>1</v>
      </c>
      <c r="F352" s="40">
        <v>0</v>
      </c>
      <c r="G352" s="163">
        <v>1</v>
      </c>
      <c r="H352" s="163">
        <v>0</v>
      </c>
      <c r="I352" s="162" t="s">
        <v>83</v>
      </c>
      <c r="J352" s="163">
        <v>0</v>
      </c>
      <c r="K352" s="163">
        <v>0</v>
      </c>
      <c r="L352" s="163">
        <v>0</v>
      </c>
      <c r="M352" s="163">
        <v>0</v>
      </c>
      <c r="N352" s="115">
        <v>5.6179775280898901E-3</v>
      </c>
      <c r="O352" s="115">
        <v>0</v>
      </c>
      <c r="P352" s="115">
        <v>3.125E-2</v>
      </c>
      <c r="Q352" s="115">
        <v>0</v>
      </c>
      <c r="R352" s="116" t="s">
        <v>83</v>
      </c>
      <c r="S352" s="115">
        <v>0</v>
      </c>
      <c r="T352" s="115">
        <v>0</v>
      </c>
      <c r="U352" s="115">
        <v>0</v>
      </c>
      <c r="V352" s="115">
        <v>0</v>
      </c>
      <c r="W352" s="40">
        <v>366</v>
      </c>
      <c r="X352" s="40">
        <f t="shared" si="24"/>
        <v>96</v>
      </c>
      <c r="Y352" s="40">
        <f t="shared" si="25"/>
        <v>158</v>
      </c>
      <c r="Z352" s="105">
        <v>0.52459016393442603</v>
      </c>
      <c r="AA352" s="105">
        <v>0.47540983606557402</v>
      </c>
      <c r="AB352" s="106">
        <v>0</v>
      </c>
      <c r="AC352" s="106">
        <v>0</v>
      </c>
      <c r="AD352" s="106">
        <f>70/366</f>
        <v>0.19125683060109289</v>
      </c>
      <c r="AE352" s="106">
        <f>7/366</f>
        <v>1.912568306010929E-2</v>
      </c>
      <c r="AF352" s="106">
        <v>0</v>
      </c>
      <c r="AG352" s="106">
        <f>288/366</f>
        <v>0.78688524590163933</v>
      </c>
      <c r="AH352" s="106">
        <f>1/366</f>
        <v>2.7322404371584699E-3</v>
      </c>
      <c r="AI352" s="106">
        <f>78/366</f>
        <v>0.21311475409836064</v>
      </c>
      <c r="AJ352" s="105">
        <v>0.57650273224043713</v>
      </c>
      <c r="AK352" s="105">
        <v>2.7322404371584699E-3</v>
      </c>
      <c r="AL352" s="12">
        <v>28</v>
      </c>
      <c r="AM352" s="12">
        <v>34</v>
      </c>
      <c r="AN352" s="12">
        <v>0</v>
      </c>
      <c r="AO352" s="12">
        <v>24</v>
      </c>
      <c r="AP352" s="12">
        <v>31</v>
      </c>
      <c r="AQ352" s="12">
        <v>19</v>
      </c>
      <c r="AR352" s="12">
        <v>22</v>
      </c>
      <c r="AS352" s="59">
        <v>0</v>
      </c>
      <c r="AT352" s="3">
        <v>1</v>
      </c>
      <c r="AU352" s="3">
        <v>6</v>
      </c>
      <c r="AV352" s="52">
        <v>83.7</v>
      </c>
      <c r="AW352" s="52">
        <v>12.4</v>
      </c>
      <c r="AX352" s="52">
        <v>3.4</v>
      </c>
      <c r="AY352" s="71">
        <v>0.6</v>
      </c>
      <c r="AZ352" s="59">
        <v>7.0422535211267609E-2</v>
      </c>
      <c r="BA352" s="59">
        <v>2.3474178403755869E-3</v>
      </c>
      <c r="BB352" s="77">
        <v>94.666898976779507</v>
      </c>
      <c r="BC352" s="49">
        <v>24.050632911392398</v>
      </c>
      <c r="BD352" s="93">
        <v>0</v>
      </c>
      <c r="BE352" s="93">
        <v>0</v>
      </c>
      <c r="BF352" s="49">
        <v>0</v>
      </c>
      <c r="BG352" s="49">
        <v>3.2</v>
      </c>
      <c r="BH352" s="49">
        <v>0</v>
      </c>
      <c r="BI352" s="49">
        <v>0</v>
      </c>
      <c r="BJ352" s="49">
        <v>20.5</v>
      </c>
      <c r="BK352" s="126">
        <v>13067</v>
      </c>
      <c r="BL352" s="126">
        <v>55524</v>
      </c>
      <c r="BM352" s="126">
        <v>48549</v>
      </c>
      <c r="BN352" s="126">
        <v>42879</v>
      </c>
      <c r="BO352" s="59">
        <v>0</v>
      </c>
      <c r="BP352" s="59">
        <v>0.38640000000000002</v>
      </c>
      <c r="BQ352" s="59">
        <v>0.16339999999999999</v>
      </c>
      <c r="BR352" s="59">
        <v>0</v>
      </c>
      <c r="BS352" s="59">
        <v>1.9E-2</v>
      </c>
      <c r="BT352" s="49">
        <v>17</v>
      </c>
      <c r="BU352" s="59">
        <f t="shared" si="26"/>
        <v>0.56880000000000008</v>
      </c>
      <c r="BV352" s="59">
        <v>1.8700000000000001E-2</v>
      </c>
      <c r="BW352" s="59">
        <v>0</v>
      </c>
      <c r="BX352" s="59">
        <v>1.8599999999999998E-2</v>
      </c>
      <c r="BY352" s="59">
        <v>0</v>
      </c>
      <c r="BZ352" s="59">
        <v>4.0000000000000002E-4</v>
      </c>
      <c r="CA352" s="49">
        <v>7.8</v>
      </c>
      <c r="CB352" s="59">
        <f t="shared" si="27"/>
        <v>3.7699999999999997E-2</v>
      </c>
      <c r="CC352" s="59">
        <v>0.37430000000000002</v>
      </c>
      <c r="CD352" s="59">
        <v>0.4244</v>
      </c>
      <c r="CE352" s="59">
        <v>0.182</v>
      </c>
      <c r="CF352" s="59">
        <v>0</v>
      </c>
      <c r="CG352" s="59">
        <v>1.9300000000000001E-2</v>
      </c>
      <c r="CH352" s="49">
        <v>13.7</v>
      </c>
      <c r="CI352" s="39" t="s">
        <v>119</v>
      </c>
      <c r="CJ352" s="18" t="s">
        <v>479</v>
      </c>
      <c r="CK352" s="20"/>
    </row>
    <row r="353" spans="1:99" x14ac:dyDescent="0.25">
      <c r="A353" s="18" t="s">
        <v>479</v>
      </c>
      <c r="B353" s="39" t="s">
        <v>120</v>
      </c>
      <c r="C353" s="39" t="s">
        <v>121</v>
      </c>
      <c r="D353" s="40">
        <v>35</v>
      </c>
      <c r="E353" s="40" t="s">
        <v>83</v>
      </c>
      <c r="F353" s="40">
        <v>35</v>
      </c>
      <c r="G353" s="162" t="s">
        <v>83</v>
      </c>
      <c r="H353" s="162" t="s">
        <v>83</v>
      </c>
      <c r="I353" s="163">
        <v>0</v>
      </c>
      <c r="J353" s="163">
        <v>8</v>
      </c>
      <c r="K353" s="163">
        <v>12</v>
      </c>
      <c r="L353" s="163">
        <v>5</v>
      </c>
      <c r="M353" s="163">
        <v>10</v>
      </c>
      <c r="N353" s="115">
        <v>1.7098192476795299E-2</v>
      </c>
      <c r="O353" s="115">
        <v>1.7098192476795299E-2</v>
      </c>
      <c r="P353" s="116" t="s">
        <v>83</v>
      </c>
      <c r="Q353" s="116" t="s">
        <v>83</v>
      </c>
      <c r="R353" s="115">
        <v>0</v>
      </c>
      <c r="S353" s="115">
        <v>1.3114754098360701E-2</v>
      </c>
      <c r="T353" s="115">
        <v>2.2598870056497199E-2</v>
      </c>
      <c r="U353" s="115">
        <v>1.06609808102345E-2</v>
      </c>
      <c r="V353" s="115">
        <v>2.4630541871921201E-2</v>
      </c>
      <c r="W353" s="40">
        <v>1902</v>
      </c>
      <c r="X353" s="40">
        <f t="shared" si="24"/>
        <v>1902</v>
      </c>
      <c r="Y353" s="40">
        <f t="shared" si="25"/>
        <v>1902</v>
      </c>
      <c r="Z353" s="105">
        <v>0.50788643533123001</v>
      </c>
      <c r="AA353" s="105">
        <v>0.49211356466876999</v>
      </c>
      <c r="AB353" s="106">
        <f>8/1902</f>
        <v>4.206098843322818E-3</v>
      </c>
      <c r="AC353" s="106">
        <f>44/1902</f>
        <v>2.3133543638275498E-2</v>
      </c>
      <c r="AD353" s="106">
        <f>634/1902</f>
        <v>0.33333333333333331</v>
      </c>
      <c r="AE353" s="106">
        <f>132/1902</f>
        <v>6.9400630914826497E-2</v>
      </c>
      <c r="AF353" s="106">
        <f>6/1902</f>
        <v>3.1545741324921135E-3</v>
      </c>
      <c r="AG353" s="106">
        <f>1029/1902</f>
        <v>0.54100946372239744</v>
      </c>
      <c r="AH353" s="106">
        <f>49/1902</f>
        <v>2.576235541535226E-2</v>
      </c>
      <c r="AI353" s="106">
        <f>873/1902</f>
        <v>0.4589905362776025</v>
      </c>
      <c r="AJ353" s="105">
        <v>0.4206098843322818</v>
      </c>
      <c r="AK353" s="105">
        <v>1.5247108307045201E-2</v>
      </c>
      <c r="AL353" s="12">
        <v>0</v>
      </c>
      <c r="AM353" s="12">
        <v>0</v>
      </c>
      <c r="AN353" s="12">
        <v>27</v>
      </c>
      <c r="AO353" s="12">
        <v>552</v>
      </c>
      <c r="AP353" s="12">
        <v>489</v>
      </c>
      <c r="AQ353" s="12">
        <v>445</v>
      </c>
      <c r="AR353" s="12">
        <v>389</v>
      </c>
      <c r="AS353" s="59">
        <v>4.6632124352331605E-2</v>
      </c>
      <c r="AT353" s="3">
        <v>9</v>
      </c>
      <c r="AU353" s="3">
        <v>6</v>
      </c>
      <c r="AV353" s="52">
        <v>38.299999999999997</v>
      </c>
      <c r="AW353" s="52">
        <v>24.5</v>
      </c>
      <c r="AX353" s="52">
        <v>32.700000000000003</v>
      </c>
      <c r="AY353" s="71">
        <v>4.5999999999999996</v>
      </c>
      <c r="AZ353" s="59">
        <v>0.1735496558505408</v>
      </c>
      <c r="BA353" s="59">
        <v>9.7836774827925271E-2</v>
      </c>
      <c r="BB353" s="78">
        <v>93.496863389975005</v>
      </c>
      <c r="BC353" s="49">
        <v>29.788257940327199</v>
      </c>
      <c r="BD353" s="90" t="s">
        <v>83</v>
      </c>
      <c r="BE353" s="90" t="s">
        <v>83</v>
      </c>
      <c r="BF353" s="49">
        <v>6.1</v>
      </c>
      <c r="BG353" s="49">
        <v>4.9000000000000004</v>
      </c>
      <c r="BH353" s="49">
        <v>0.5</v>
      </c>
      <c r="BI353" s="49">
        <v>4.3</v>
      </c>
      <c r="BJ353" s="49">
        <v>20.7</v>
      </c>
      <c r="BK353" s="126">
        <v>8399</v>
      </c>
      <c r="BL353" s="126">
        <v>48849</v>
      </c>
      <c r="BM353" s="126">
        <v>49720</v>
      </c>
      <c r="BN353" s="126">
        <v>40332</v>
      </c>
      <c r="BO353" s="59">
        <v>0</v>
      </c>
      <c r="BP353" s="59">
        <v>0.33160000000000001</v>
      </c>
      <c r="BQ353" s="59">
        <v>0.26750000000000002</v>
      </c>
      <c r="BR353" s="59">
        <v>0</v>
      </c>
      <c r="BS353" s="59">
        <v>0</v>
      </c>
      <c r="BT353" s="49">
        <v>13.8</v>
      </c>
      <c r="BU353" s="59">
        <f t="shared" si="26"/>
        <v>0.59909999999999997</v>
      </c>
      <c r="BV353" s="59">
        <v>2.58E-2</v>
      </c>
      <c r="BW353" s="59">
        <v>6.4000000000000003E-3</v>
      </c>
      <c r="BX353" s="59">
        <v>2.58E-2</v>
      </c>
      <c r="BY353" s="59">
        <v>0</v>
      </c>
      <c r="BZ353" s="59">
        <v>0</v>
      </c>
      <c r="CA353" s="49">
        <v>17.3</v>
      </c>
      <c r="CB353" s="59">
        <f t="shared" si="27"/>
        <v>5.7999999999999996E-2</v>
      </c>
      <c r="CC353" s="59">
        <v>0.29139999999999999</v>
      </c>
      <c r="CD353" s="59">
        <v>0.37019999999999997</v>
      </c>
      <c r="CE353" s="59">
        <v>0.33189999999999997</v>
      </c>
      <c r="CF353" s="59">
        <v>6.4000000000000003E-3</v>
      </c>
      <c r="CG353" s="59">
        <v>0</v>
      </c>
      <c r="CH353" s="49">
        <v>12.7</v>
      </c>
      <c r="CI353" s="39" t="s">
        <v>121</v>
      </c>
      <c r="CJ353" s="18" t="s">
        <v>479</v>
      </c>
      <c r="CK353" s="20"/>
    </row>
    <row r="354" spans="1:99" x14ac:dyDescent="0.25">
      <c r="A354" s="18" t="s">
        <v>479</v>
      </c>
      <c r="B354" s="39" t="s">
        <v>120</v>
      </c>
      <c r="C354" s="39" t="s">
        <v>122</v>
      </c>
      <c r="D354" s="40">
        <v>16</v>
      </c>
      <c r="E354" s="40" t="s">
        <v>83</v>
      </c>
      <c r="F354" s="40">
        <v>16</v>
      </c>
      <c r="G354" s="162" t="s">
        <v>83</v>
      </c>
      <c r="H354" s="162" t="s">
        <v>83</v>
      </c>
      <c r="I354" s="163">
        <v>0</v>
      </c>
      <c r="J354" s="163">
        <v>5</v>
      </c>
      <c r="K354" s="163">
        <v>5</v>
      </c>
      <c r="L354" s="163">
        <v>2</v>
      </c>
      <c r="M354" s="163">
        <v>4</v>
      </c>
      <c r="N354" s="115">
        <v>1.5640273704789799E-2</v>
      </c>
      <c r="O354" s="115">
        <v>1.5640273704789799E-2</v>
      </c>
      <c r="P354" s="116" t="s">
        <v>83</v>
      </c>
      <c r="Q354" s="116" t="s">
        <v>83</v>
      </c>
      <c r="R354" s="115">
        <v>0</v>
      </c>
      <c r="S354" s="115">
        <v>1.66112956810631E-2</v>
      </c>
      <c r="T354" s="115">
        <v>1.8587360594795502E-2</v>
      </c>
      <c r="U354" s="115">
        <v>8.5470085470085496E-3</v>
      </c>
      <c r="V354" s="115">
        <v>1.9704433497536901E-2</v>
      </c>
      <c r="W354" s="40">
        <v>966</v>
      </c>
      <c r="X354" s="40">
        <f t="shared" si="24"/>
        <v>966</v>
      </c>
      <c r="Y354" s="40">
        <f t="shared" si="25"/>
        <v>966</v>
      </c>
      <c r="Z354" s="105">
        <v>0.46376811594202899</v>
      </c>
      <c r="AA354" s="105">
        <v>0.53623188405797095</v>
      </c>
      <c r="AB354" s="106">
        <f>3/966</f>
        <v>3.105590062111801E-3</v>
      </c>
      <c r="AC354" s="106">
        <f>7/966</f>
        <v>7.246376811594203E-3</v>
      </c>
      <c r="AD354" s="106">
        <f>148/966</f>
        <v>0.15320910973084886</v>
      </c>
      <c r="AE354" s="106">
        <f>29/966</f>
        <v>3.0020703933747412E-2</v>
      </c>
      <c r="AF354" s="106">
        <v>0</v>
      </c>
      <c r="AG354" s="106">
        <f>759/966</f>
        <v>0.7857142857142857</v>
      </c>
      <c r="AH354" s="106">
        <f>20/966</f>
        <v>2.0703933747412008E-2</v>
      </c>
      <c r="AI354" s="106">
        <f>207/966</f>
        <v>0.21428571428571427</v>
      </c>
      <c r="AJ354" s="105">
        <v>0.27329192546583853</v>
      </c>
      <c r="AK354" s="105">
        <v>4.1407867494824002E-3</v>
      </c>
      <c r="AL354" s="12">
        <v>0</v>
      </c>
      <c r="AM354" s="12">
        <v>0</v>
      </c>
      <c r="AN354" s="12">
        <v>17</v>
      </c>
      <c r="AO354" s="12">
        <v>282</v>
      </c>
      <c r="AP354" s="12">
        <v>250</v>
      </c>
      <c r="AQ354" s="12">
        <v>222</v>
      </c>
      <c r="AR354" s="12">
        <v>195</v>
      </c>
      <c r="AS354" s="59">
        <v>5.6856187290969896E-2</v>
      </c>
      <c r="AT354" s="3">
        <v>9</v>
      </c>
      <c r="AU354" s="3">
        <v>6</v>
      </c>
      <c r="AV354" s="52">
        <v>53.3</v>
      </c>
      <c r="AW354" s="52">
        <v>22.6</v>
      </c>
      <c r="AX354" s="52">
        <v>23.1</v>
      </c>
      <c r="AY354" s="71">
        <v>0.9</v>
      </c>
      <c r="AZ354" s="59">
        <v>0.15960591133004925</v>
      </c>
      <c r="BA354" s="59">
        <v>5.7142857142857141E-2</v>
      </c>
      <c r="BB354" s="77">
        <v>93.3047683024988</v>
      </c>
      <c r="BC354" s="49">
        <v>42.953667953668003</v>
      </c>
      <c r="BD354" s="90" t="s">
        <v>83</v>
      </c>
      <c r="BE354" s="90" t="s">
        <v>83</v>
      </c>
      <c r="BF354" s="49">
        <v>6.1</v>
      </c>
      <c r="BG354" s="49">
        <v>2.5</v>
      </c>
      <c r="BH354" s="49">
        <v>1.4</v>
      </c>
      <c r="BI354" s="49">
        <v>0.5</v>
      </c>
      <c r="BJ354" s="49">
        <v>21.1</v>
      </c>
      <c r="BK354" s="126">
        <v>9809</v>
      </c>
      <c r="BL354" s="126">
        <v>48737</v>
      </c>
      <c r="BM354" s="126">
        <v>46598</v>
      </c>
      <c r="BN354" s="126">
        <v>37114</v>
      </c>
      <c r="BO354" s="59">
        <v>0</v>
      </c>
      <c r="BP354" s="59">
        <v>0.29709999999999998</v>
      </c>
      <c r="BQ354" s="59">
        <v>0.22459999999999999</v>
      </c>
      <c r="BR354" s="59">
        <v>0</v>
      </c>
      <c r="BS354" s="59">
        <v>0</v>
      </c>
      <c r="BT354" s="49">
        <v>12.7</v>
      </c>
      <c r="BU354" s="59">
        <f t="shared" si="26"/>
        <v>0.52169999999999994</v>
      </c>
      <c r="BV354" s="59">
        <v>2.93E-2</v>
      </c>
      <c r="BW354" s="59">
        <v>0</v>
      </c>
      <c r="BX354" s="59">
        <v>1.95E-2</v>
      </c>
      <c r="BY354" s="59">
        <v>0</v>
      </c>
      <c r="BZ354" s="59">
        <v>0</v>
      </c>
      <c r="CA354" s="49">
        <v>12.2</v>
      </c>
      <c r="CB354" s="59">
        <f t="shared" si="27"/>
        <v>4.8799999999999996E-2</v>
      </c>
      <c r="CC354" s="59">
        <v>0.40010000000000001</v>
      </c>
      <c r="CD354" s="59">
        <v>0.31669999999999998</v>
      </c>
      <c r="CE354" s="59">
        <v>0.28320000000000001</v>
      </c>
      <c r="CF354" s="59">
        <v>0</v>
      </c>
      <c r="CG354" s="59">
        <v>0</v>
      </c>
      <c r="CH354" s="49">
        <v>11.7</v>
      </c>
      <c r="CI354" s="39" t="s">
        <v>122</v>
      </c>
      <c r="CJ354" s="18" t="s">
        <v>479</v>
      </c>
      <c r="CK354" s="20"/>
    </row>
    <row r="355" spans="1:99" x14ac:dyDescent="0.25">
      <c r="A355" s="18" t="s">
        <v>479</v>
      </c>
      <c r="B355" s="39" t="s">
        <v>120</v>
      </c>
      <c r="C355" s="39" t="s">
        <v>123</v>
      </c>
      <c r="D355" s="40">
        <v>39</v>
      </c>
      <c r="E355" s="40" t="s">
        <v>83</v>
      </c>
      <c r="F355" s="40">
        <v>39</v>
      </c>
      <c r="G355" s="162" t="s">
        <v>83</v>
      </c>
      <c r="H355" s="162" t="s">
        <v>83</v>
      </c>
      <c r="I355" s="163">
        <v>0</v>
      </c>
      <c r="J355" s="163">
        <v>5</v>
      </c>
      <c r="K355" s="163">
        <v>13</v>
      </c>
      <c r="L355" s="163">
        <v>14</v>
      </c>
      <c r="M355" s="163">
        <v>7</v>
      </c>
      <c r="N355" s="115">
        <v>5.2989130434782601E-2</v>
      </c>
      <c r="O355" s="115">
        <v>5.2989130434782601E-2</v>
      </c>
      <c r="P355" s="116" t="s">
        <v>83</v>
      </c>
      <c r="Q355" s="116" t="s">
        <v>83</v>
      </c>
      <c r="R355" s="115">
        <v>0</v>
      </c>
      <c r="S355" s="115">
        <v>2.4752475247524799E-2</v>
      </c>
      <c r="T355" s="115">
        <v>5.8558558558558599E-2</v>
      </c>
      <c r="U355" s="115">
        <v>0.1</v>
      </c>
      <c r="V355" s="115">
        <v>4.7945205479452101E-2</v>
      </c>
      <c r="W355" s="40">
        <v>632</v>
      </c>
      <c r="X355" s="40">
        <f t="shared" si="24"/>
        <v>632</v>
      </c>
      <c r="Y355" s="40">
        <f t="shared" si="25"/>
        <v>632</v>
      </c>
      <c r="Z355" s="105">
        <v>0.477848101265823</v>
      </c>
      <c r="AA355" s="105">
        <v>0.522151898734177</v>
      </c>
      <c r="AB355" s="106">
        <v>0</v>
      </c>
      <c r="AC355" s="106">
        <f>5/632</f>
        <v>7.9113924050632917E-3</v>
      </c>
      <c r="AD355" s="106">
        <f>392/632</f>
        <v>0.620253164556962</v>
      </c>
      <c r="AE355" s="106">
        <f>92/632</f>
        <v>0.14556962025316456</v>
      </c>
      <c r="AF355" s="106">
        <f>1/632</f>
        <v>1.5822784810126582E-3</v>
      </c>
      <c r="AG355" s="106">
        <f>123/632</f>
        <v>0.19462025316455697</v>
      </c>
      <c r="AH355" s="106">
        <f>19/632</f>
        <v>3.0063291139240507E-2</v>
      </c>
      <c r="AI355" s="106">
        <f>509/632</f>
        <v>0.805379746835443</v>
      </c>
      <c r="AJ355" s="105">
        <v>0.80379746835443033</v>
      </c>
      <c r="AK355" s="105">
        <v>5.5379746835443E-2</v>
      </c>
      <c r="AL355" s="12">
        <v>0</v>
      </c>
      <c r="AM355" s="12">
        <v>0</v>
      </c>
      <c r="AN355" s="12">
        <v>25</v>
      </c>
      <c r="AO355" s="12">
        <v>173</v>
      </c>
      <c r="AP355" s="12">
        <v>187</v>
      </c>
      <c r="AQ355" s="12">
        <v>114</v>
      </c>
      <c r="AR355" s="12">
        <v>133</v>
      </c>
      <c r="AS355" s="59">
        <v>0.12626262626262627</v>
      </c>
      <c r="AT355" s="3">
        <v>9</v>
      </c>
      <c r="AU355" s="3">
        <v>6</v>
      </c>
      <c r="AV355" s="52">
        <v>75.599999999999994</v>
      </c>
      <c r="AW355" s="52">
        <v>20.100000000000001</v>
      </c>
      <c r="AX355" s="52">
        <v>3.8</v>
      </c>
      <c r="AY355" s="71">
        <v>0.5</v>
      </c>
      <c r="AZ355" s="59">
        <v>0.1070931849791377</v>
      </c>
      <c r="BA355" s="59">
        <v>0.16828929068150209</v>
      </c>
      <c r="BB355" s="78">
        <v>89.790418342499095</v>
      </c>
      <c r="BC355" s="49">
        <v>51.044386422976501</v>
      </c>
      <c r="BD355" s="90" t="s">
        <v>83</v>
      </c>
      <c r="BE355" s="90" t="s">
        <v>83</v>
      </c>
      <c r="BF355" s="49">
        <v>12.9</v>
      </c>
      <c r="BG355" s="49">
        <v>13.2</v>
      </c>
      <c r="BH355" s="49">
        <v>0.9</v>
      </c>
      <c r="BI355" s="49">
        <v>8.3000000000000007</v>
      </c>
      <c r="BJ355" s="49">
        <v>16.5</v>
      </c>
      <c r="BK355" s="126">
        <v>11868</v>
      </c>
      <c r="BL355" s="126">
        <v>47184</v>
      </c>
      <c r="BM355" s="126">
        <v>53667</v>
      </c>
      <c r="BN355" s="126">
        <v>38437</v>
      </c>
      <c r="BO355" s="59">
        <v>0</v>
      </c>
      <c r="BP355" s="59">
        <v>0.38190000000000002</v>
      </c>
      <c r="BQ355" s="59">
        <v>0.15570000000000001</v>
      </c>
      <c r="BR355" s="59">
        <v>0</v>
      </c>
      <c r="BS355" s="59">
        <v>0</v>
      </c>
      <c r="BT355" s="49">
        <v>10.4</v>
      </c>
      <c r="BU355" s="59">
        <f t="shared" si="26"/>
        <v>0.53760000000000008</v>
      </c>
      <c r="BV355" s="59">
        <v>3.5900000000000001E-2</v>
      </c>
      <c r="BW355" s="59">
        <v>0</v>
      </c>
      <c r="BX355" s="59">
        <v>3.5900000000000001E-2</v>
      </c>
      <c r="BY355" s="59">
        <v>0</v>
      </c>
      <c r="BZ355" s="59">
        <v>0</v>
      </c>
      <c r="CA355" s="49">
        <v>17.5</v>
      </c>
      <c r="CB355" s="59">
        <f t="shared" si="27"/>
        <v>7.1800000000000003E-2</v>
      </c>
      <c r="CC355" s="59">
        <v>0.35460000000000003</v>
      </c>
      <c r="CD355" s="59">
        <v>0.40579999999999999</v>
      </c>
      <c r="CE355" s="59">
        <v>0.23960000000000001</v>
      </c>
      <c r="CF355" s="59">
        <v>0</v>
      </c>
      <c r="CG355" s="59">
        <v>0</v>
      </c>
      <c r="CH355" s="49">
        <v>10.9</v>
      </c>
      <c r="CI355" s="39" t="s">
        <v>123</v>
      </c>
      <c r="CJ355" s="18" t="s">
        <v>479</v>
      </c>
      <c r="CK355" s="20"/>
    </row>
    <row r="356" spans="1:99" x14ac:dyDescent="0.25">
      <c r="A356" s="18" t="s">
        <v>479</v>
      </c>
      <c r="B356" s="39" t="s">
        <v>120</v>
      </c>
      <c r="C356" s="39" t="s">
        <v>124</v>
      </c>
      <c r="D356" s="40">
        <v>32</v>
      </c>
      <c r="E356" s="40" t="s">
        <v>83</v>
      </c>
      <c r="F356" s="40">
        <v>32</v>
      </c>
      <c r="G356" s="162" t="s">
        <v>83</v>
      </c>
      <c r="H356" s="162" t="s">
        <v>83</v>
      </c>
      <c r="I356" s="163">
        <v>0</v>
      </c>
      <c r="J356" s="163">
        <v>13</v>
      </c>
      <c r="K356" s="163">
        <v>3</v>
      </c>
      <c r="L356" s="163">
        <v>8</v>
      </c>
      <c r="M356" s="163">
        <v>8</v>
      </c>
      <c r="N356" s="115">
        <v>2.4539877300613501E-2</v>
      </c>
      <c r="O356" s="115">
        <v>2.4539877300613501E-2</v>
      </c>
      <c r="P356" s="116" t="s">
        <v>83</v>
      </c>
      <c r="Q356" s="116" t="s">
        <v>83</v>
      </c>
      <c r="R356" s="115">
        <v>0</v>
      </c>
      <c r="S356" s="115">
        <v>3.19410319410319E-2</v>
      </c>
      <c r="T356" s="115">
        <v>8.6206896551724102E-3</v>
      </c>
      <c r="U356" s="115">
        <v>2.6229508196721301E-2</v>
      </c>
      <c r="V356" s="115">
        <v>3.3472803347280297E-2</v>
      </c>
      <c r="W356" s="40">
        <v>1218</v>
      </c>
      <c r="X356" s="40">
        <f t="shared" si="24"/>
        <v>1218</v>
      </c>
      <c r="Y356" s="40">
        <f t="shared" si="25"/>
        <v>1218</v>
      </c>
      <c r="Z356" s="105">
        <v>0.47536945812807901</v>
      </c>
      <c r="AA356" s="105">
        <v>0.52463054187192104</v>
      </c>
      <c r="AB356" s="106">
        <f>6/1218</f>
        <v>4.9261083743842365E-3</v>
      </c>
      <c r="AC356" s="106">
        <f>6/1218</f>
        <v>4.9261083743842365E-3</v>
      </c>
      <c r="AD356" s="106">
        <f>195/1218</f>
        <v>0.16009852216748768</v>
      </c>
      <c r="AE356" s="106">
        <f>71/1218</f>
        <v>5.8292282430213463E-2</v>
      </c>
      <c r="AF356" s="106">
        <f>3/1218</f>
        <v>2.4630541871921183E-3</v>
      </c>
      <c r="AG356" s="106">
        <f>907/1218</f>
        <v>0.74466338259441711</v>
      </c>
      <c r="AH356" s="106">
        <f>30/1218</f>
        <v>2.4630541871921183E-2</v>
      </c>
      <c r="AI356" s="106">
        <f>311/1218</f>
        <v>0.25533661740558294</v>
      </c>
      <c r="AJ356" s="105">
        <v>0.45073891625615764</v>
      </c>
      <c r="AK356" s="105">
        <v>9.8522167487684695E-3</v>
      </c>
      <c r="AL356" s="12">
        <v>0</v>
      </c>
      <c r="AM356" s="12">
        <v>0</v>
      </c>
      <c r="AN356" s="12">
        <v>4</v>
      </c>
      <c r="AO356" s="12">
        <v>372</v>
      </c>
      <c r="AP356" s="12">
        <v>327</v>
      </c>
      <c r="AQ356" s="12">
        <v>288</v>
      </c>
      <c r="AR356" s="12">
        <v>227</v>
      </c>
      <c r="AS356" s="59">
        <v>1.0638297872340425E-2</v>
      </c>
      <c r="AT356" s="3">
        <v>9</v>
      </c>
      <c r="AU356" s="3">
        <v>6</v>
      </c>
      <c r="AV356" s="52">
        <v>39</v>
      </c>
      <c r="AW356" s="52">
        <v>26</v>
      </c>
      <c r="AX356" s="52">
        <v>33.299999999999997</v>
      </c>
      <c r="AY356" s="71">
        <v>1.7</v>
      </c>
      <c r="AZ356" s="59">
        <v>0.21056721056721056</v>
      </c>
      <c r="BA356" s="59">
        <v>0.10722610722610723</v>
      </c>
      <c r="BB356" s="77">
        <v>92.598025374370096</v>
      </c>
      <c r="BC356" s="49">
        <v>44.360902255639097</v>
      </c>
      <c r="BD356" s="90" t="s">
        <v>83</v>
      </c>
      <c r="BE356" s="90" t="s">
        <v>83</v>
      </c>
      <c r="BF356" s="49">
        <v>5.7</v>
      </c>
      <c r="BG356" s="49">
        <v>6.9</v>
      </c>
      <c r="BH356" s="49">
        <v>1.8</v>
      </c>
      <c r="BI356" s="49">
        <v>1.4</v>
      </c>
      <c r="BJ356" s="49">
        <v>19.5</v>
      </c>
      <c r="BK356" s="126">
        <v>9544</v>
      </c>
      <c r="BL356" s="126">
        <v>48679</v>
      </c>
      <c r="BM356" s="126">
        <v>53282</v>
      </c>
      <c r="BN356" s="126">
        <v>40000</v>
      </c>
      <c r="BO356" s="59">
        <v>0</v>
      </c>
      <c r="BP356" s="59">
        <v>0.35</v>
      </c>
      <c r="BQ356" s="59">
        <v>0.22639999999999999</v>
      </c>
      <c r="BR356" s="59">
        <v>0</v>
      </c>
      <c r="BS356" s="59">
        <v>0</v>
      </c>
      <c r="BT356" s="49">
        <v>13</v>
      </c>
      <c r="BU356" s="59">
        <f t="shared" si="26"/>
        <v>0.57640000000000002</v>
      </c>
      <c r="BV356" s="59">
        <v>3.3500000000000002E-2</v>
      </c>
      <c r="BW356" s="59">
        <v>0</v>
      </c>
      <c r="BX356" s="59">
        <v>2.52E-2</v>
      </c>
      <c r="BY356" s="59">
        <v>0</v>
      </c>
      <c r="BZ356" s="59">
        <v>0</v>
      </c>
      <c r="CA356" s="49">
        <v>24.7</v>
      </c>
      <c r="CB356" s="59">
        <f t="shared" si="27"/>
        <v>5.8700000000000002E-2</v>
      </c>
      <c r="CC356" s="59">
        <v>0.34820000000000001</v>
      </c>
      <c r="CD356" s="59">
        <v>0.35</v>
      </c>
      <c r="CE356" s="59">
        <v>0.30180000000000001</v>
      </c>
      <c r="CF356" s="59">
        <v>0</v>
      </c>
      <c r="CG356" s="59">
        <v>0</v>
      </c>
      <c r="CH356" s="49">
        <v>13.4</v>
      </c>
      <c r="CI356" s="39" t="s">
        <v>124</v>
      </c>
      <c r="CJ356" s="18" t="s">
        <v>479</v>
      </c>
      <c r="CK356" s="20"/>
    </row>
    <row r="357" spans="1:99" x14ac:dyDescent="0.25">
      <c r="A357" s="18" t="s">
        <v>479</v>
      </c>
      <c r="B357" s="39" t="s">
        <v>120</v>
      </c>
      <c r="C357" s="39" t="s">
        <v>125</v>
      </c>
      <c r="D357" s="40">
        <v>28</v>
      </c>
      <c r="E357" s="40" t="s">
        <v>83</v>
      </c>
      <c r="F357" s="40">
        <v>28</v>
      </c>
      <c r="G357" s="162" t="s">
        <v>83</v>
      </c>
      <c r="H357" s="162" t="s">
        <v>83</v>
      </c>
      <c r="I357" s="163">
        <v>0</v>
      </c>
      <c r="J357" s="163">
        <v>8</v>
      </c>
      <c r="K357" s="163">
        <v>9</v>
      </c>
      <c r="L357" s="163">
        <v>5</v>
      </c>
      <c r="M357" s="163">
        <v>6</v>
      </c>
      <c r="N357" s="115">
        <v>2.0512820512820499E-2</v>
      </c>
      <c r="O357" s="115">
        <v>2.0512820512820499E-2</v>
      </c>
      <c r="P357" s="116" t="s">
        <v>83</v>
      </c>
      <c r="Q357" s="116" t="s">
        <v>83</v>
      </c>
      <c r="R357" s="115">
        <v>0</v>
      </c>
      <c r="S357" s="115">
        <v>2.0997375328084E-2</v>
      </c>
      <c r="T357" s="115">
        <v>2.4E-2</v>
      </c>
      <c r="U357" s="115">
        <v>1.5337423312883401E-2</v>
      </c>
      <c r="V357" s="115">
        <v>2.18978102189781E-2</v>
      </c>
      <c r="W357" s="40">
        <v>1254</v>
      </c>
      <c r="X357" s="40">
        <f t="shared" si="24"/>
        <v>1254</v>
      </c>
      <c r="Y357" s="40">
        <f t="shared" si="25"/>
        <v>1254</v>
      </c>
      <c r="Z357" s="105">
        <v>0.47288676236044702</v>
      </c>
      <c r="AA357" s="105">
        <v>0.52711323763955298</v>
      </c>
      <c r="AB357" s="106">
        <f>12/1254</f>
        <v>9.5693779904306216E-3</v>
      </c>
      <c r="AC357" s="106">
        <f>32/1254</f>
        <v>2.5518341307814992E-2</v>
      </c>
      <c r="AD357" s="106">
        <f>282/1254</f>
        <v>0.22488038277511962</v>
      </c>
      <c r="AE357" s="106">
        <f>64/1254</f>
        <v>5.1036682615629984E-2</v>
      </c>
      <c r="AF357" s="106">
        <f>4/1254</f>
        <v>3.189792663476874E-3</v>
      </c>
      <c r="AG357" s="106">
        <f>807/1254</f>
        <v>0.6435406698564593</v>
      </c>
      <c r="AH357" s="106">
        <f>53/1254</f>
        <v>4.2264752791068581E-2</v>
      </c>
      <c r="AI357" s="106">
        <f>447/1254</f>
        <v>0.35645933014354064</v>
      </c>
      <c r="AJ357" s="105">
        <v>0.35645933014354064</v>
      </c>
      <c r="AK357" s="105">
        <v>1.03668261562998E-2</v>
      </c>
      <c r="AL357" s="12">
        <v>0</v>
      </c>
      <c r="AM357" s="12">
        <v>0</v>
      </c>
      <c r="AN357" s="12">
        <v>8</v>
      </c>
      <c r="AO357" s="12">
        <v>339</v>
      </c>
      <c r="AP357" s="12">
        <v>336</v>
      </c>
      <c r="AQ357" s="12">
        <v>304</v>
      </c>
      <c r="AR357" s="12">
        <v>267</v>
      </c>
      <c r="AS357" s="59">
        <v>2.3054755043227664E-2</v>
      </c>
      <c r="AT357" s="3">
        <v>9</v>
      </c>
      <c r="AU357" s="3">
        <v>6</v>
      </c>
      <c r="AV357" s="52">
        <v>42.1</v>
      </c>
      <c r="AW357" s="52">
        <v>28.1</v>
      </c>
      <c r="AX357" s="52">
        <v>27.9</v>
      </c>
      <c r="AY357" s="71">
        <v>1.9</v>
      </c>
      <c r="AZ357" s="59">
        <v>0.23507737656595432</v>
      </c>
      <c r="BA357" s="59">
        <v>9.6536477523949893E-2</v>
      </c>
      <c r="BB357" s="78">
        <v>92.464431619817901</v>
      </c>
      <c r="BC357" s="49">
        <v>48.790896159317199</v>
      </c>
      <c r="BD357" s="90" t="s">
        <v>83</v>
      </c>
      <c r="BE357" s="90" t="s">
        <v>83</v>
      </c>
      <c r="BF357" s="49">
        <v>7.1</v>
      </c>
      <c r="BG357" s="49">
        <v>9.6</v>
      </c>
      <c r="BH357" s="49">
        <v>1.7</v>
      </c>
      <c r="BI357" s="49">
        <v>3.8</v>
      </c>
      <c r="BJ357" s="49">
        <v>21</v>
      </c>
      <c r="BK357" s="126">
        <v>8865</v>
      </c>
      <c r="BL357" s="126">
        <v>48666</v>
      </c>
      <c r="BM357" s="126">
        <v>47080</v>
      </c>
      <c r="BN357" s="126">
        <v>39157</v>
      </c>
      <c r="BO357" s="59">
        <v>0</v>
      </c>
      <c r="BP357" s="59">
        <v>0.36880000000000002</v>
      </c>
      <c r="BQ357" s="59">
        <v>0.21560000000000001</v>
      </c>
      <c r="BR357" s="59">
        <v>0</v>
      </c>
      <c r="BS357" s="59">
        <v>0</v>
      </c>
      <c r="BT357" s="49">
        <v>13.1</v>
      </c>
      <c r="BU357" s="59">
        <f t="shared" si="26"/>
        <v>0.58440000000000003</v>
      </c>
      <c r="BV357" s="59">
        <v>2.63E-2</v>
      </c>
      <c r="BW357" s="59">
        <v>0</v>
      </c>
      <c r="BX357" s="59">
        <v>1.7500000000000002E-2</v>
      </c>
      <c r="BY357" s="59">
        <v>0</v>
      </c>
      <c r="BZ357" s="59">
        <v>0</v>
      </c>
      <c r="CA357" s="49">
        <v>15.8</v>
      </c>
      <c r="CB357" s="59">
        <f t="shared" si="27"/>
        <v>4.3800000000000006E-2</v>
      </c>
      <c r="CC357" s="59">
        <v>0.3337</v>
      </c>
      <c r="CD357" s="59">
        <v>0.38940000000000002</v>
      </c>
      <c r="CE357" s="59">
        <v>0.27689999999999998</v>
      </c>
      <c r="CF357" s="59">
        <v>0</v>
      </c>
      <c r="CG357" s="59">
        <v>0</v>
      </c>
      <c r="CH357" s="49">
        <v>11.6</v>
      </c>
      <c r="CI357" s="39" t="s">
        <v>125</v>
      </c>
      <c r="CJ357" s="18" t="s">
        <v>479</v>
      </c>
      <c r="CK357" s="20"/>
    </row>
    <row r="358" spans="1:99" ht="15.75" thickBot="1" x14ac:dyDescent="0.3">
      <c r="A358" s="18" t="s">
        <v>479</v>
      </c>
      <c r="B358" s="39" t="s">
        <v>120</v>
      </c>
      <c r="C358" s="39" t="s">
        <v>126</v>
      </c>
      <c r="D358" s="40">
        <v>10</v>
      </c>
      <c r="E358" s="40">
        <v>0</v>
      </c>
      <c r="F358" s="40">
        <v>10</v>
      </c>
      <c r="G358" s="163">
        <v>0</v>
      </c>
      <c r="H358" s="163">
        <v>0</v>
      </c>
      <c r="I358" s="163">
        <v>0</v>
      </c>
      <c r="J358" s="163">
        <v>0</v>
      </c>
      <c r="K358" s="163">
        <v>6</v>
      </c>
      <c r="L358" s="163">
        <v>2</v>
      </c>
      <c r="M358" s="163">
        <v>2</v>
      </c>
      <c r="N358" s="115">
        <v>4.20168067226891E-2</v>
      </c>
      <c r="O358" s="115">
        <v>6.25E-2</v>
      </c>
      <c r="P358" s="115">
        <v>0</v>
      </c>
      <c r="Q358" s="115">
        <v>0</v>
      </c>
      <c r="R358" s="115">
        <v>0</v>
      </c>
      <c r="S358" s="115">
        <v>0</v>
      </c>
      <c r="T358" s="115">
        <v>0.109090909090909</v>
      </c>
      <c r="U358" s="115">
        <v>6.25E-2</v>
      </c>
      <c r="V358" s="115">
        <v>5.7142857142857099E-2</v>
      </c>
      <c r="W358" s="40">
        <v>234</v>
      </c>
      <c r="X358" s="40">
        <f t="shared" si="24"/>
        <v>139</v>
      </c>
      <c r="Y358" s="40">
        <f t="shared" si="25"/>
        <v>209</v>
      </c>
      <c r="Z358" s="105">
        <v>0.44444444444444398</v>
      </c>
      <c r="AA358" s="105">
        <v>0.55555555555555602</v>
      </c>
      <c r="AB358" s="106">
        <v>0</v>
      </c>
      <c r="AC358" s="106">
        <f>1/234</f>
        <v>4.2735042735042739E-3</v>
      </c>
      <c r="AD358" s="106">
        <f>141/234</f>
        <v>0.60256410256410253</v>
      </c>
      <c r="AE358" s="106">
        <v>0</v>
      </c>
      <c r="AF358" s="106">
        <f>1/234</f>
        <v>4.2735042735042739E-3</v>
      </c>
      <c r="AG358" s="106">
        <f>90/234</f>
        <v>0.38461538461538464</v>
      </c>
      <c r="AH358" s="106">
        <f>1/234</f>
        <v>4.2735042735042739E-3</v>
      </c>
      <c r="AI358" s="106">
        <f>144/234</f>
        <v>0.61538461538461542</v>
      </c>
      <c r="AJ358" s="105">
        <v>0.76923076923076927</v>
      </c>
      <c r="AK358" s="105">
        <v>4.2735042735042696E-3</v>
      </c>
      <c r="AL358" s="12">
        <v>33</v>
      </c>
      <c r="AM358" s="12">
        <v>37</v>
      </c>
      <c r="AN358" s="12">
        <v>10</v>
      </c>
      <c r="AO358" s="12">
        <v>24</v>
      </c>
      <c r="AP358" s="12">
        <v>45</v>
      </c>
      <c r="AQ358" s="12">
        <v>25</v>
      </c>
      <c r="AR358" s="12">
        <v>35</v>
      </c>
      <c r="AS358" s="59">
        <v>0.29411764705882354</v>
      </c>
      <c r="AT358" s="3">
        <v>6</v>
      </c>
      <c r="AU358" s="3">
        <v>6</v>
      </c>
      <c r="AV358" s="52">
        <v>97.8</v>
      </c>
      <c r="AW358" s="52">
        <v>2.2000000000000002</v>
      </c>
      <c r="AX358" s="53">
        <v>0</v>
      </c>
      <c r="AY358" s="70">
        <v>0</v>
      </c>
      <c r="AZ358" s="59">
        <v>0.33079847908745247</v>
      </c>
      <c r="BA358" s="59">
        <v>8.7452471482889732E-2</v>
      </c>
      <c r="BB358" s="77">
        <v>91.717989470547295</v>
      </c>
      <c r="BC358" s="49">
        <v>58.364312267658001</v>
      </c>
      <c r="BD358" s="93">
        <v>0</v>
      </c>
      <c r="BE358" s="93">
        <v>0</v>
      </c>
      <c r="BF358" s="49">
        <v>0</v>
      </c>
      <c r="BG358" s="49">
        <v>2.8</v>
      </c>
      <c r="BH358" s="49">
        <v>0</v>
      </c>
      <c r="BI358" s="49">
        <v>11.8</v>
      </c>
      <c r="BJ358" s="49">
        <v>18.399999999999999</v>
      </c>
      <c r="BK358" s="126">
        <v>19283</v>
      </c>
      <c r="BL358" s="126">
        <v>48245</v>
      </c>
      <c r="BM358" s="126">
        <v>47099</v>
      </c>
      <c r="BN358" s="126">
        <v>38349</v>
      </c>
      <c r="BO358" s="59">
        <v>0</v>
      </c>
      <c r="BP358" s="59">
        <v>0.34</v>
      </c>
      <c r="BQ358" s="59">
        <v>0.16500000000000001</v>
      </c>
      <c r="BR358" s="59">
        <v>0</v>
      </c>
      <c r="BS358" s="59">
        <v>0</v>
      </c>
      <c r="BT358" s="49">
        <v>12.2</v>
      </c>
      <c r="BU358" s="59">
        <f t="shared" si="26"/>
        <v>0.505</v>
      </c>
      <c r="BV358" s="59">
        <v>5.5E-2</v>
      </c>
      <c r="BW358" s="59">
        <v>0</v>
      </c>
      <c r="BX358" s="59">
        <v>3.6700000000000003E-2</v>
      </c>
      <c r="BY358" s="59">
        <v>0</v>
      </c>
      <c r="BZ358" s="59">
        <v>0</v>
      </c>
      <c r="CA358" s="49">
        <v>17.8</v>
      </c>
      <c r="CB358" s="59">
        <f t="shared" si="27"/>
        <v>9.1700000000000004E-2</v>
      </c>
      <c r="CC358" s="59">
        <v>0.40329999999999999</v>
      </c>
      <c r="CD358" s="59">
        <v>0.34</v>
      </c>
      <c r="CE358" s="59">
        <v>0.25669999999999998</v>
      </c>
      <c r="CF358" s="59">
        <v>0</v>
      </c>
      <c r="CG358" s="59">
        <v>0</v>
      </c>
      <c r="CH358" s="49">
        <v>12.5</v>
      </c>
      <c r="CI358" s="39" t="s">
        <v>126</v>
      </c>
      <c r="CJ358" s="18" t="s">
        <v>479</v>
      </c>
      <c r="CK358" s="20"/>
    </row>
    <row r="359" spans="1:99" s="1" customFormat="1" ht="21" customHeight="1" x14ac:dyDescent="0.25">
      <c r="A359" s="21" t="s">
        <v>0</v>
      </c>
      <c r="B359" s="22" t="s">
        <v>1</v>
      </c>
      <c r="C359" s="22" t="s">
        <v>2</v>
      </c>
      <c r="D359" s="9" t="s">
        <v>3</v>
      </c>
      <c r="E359" s="9" t="s">
        <v>4</v>
      </c>
      <c r="F359" s="9" t="s">
        <v>5</v>
      </c>
      <c r="G359" s="161" t="s">
        <v>565</v>
      </c>
      <c r="H359" s="161" t="s">
        <v>566</v>
      </c>
      <c r="I359" s="161" t="s">
        <v>567</v>
      </c>
      <c r="J359" s="161" t="s">
        <v>568</v>
      </c>
      <c r="K359" s="161" t="s">
        <v>569</v>
      </c>
      <c r="L359" s="161" t="s">
        <v>570</v>
      </c>
      <c r="M359" s="161" t="s">
        <v>571</v>
      </c>
      <c r="N359" s="120" t="s">
        <v>6</v>
      </c>
      <c r="O359" s="120" t="s">
        <v>7</v>
      </c>
      <c r="P359" s="120" t="s">
        <v>8</v>
      </c>
      <c r="Q359" s="120" t="s">
        <v>9</v>
      </c>
      <c r="R359" s="120" t="s">
        <v>10</v>
      </c>
      <c r="S359" s="120" t="s">
        <v>11</v>
      </c>
      <c r="T359" s="120" t="s">
        <v>12</v>
      </c>
      <c r="U359" s="120" t="s">
        <v>13</v>
      </c>
      <c r="V359" s="120" t="s">
        <v>14</v>
      </c>
      <c r="W359" s="41" t="s">
        <v>15</v>
      </c>
      <c r="X359" s="41" t="s">
        <v>16</v>
      </c>
      <c r="Y359" s="41" t="s">
        <v>17</v>
      </c>
      <c r="Z359" s="107" t="s">
        <v>18</v>
      </c>
      <c r="AA359" s="107" t="s">
        <v>19</v>
      </c>
      <c r="AB359" s="95" t="s">
        <v>20</v>
      </c>
      <c r="AC359" s="95" t="s">
        <v>21</v>
      </c>
      <c r="AD359" s="95" t="s">
        <v>22</v>
      </c>
      <c r="AE359" s="95" t="s">
        <v>23</v>
      </c>
      <c r="AF359" s="95" t="s">
        <v>24</v>
      </c>
      <c r="AG359" s="95" t="s">
        <v>25</v>
      </c>
      <c r="AH359" s="95" t="s">
        <v>26</v>
      </c>
      <c r="AI359" s="95" t="s">
        <v>27</v>
      </c>
      <c r="AJ359" s="95" t="s">
        <v>28</v>
      </c>
      <c r="AK359" s="107" t="s">
        <v>29</v>
      </c>
      <c r="AL359" s="42" t="s">
        <v>30</v>
      </c>
      <c r="AM359" s="42" t="s">
        <v>31</v>
      </c>
      <c r="AN359" s="42" t="s">
        <v>32</v>
      </c>
      <c r="AO359" s="42" t="s">
        <v>33</v>
      </c>
      <c r="AP359" s="42" t="s">
        <v>34</v>
      </c>
      <c r="AQ359" s="42" t="s">
        <v>35</v>
      </c>
      <c r="AR359" s="42" t="s">
        <v>36</v>
      </c>
      <c r="AS359" s="100" t="s">
        <v>37</v>
      </c>
      <c r="AT359" s="41" t="s">
        <v>38</v>
      </c>
      <c r="AU359" s="23" t="s">
        <v>39</v>
      </c>
      <c r="AV359" s="51" t="s">
        <v>40</v>
      </c>
      <c r="AW359" s="51" t="s">
        <v>41</v>
      </c>
      <c r="AX359" s="51" t="s">
        <v>42</v>
      </c>
      <c r="AY359" s="66" t="s">
        <v>43</v>
      </c>
      <c r="AZ359" s="58" t="s">
        <v>44</v>
      </c>
      <c r="BA359" s="58" t="s">
        <v>45</v>
      </c>
      <c r="BB359" s="75" t="s">
        <v>46</v>
      </c>
      <c r="BC359" s="83" t="s">
        <v>47</v>
      </c>
      <c r="BD359" s="89" t="s">
        <v>48</v>
      </c>
      <c r="BE359" s="89" t="s">
        <v>49</v>
      </c>
      <c r="BF359" s="89" t="s">
        <v>50</v>
      </c>
      <c r="BG359" s="89" t="s">
        <v>51</v>
      </c>
      <c r="BH359" s="89" t="s">
        <v>52</v>
      </c>
      <c r="BI359" s="89" t="s">
        <v>53</v>
      </c>
      <c r="BJ359" s="86" t="s">
        <v>54</v>
      </c>
      <c r="BK359" s="127" t="s">
        <v>55</v>
      </c>
      <c r="BL359" s="127" t="s">
        <v>56</v>
      </c>
      <c r="BM359" s="127" t="s">
        <v>57</v>
      </c>
      <c r="BN359" s="134" t="s">
        <v>58</v>
      </c>
      <c r="BO359" s="135" t="s">
        <v>59</v>
      </c>
      <c r="BP359" s="135" t="s">
        <v>60</v>
      </c>
      <c r="BQ359" s="135" t="s">
        <v>61</v>
      </c>
      <c r="BR359" s="135" t="s">
        <v>62</v>
      </c>
      <c r="BS359" s="135" t="s">
        <v>63</v>
      </c>
      <c r="BT359" s="135" t="s">
        <v>64</v>
      </c>
      <c r="BU359" s="135" t="s">
        <v>65</v>
      </c>
      <c r="BV359" s="136" t="s">
        <v>66</v>
      </c>
      <c r="BW359" s="136" t="s">
        <v>67</v>
      </c>
      <c r="BX359" s="136" t="s">
        <v>68</v>
      </c>
      <c r="BY359" s="136" t="s">
        <v>69</v>
      </c>
      <c r="BZ359" s="136" t="s">
        <v>70</v>
      </c>
      <c r="CA359" s="136" t="s">
        <v>71</v>
      </c>
      <c r="CB359" s="136" t="s">
        <v>72</v>
      </c>
      <c r="CC359" s="127" t="s">
        <v>73</v>
      </c>
      <c r="CD359" s="127" t="s">
        <v>74</v>
      </c>
      <c r="CE359" s="127" t="s">
        <v>75</v>
      </c>
      <c r="CF359" s="127" t="s">
        <v>76</v>
      </c>
      <c r="CG359" s="127" t="s">
        <v>77</v>
      </c>
      <c r="CH359" s="127" t="s">
        <v>78</v>
      </c>
      <c r="CI359" s="22" t="s">
        <v>2</v>
      </c>
      <c r="CJ359" s="21" t="s">
        <v>0</v>
      </c>
      <c r="CK359" s="24" t="s">
        <v>79</v>
      </c>
      <c r="CL359"/>
      <c r="CM359"/>
      <c r="CN359"/>
      <c r="CO359"/>
      <c r="CP359"/>
      <c r="CQ359"/>
      <c r="CU359"/>
    </row>
    <row r="360" spans="1:99" x14ac:dyDescent="0.25">
      <c r="A360" s="18" t="s">
        <v>479</v>
      </c>
      <c r="B360" s="39" t="s">
        <v>127</v>
      </c>
      <c r="C360" s="39" t="s">
        <v>128</v>
      </c>
      <c r="D360" s="40">
        <v>39</v>
      </c>
      <c r="E360" s="40" t="s">
        <v>83</v>
      </c>
      <c r="F360" s="40">
        <v>39</v>
      </c>
      <c r="G360" s="162" t="s">
        <v>83</v>
      </c>
      <c r="H360" s="162" t="s">
        <v>83</v>
      </c>
      <c r="I360" s="166">
        <v>0</v>
      </c>
      <c r="J360" s="166">
        <v>11</v>
      </c>
      <c r="K360" s="166">
        <v>14</v>
      </c>
      <c r="L360" s="166">
        <v>7</v>
      </c>
      <c r="M360" s="166">
        <v>7</v>
      </c>
      <c r="N360" s="115">
        <v>1.70082860880942E-2</v>
      </c>
      <c r="O360" s="115">
        <v>1.70082860880942E-2</v>
      </c>
      <c r="P360" s="116" t="s">
        <v>83</v>
      </c>
      <c r="Q360" s="116" t="s">
        <v>83</v>
      </c>
      <c r="R360" s="119">
        <v>0</v>
      </c>
      <c r="S360" s="119">
        <v>1.7187500000000001E-2</v>
      </c>
      <c r="T360" s="119">
        <v>2.4691358024691398E-2</v>
      </c>
      <c r="U360" s="119">
        <v>1.2216404886561999E-2</v>
      </c>
      <c r="V360" s="119">
        <v>1.3698630136986301E-2</v>
      </c>
      <c r="W360" s="40">
        <v>2168</v>
      </c>
      <c r="X360" s="40">
        <f t="shared" ref="X360:X396" si="28">SUM(AN360:AR360)</f>
        <v>2168</v>
      </c>
      <c r="Y360" s="40">
        <f t="shared" ref="Y360:Y396" si="29">SUM(AL360:AR360)</f>
        <v>2168</v>
      </c>
      <c r="Z360" s="105">
        <v>0.544280442804428</v>
      </c>
      <c r="AA360" s="105">
        <v>0.455719557195572</v>
      </c>
      <c r="AB360" s="106">
        <f>2/2168</f>
        <v>9.225092250922509E-4</v>
      </c>
      <c r="AC360" s="106">
        <f>17/2168</f>
        <v>7.8413284132841325E-3</v>
      </c>
      <c r="AD360" s="106">
        <f>991/2168</f>
        <v>0.45710332103321033</v>
      </c>
      <c r="AE360" s="106">
        <f>102/2168</f>
        <v>4.7047970479704798E-2</v>
      </c>
      <c r="AF360" s="106">
        <f>2/2168</f>
        <v>9.225092250922509E-4</v>
      </c>
      <c r="AG360" s="106">
        <f>1018/2168</f>
        <v>0.46955719557195574</v>
      </c>
      <c r="AH360" s="106">
        <f>36/2168</f>
        <v>1.6605166051660517E-2</v>
      </c>
      <c r="AI360" s="106">
        <f>1150/2168</f>
        <v>0.53044280442804426</v>
      </c>
      <c r="AJ360" s="105">
        <v>0.46817343173431736</v>
      </c>
      <c r="AK360" s="105">
        <v>1.56826568265683E-2</v>
      </c>
      <c r="AL360" s="12">
        <v>0</v>
      </c>
      <c r="AM360" s="12">
        <v>0</v>
      </c>
      <c r="AN360" s="12">
        <v>4</v>
      </c>
      <c r="AO360" s="12">
        <v>604</v>
      </c>
      <c r="AP360" s="12">
        <v>524</v>
      </c>
      <c r="AQ360" s="12">
        <v>538</v>
      </c>
      <c r="AR360" s="12">
        <v>498</v>
      </c>
      <c r="AS360" s="59">
        <v>6.5789473684210523E-3</v>
      </c>
      <c r="AT360" s="3">
        <v>9</v>
      </c>
      <c r="AU360" s="3">
        <v>6</v>
      </c>
      <c r="AV360" s="52">
        <v>55.4</v>
      </c>
      <c r="AW360" s="52">
        <v>13.9</v>
      </c>
      <c r="AX360" s="52">
        <v>28.2</v>
      </c>
      <c r="AY360" s="71">
        <v>2.5</v>
      </c>
      <c r="AZ360" s="59">
        <v>0.16988586479367868</v>
      </c>
      <c r="BA360" s="59">
        <v>9.5258999122036878E-2</v>
      </c>
      <c r="BB360" s="77">
        <v>94.604958828127494</v>
      </c>
      <c r="BC360" s="49">
        <v>28.957528957529</v>
      </c>
      <c r="BD360" s="90" t="s">
        <v>83</v>
      </c>
      <c r="BE360" s="90" t="s">
        <v>83</v>
      </c>
      <c r="BF360" s="49">
        <v>6.2</v>
      </c>
      <c r="BG360" s="49">
        <v>2.9</v>
      </c>
      <c r="BH360" s="49">
        <v>1.4</v>
      </c>
      <c r="BI360" s="49">
        <v>1.2</v>
      </c>
      <c r="BJ360" s="49">
        <v>21.9</v>
      </c>
      <c r="BK360" s="126">
        <v>9410</v>
      </c>
      <c r="BL360" s="126">
        <v>52345</v>
      </c>
      <c r="BM360" s="126">
        <v>53409</v>
      </c>
      <c r="BN360" s="126">
        <v>47738</v>
      </c>
      <c r="BO360" s="59">
        <v>9.7000000000000003E-3</v>
      </c>
      <c r="BP360" s="59">
        <v>0.3669</v>
      </c>
      <c r="BQ360" s="59">
        <v>0.27629999999999999</v>
      </c>
      <c r="BR360" s="59">
        <v>0</v>
      </c>
      <c r="BS360" s="59">
        <v>6.1000000000000004E-3</v>
      </c>
      <c r="BT360" s="49">
        <v>14.5</v>
      </c>
      <c r="BU360" s="59">
        <f t="shared" si="26"/>
        <v>0.65900000000000003</v>
      </c>
      <c r="BV360" s="59">
        <v>4.8800000000000003E-2</v>
      </c>
      <c r="BW360" s="59">
        <v>0</v>
      </c>
      <c r="BX360" s="59">
        <v>3.6600000000000001E-2</v>
      </c>
      <c r="BY360" s="59">
        <v>0</v>
      </c>
      <c r="BZ360" s="59">
        <v>0</v>
      </c>
      <c r="CA360" s="49">
        <v>21.4</v>
      </c>
      <c r="CB360" s="59">
        <f t="shared" si="27"/>
        <v>8.5400000000000004E-2</v>
      </c>
      <c r="CC360" s="59">
        <v>0.22819999999999999</v>
      </c>
      <c r="CD360" s="59">
        <v>0.40920000000000001</v>
      </c>
      <c r="CE360" s="59">
        <v>0.35549999999999998</v>
      </c>
      <c r="CF360" s="59">
        <v>1E-3</v>
      </c>
      <c r="CG360" s="59">
        <v>6.1000000000000004E-3</v>
      </c>
      <c r="CH360" s="49">
        <v>15</v>
      </c>
      <c r="CI360" s="39" t="s">
        <v>128</v>
      </c>
      <c r="CJ360" s="18" t="s">
        <v>479</v>
      </c>
      <c r="CK360" s="20"/>
    </row>
    <row r="361" spans="1:99" x14ac:dyDescent="0.25">
      <c r="A361" s="18" t="s">
        <v>479</v>
      </c>
      <c r="B361" s="39" t="s">
        <v>127</v>
      </c>
      <c r="C361" s="39" t="s">
        <v>129</v>
      </c>
      <c r="D361" s="40">
        <v>1</v>
      </c>
      <c r="E361" s="40" t="s">
        <v>83</v>
      </c>
      <c r="F361" s="40">
        <v>1</v>
      </c>
      <c r="G361" s="162" t="s">
        <v>83</v>
      </c>
      <c r="H361" s="162" t="s">
        <v>83</v>
      </c>
      <c r="I361" s="162" t="s">
        <v>83</v>
      </c>
      <c r="J361" s="166">
        <v>0</v>
      </c>
      <c r="K361" s="163">
        <v>1</v>
      </c>
      <c r="L361" s="166">
        <v>0</v>
      </c>
      <c r="M361" s="166">
        <v>0</v>
      </c>
      <c r="N361" s="115">
        <v>9.2336103416435801E-4</v>
      </c>
      <c r="O361" s="115">
        <v>9.2336103416435801E-4</v>
      </c>
      <c r="P361" s="116" t="s">
        <v>83</v>
      </c>
      <c r="Q361" s="116" t="s">
        <v>83</v>
      </c>
      <c r="R361" s="116" t="s">
        <v>83</v>
      </c>
      <c r="S361" s="119">
        <v>0</v>
      </c>
      <c r="T361" s="115">
        <v>3.81679389312977E-3</v>
      </c>
      <c r="U361" s="119">
        <v>0</v>
      </c>
      <c r="V361" s="119">
        <v>0</v>
      </c>
      <c r="W361" s="40">
        <v>1067</v>
      </c>
      <c r="X361" s="40">
        <f t="shared" si="28"/>
        <v>1067</v>
      </c>
      <c r="Y361" s="40">
        <f t="shared" si="29"/>
        <v>1067</v>
      </c>
      <c r="Z361" s="105">
        <v>0.62324273664479801</v>
      </c>
      <c r="AA361" s="105">
        <v>0.37675726335520099</v>
      </c>
      <c r="AB361" s="106">
        <f>3/1067</f>
        <v>2.8116213683223993E-3</v>
      </c>
      <c r="AC361" s="106">
        <f>79/1067</f>
        <v>7.4039362699156508E-2</v>
      </c>
      <c r="AD361" s="106">
        <f>246/1067</f>
        <v>0.23055295220243674</v>
      </c>
      <c r="AE361" s="106">
        <f>42/1067</f>
        <v>3.9362699156513588E-2</v>
      </c>
      <c r="AF361" s="106">
        <v>0</v>
      </c>
      <c r="AG361" s="106">
        <f>669/1067</f>
        <v>0.62699156513589505</v>
      </c>
      <c r="AH361" s="106">
        <f>28/1067</f>
        <v>2.6241799437675725E-2</v>
      </c>
      <c r="AI361" s="106">
        <f>398/1067</f>
        <v>0.37300843486410495</v>
      </c>
      <c r="AJ361" s="105">
        <v>0.24367385192127461</v>
      </c>
      <c r="AK361" s="105">
        <v>3.7488284910965298E-3</v>
      </c>
      <c r="AL361" s="12">
        <v>0</v>
      </c>
      <c r="AM361" s="12">
        <v>0</v>
      </c>
      <c r="AN361" s="12">
        <v>0</v>
      </c>
      <c r="AO361" s="12">
        <v>263</v>
      </c>
      <c r="AP361" s="12">
        <v>259</v>
      </c>
      <c r="AQ361" s="12">
        <v>266</v>
      </c>
      <c r="AR361" s="12">
        <v>279</v>
      </c>
      <c r="AS361" s="59">
        <v>0</v>
      </c>
      <c r="AT361" s="3">
        <v>9</v>
      </c>
      <c r="AU361" s="3">
        <v>7</v>
      </c>
      <c r="AV361" s="52">
        <v>73.900000000000006</v>
      </c>
      <c r="AW361" s="52">
        <v>12.8</v>
      </c>
      <c r="AX361" s="52">
        <v>12.4</v>
      </c>
      <c r="AY361" s="71">
        <v>0.8</v>
      </c>
      <c r="AZ361" s="59">
        <v>1.8484288354898338E-2</v>
      </c>
      <c r="BA361" s="59">
        <v>1.2939001848428836E-2</v>
      </c>
      <c r="BB361" s="78">
        <v>96.505210864517494</v>
      </c>
      <c r="BC361" s="49">
        <v>8.9648798521256907</v>
      </c>
      <c r="BD361" s="90" t="s">
        <v>83</v>
      </c>
      <c r="BE361" s="90" t="s">
        <v>83</v>
      </c>
      <c r="BF361" s="49">
        <v>0</v>
      </c>
      <c r="BG361" s="49">
        <v>0</v>
      </c>
      <c r="BH361" s="49">
        <v>0</v>
      </c>
      <c r="BI361" s="49">
        <v>0</v>
      </c>
      <c r="BJ361" s="49">
        <v>25.8</v>
      </c>
      <c r="BK361" s="126">
        <v>10859</v>
      </c>
      <c r="BL361" s="126">
        <v>54217</v>
      </c>
      <c r="BM361" s="126">
        <v>55415</v>
      </c>
      <c r="BN361" s="126">
        <v>47618</v>
      </c>
      <c r="BO361" s="59">
        <v>1.01E-2</v>
      </c>
      <c r="BP361" s="59">
        <v>0.24829999999999999</v>
      </c>
      <c r="BQ361" s="59">
        <v>0.33700000000000002</v>
      </c>
      <c r="BR361" s="59">
        <v>0</v>
      </c>
      <c r="BS361" s="59">
        <v>2.01E-2</v>
      </c>
      <c r="BT361" s="49">
        <v>19.5</v>
      </c>
      <c r="BU361" s="59">
        <f t="shared" si="26"/>
        <v>0.61550000000000005</v>
      </c>
      <c r="BV361" s="59">
        <v>4.0300000000000002E-2</v>
      </c>
      <c r="BW361" s="59">
        <v>1.01E-2</v>
      </c>
      <c r="BX361" s="59">
        <v>4.0300000000000002E-2</v>
      </c>
      <c r="BY361" s="59">
        <v>0</v>
      </c>
      <c r="BZ361" s="59">
        <v>0</v>
      </c>
      <c r="CA361" s="49">
        <v>25.4</v>
      </c>
      <c r="CB361" s="59">
        <f t="shared" si="27"/>
        <v>9.0700000000000003E-2</v>
      </c>
      <c r="CC361" s="59">
        <v>0.26889999999999997</v>
      </c>
      <c r="CD361" s="59">
        <v>0.26919999999999999</v>
      </c>
      <c r="CE361" s="59">
        <v>0.44169999999999998</v>
      </c>
      <c r="CF361" s="59">
        <v>0</v>
      </c>
      <c r="CG361" s="59">
        <v>2.01E-2</v>
      </c>
      <c r="CH361" s="49">
        <v>18.5</v>
      </c>
      <c r="CI361" s="39" t="s">
        <v>129</v>
      </c>
      <c r="CJ361" s="18" t="s">
        <v>479</v>
      </c>
      <c r="CK361" s="20"/>
    </row>
    <row r="362" spans="1:99" x14ac:dyDescent="0.25">
      <c r="A362" s="18" t="s">
        <v>479</v>
      </c>
      <c r="B362" s="39" t="s">
        <v>127</v>
      </c>
      <c r="C362" s="39" t="s">
        <v>130</v>
      </c>
      <c r="D362" s="40">
        <v>12</v>
      </c>
      <c r="E362" s="40" t="s">
        <v>83</v>
      </c>
      <c r="F362" s="40">
        <v>12</v>
      </c>
      <c r="G362" s="162" t="s">
        <v>83</v>
      </c>
      <c r="H362" s="162" t="s">
        <v>83</v>
      </c>
      <c r="I362" s="166">
        <v>0</v>
      </c>
      <c r="J362" s="163">
        <v>4</v>
      </c>
      <c r="K362" s="163">
        <v>3</v>
      </c>
      <c r="L362" s="163">
        <v>4</v>
      </c>
      <c r="M362" s="163">
        <v>1</v>
      </c>
      <c r="N362" s="115">
        <v>8.2587749483826606E-3</v>
      </c>
      <c r="O362" s="115">
        <v>8.2587749483826606E-3</v>
      </c>
      <c r="P362" s="116" t="s">
        <v>83</v>
      </c>
      <c r="Q362" s="116" t="s">
        <v>83</v>
      </c>
      <c r="R362" s="119">
        <v>0</v>
      </c>
      <c r="S362" s="115">
        <v>9.6618357487922701E-3</v>
      </c>
      <c r="T362" s="115">
        <v>6.8181818181818196E-3</v>
      </c>
      <c r="U362" s="115">
        <v>1.26984126984127E-2</v>
      </c>
      <c r="V362" s="115">
        <v>3.6231884057971002E-3</v>
      </c>
      <c r="W362" s="40">
        <v>1368</v>
      </c>
      <c r="X362" s="40">
        <f t="shared" si="28"/>
        <v>1368</v>
      </c>
      <c r="Y362" s="40">
        <f t="shared" si="29"/>
        <v>1368</v>
      </c>
      <c r="Z362" s="105">
        <v>0.51315789473684204</v>
      </c>
      <c r="AA362" s="105">
        <v>0.48684210526315802</v>
      </c>
      <c r="AB362" s="106">
        <f>4/1368</f>
        <v>2.9239766081871343E-3</v>
      </c>
      <c r="AC362" s="106">
        <f>18/1368</f>
        <v>1.3157894736842105E-2</v>
      </c>
      <c r="AD362" s="106">
        <f>678/1368</f>
        <v>0.49561403508771928</v>
      </c>
      <c r="AE362" s="106">
        <f>42/1368</f>
        <v>3.0701754385964911E-2</v>
      </c>
      <c r="AF362" s="106">
        <f>1/1368</f>
        <v>7.3099415204678359E-4</v>
      </c>
      <c r="AG362" s="106">
        <f>599/1368</f>
        <v>0.4378654970760234</v>
      </c>
      <c r="AH362" s="106">
        <f>26/1368</f>
        <v>1.9005847953216373E-2</v>
      </c>
      <c r="AI362" s="106">
        <f>769/1368</f>
        <v>0.5621345029239766</v>
      </c>
      <c r="AJ362" s="105">
        <v>0.47660818713450293</v>
      </c>
      <c r="AK362" s="105">
        <v>1.0233918128655E-2</v>
      </c>
      <c r="AL362" s="12">
        <v>0</v>
      </c>
      <c r="AM362" s="12">
        <v>0</v>
      </c>
      <c r="AN362" s="12">
        <v>7</v>
      </c>
      <c r="AO362" s="12">
        <v>389</v>
      </c>
      <c r="AP362" s="12">
        <v>420</v>
      </c>
      <c r="AQ362" s="12">
        <v>291</v>
      </c>
      <c r="AR362" s="12">
        <v>261</v>
      </c>
      <c r="AS362" s="59">
        <v>1.7676767676767676E-2</v>
      </c>
      <c r="AT362" s="3">
        <v>9</v>
      </c>
      <c r="AU362" s="3">
        <v>6</v>
      </c>
      <c r="AV362" s="52">
        <v>68.7</v>
      </c>
      <c r="AW362" s="52">
        <v>8.6</v>
      </c>
      <c r="AX362" s="52">
        <v>20.100000000000001</v>
      </c>
      <c r="AY362" s="71">
        <v>2.6</v>
      </c>
      <c r="AZ362" s="59">
        <v>0.14029025570145129</v>
      </c>
      <c r="BA362" s="59">
        <v>5.8051140290255702E-2</v>
      </c>
      <c r="BB362" s="77">
        <v>95.181080840191299</v>
      </c>
      <c r="BC362" s="49">
        <v>15.1243093922652</v>
      </c>
      <c r="BD362" s="90" t="s">
        <v>83</v>
      </c>
      <c r="BE362" s="90" t="s">
        <v>83</v>
      </c>
      <c r="BF362" s="49">
        <v>5.3</v>
      </c>
      <c r="BG362" s="49">
        <v>3.8</v>
      </c>
      <c r="BH362" s="49">
        <v>1.8</v>
      </c>
      <c r="BI362" s="49">
        <v>5.7</v>
      </c>
      <c r="BJ362" s="49">
        <v>19.7</v>
      </c>
      <c r="BK362" s="126">
        <v>9704</v>
      </c>
      <c r="BL362" s="126">
        <v>51702</v>
      </c>
      <c r="BM362" s="126">
        <v>54099</v>
      </c>
      <c r="BN362" s="126">
        <v>43872</v>
      </c>
      <c r="BO362" s="59">
        <v>1.47E-2</v>
      </c>
      <c r="BP362" s="59">
        <v>0.30380000000000001</v>
      </c>
      <c r="BQ362" s="59">
        <v>0.22409999999999999</v>
      </c>
      <c r="BR362" s="59">
        <v>0</v>
      </c>
      <c r="BS362" s="59">
        <v>0</v>
      </c>
      <c r="BT362" s="49">
        <v>12.5</v>
      </c>
      <c r="BU362" s="59">
        <f t="shared" si="26"/>
        <v>0.54259999999999997</v>
      </c>
      <c r="BV362" s="59">
        <v>3.3799999999999997E-2</v>
      </c>
      <c r="BW362" s="59">
        <v>8.5000000000000006E-3</v>
      </c>
      <c r="BX362" s="59">
        <v>4.2299999999999997E-2</v>
      </c>
      <c r="BY362" s="59">
        <v>0</v>
      </c>
      <c r="BZ362" s="59">
        <v>2.2000000000000001E-3</v>
      </c>
      <c r="CA362" s="49">
        <v>18.2</v>
      </c>
      <c r="CB362" s="59">
        <f t="shared" si="27"/>
        <v>8.6799999999999988E-2</v>
      </c>
      <c r="CC362" s="59">
        <v>0.28449999999999998</v>
      </c>
      <c r="CD362" s="59">
        <v>0.38890000000000002</v>
      </c>
      <c r="CE362" s="59">
        <v>0.32440000000000002</v>
      </c>
      <c r="CF362" s="59">
        <v>0</v>
      </c>
      <c r="CG362" s="59">
        <v>2.2000000000000001E-3</v>
      </c>
      <c r="CH362" s="49">
        <v>12.9</v>
      </c>
      <c r="CI362" s="39" t="s">
        <v>130</v>
      </c>
      <c r="CJ362" s="18" t="s">
        <v>479</v>
      </c>
      <c r="CK362" s="20"/>
    </row>
    <row r="363" spans="1:99" x14ac:dyDescent="0.25">
      <c r="A363" s="18" t="s">
        <v>479</v>
      </c>
      <c r="B363" s="39" t="s">
        <v>127</v>
      </c>
      <c r="C363" s="39" t="s">
        <v>480</v>
      </c>
      <c r="D363" s="40">
        <v>49</v>
      </c>
      <c r="E363" s="40" t="s">
        <v>83</v>
      </c>
      <c r="F363" s="40">
        <v>49</v>
      </c>
      <c r="G363" s="162" t="s">
        <v>83</v>
      </c>
      <c r="H363" s="162" t="s">
        <v>83</v>
      </c>
      <c r="I363" s="163">
        <v>1</v>
      </c>
      <c r="J363" s="163">
        <v>16</v>
      </c>
      <c r="K363" s="163">
        <v>15</v>
      </c>
      <c r="L363" s="163">
        <v>7</v>
      </c>
      <c r="M363" s="163">
        <v>10</v>
      </c>
      <c r="N363" s="115">
        <v>5.4748603351955298E-2</v>
      </c>
      <c r="O363" s="115">
        <v>5.4748603351955298E-2</v>
      </c>
      <c r="P363" s="116" t="s">
        <v>83</v>
      </c>
      <c r="Q363" s="116" t="s">
        <v>83</v>
      </c>
      <c r="R363" s="115">
        <v>2.32558139534884E-2</v>
      </c>
      <c r="S363" s="115">
        <v>6.1068702290076299E-2</v>
      </c>
      <c r="T363" s="115">
        <v>5.4151624548736503E-2</v>
      </c>
      <c r="U363" s="115">
        <v>4.2424242424242399E-2</v>
      </c>
      <c r="V363" s="115">
        <v>6.7567567567567599E-2</v>
      </c>
      <c r="W363" s="40">
        <v>727</v>
      </c>
      <c r="X363" s="40">
        <f t="shared" si="28"/>
        <v>727</v>
      </c>
      <c r="Y363" s="40">
        <f t="shared" si="29"/>
        <v>727</v>
      </c>
      <c r="Z363" s="105">
        <v>0.52682255845942205</v>
      </c>
      <c r="AA363" s="105">
        <v>0.473177441540578</v>
      </c>
      <c r="AB363" s="106">
        <v>0</v>
      </c>
      <c r="AC363" s="106">
        <f>2/727</f>
        <v>2.751031636863824E-3</v>
      </c>
      <c r="AD363" s="106">
        <f>715/727</f>
        <v>0.9834938101788171</v>
      </c>
      <c r="AE363" s="106">
        <f>2/727</f>
        <v>2.751031636863824E-3</v>
      </c>
      <c r="AF363" s="106">
        <v>0</v>
      </c>
      <c r="AG363" s="106">
        <f>8/727</f>
        <v>1.1004126547455296E-2</v>
      </c>
      <c r="AH363" s="106">
        <v>0</v>
      </c>
      <c r="AI363" s="106">
        <f>719/727</f>
        <v>0.98899587345254469</v>
      </c>
      <c r="AJ363" s="105">
        <v>0.94773039889958732</v>
      </c>
      <c r="AK363" s="105">
        <v>0</v>
      </c>
      <c r="AL363" s="12">
        <v>0</v>
      </c>
      <c r="AM363" s="12">
        <v>0</v>
      </c>
      <c r="AN363" s="12">
        <v>37</v>
      </c>
      <c r="AO363" s="12">
        <v>187</v>
      </c>
      <c r="AP363" s="12">
        <v>232</v>
      </c>
      <c r="AQ363" s="12">
        <v>146</v>
      </c>
      <c r="AR363" s="12">
        <v>125</v>
      </c>
      <c r="AS363" s="59">
        <v>0.16517857142857142</v>
      </c>
      <c r="AT363" s="3">
        <v>9</v>
      </c>
      <c r="AU363" s="3">
        <v>6</v>
      </c>
      <c r="AV363" s="52">
        <v>75.7</v>
      </c>
      <c r="AW363" s="52">
        <v>12.6</v>
      </c>
      <c r="AX363" s="52">
        <v>9.9</v>
      </c>
      <c r="AY363" s="71">
        <v>1.8</v>
      </c>
      <c r="AZ363" s="59">
        <v>2.1714285714285714E-2</v>
      </c>
      <c r="BA363" s="59">
        <v>8.7999999999999995E-2</v>
      </c>
      <c r="BB363" s="78">
        <v>88.9213980705361</v>
      </c>
      <c r="BC363" s="49">
        <v>49.493813273340798</v>
      </c>
      <c r="BD363" s="90" t="s">
        <v>83</v>
      </c>
      <c r="BE363" s="90" t="s">
        <v>83</v>
      </c>
      <c r="BF363" s="49">
        <v>7</v>
      </c>
      <c r="BG363" s="49">
        <v>4.3</v>
      </c>
      <c r="BH363" s="49">
        <v>2.2999999999999998</v>
      </c>
      <c r="BI363" s="49">
        <v>3.2</v>
      </c>
      <c r="BJ363" s="49">
        <v>15.6</v>
      </c>
      <c r="BK363" s="126">
        <v>13131</v>
      </c>
      <c r="BL363" s="126">
        <v>53023</v>
      </c>
      <c r="BM363" s="126">
        <v>54553</v>
      </c>
      <c r="BN363" s="126">
        <v>41551</v>
      </c>
      <c r="BO363" s="59">
        <v>1.04E-2</v>
      </c>
      <c r="BP363" s="59">
        <v>0.27460000000000001</v>
      </c>
      <c r="BQ363" s="59">
        <v>0.15939999999999999</v>
      </c>
      <c r="BR363" s="59">
        <v>0</v>
      </c>
      <c r="BS363" s="59">
        <v>0</v>
      </c>
      <c r="BT363" s="49">
        <v>12.3</v>
      </c>
      <c r="BU363" s="59">
        <f t="shared" si="26"/>
        <v>0.44440000000000002</v>
      </c>
      <c r="BV363" s="59">
        <v>3.1099999999999999E-2</v>
      </c>
      <c r="BW363" s="59">
        <v>2.07E-2</v>
      </c>
      <c r="BX363" s="59">
        <v>4.1500000000000002E-2</v>
      </c>
      <c r="BY363" s="59">
        <v>0</v>
      </c>
      <c r="BZ363" s="59">
        <v>0</v>
      </c>
      <c r="CA363" s="49">
        <v>21.8</v>
      </c>
      <c r="CB363" s="59">
        <f t="shared" si="27"/>
        <v>9.3299999999999994E-2</v>
      </c>
      <c r="CC363" s="59">
        <v>0.38069999999999998</v>
      </c>
      <c r="CD363" s="59">
        <v>0.36990000000000001</v>
      </c>
      <c r="CE363" s="59">
        <v>0.24940000000000001</v>
      </c>
      <c r="CF363" s="59">
        <v>0</v>
      </c>
      <c r="CG363" s="59">
        <v>0</v>
      </c>
      <c r="CH363" s="49">
        <v>14.1</v>
      </c>
      <c r="CI363" s="39" t="s">
        <v>480</v>
      </c>
      <c r="CJ363" s="18" t="s">
        <v>479</v>
      </c>
      <c r="CK363" s="20"/>
    </row>
    <row r="364" spans="1:99" x14ac:dyDescent="0.25">
      <c r="A364" s="18" t="s">
        <v>479</v>
      </c>
      <c r="B364" s="39" t="s">
        <v>127</v>
      </c>
      <c r="C364" s="39" t="s">
        <v>132</v>
      </c>
      <c r="D364" s="40">
        <v>3</v>
      </c>
      <c r="E364" s="40">
        <v>1</v>
      </c>
      <c r="F364" s="40">
        <v>2</v>
      </c>
      <c r="G364" s="163">
        <v>0</v>
      </c>
      <c r="H364" s="163">
        <v>1</v>
      </c>
      <c r="I364" s="166">
        <v>0</v>
      </c>
      <c r="J364" s="163">
        <v>1</v>
      </c>
      <c r="K364" s="163">
        <v>0</v>
      </c>
      <c r="L364" s="163">
        <v>1</v>
      </c>
      <c r="M364" s="163">
        <v>0</v>
      </c>
      <c r="N364" s="115">
        <v>3.5971223021582701E-3</v>
      </c>
      <c r="O364" s="115">
        <v>3.88349514563107E-3</v>
      </c>
      <c r="P364" s="115">
        <v>0</v>
      </c>
      <c r="Q364" s="115">
        <v>6.2111801242236003E-3</v>
      </c>
      <c r="R364" s="119">
        <v>0</v>
      </c>
      <c r="S364" s="115">
        <v>5.7142857142857099E-3</v>
      </c>
      <c r="T364" s="115">
        <v>0</v>
      </c>
      <c r="U364" s="115">
        <v>1.05263157894737E-2</v>
      </c>
      <c r="V364" s="115">
        <v>0</v>
      </c>
      <c r="W364" s="40">
        <v>687</v>
      </c>
      <c r="X364" s="40">
        <f t="shared" si="28"/>
        <v>440</v>
      </c>
      <c r="Y364" s="40">
        <f t="shared" si="29"/>
        <v>687</v>
      </c>
      <c r="Z364" s="105">
        <v>0.47307132459970902</v>
      </c>
      <c r="AA364" s="105">
        <v>0.52692867540029098</v>
      </c>
      <c r="AB364" s="106">
        <v>0</v>
      </c>
      <c r="AC364" s="106">
        <v>0</v>
      </c>
      <c r="AD364" s="106">
        <f>683/687</f>
        <v>0.9941775836972343</v>
      </c>
      <c r="AE364" s="106">
        <v>0</v>
      </c>
      <c r="AF364" s="106">
        <v>0</v>
      </c>
      <c r="AG364" s="106">
        <f>2/687</f>
        <v>2.911208151382824E-3</v>
      </c>
      <c r="AH364" s="106">
        <f>2/687</f>
        <v>2.911208151382824E-3</v>
      </c>
      <c r="AI364" s="106">
        <f>685/687</f>
        <v>0.99708879184861721</v>
      </c>
      <c r="AJ364" s="105">
        <v>0.95196506550218341</v>
      </c>
      <c r="AK364" s="105">
        <v>0</v>
      </c>
      <c r="AL364" s="12">
        <v>124</v>
      </c>
      <c r="AM364" s="12">
        <v>123</v>
      </c>
      <c r="AN364" s="12">
        <v>28</v>
      </c>
      <c r="AO364" s="12">
        <v>143</v>
      </c>
      <c r="AP364" s="12">
        <v>95</v>
      </c>
      <c r="AQ364" s="12">
        <v>83</v>
      </c>
      <c r="AR364" s="12">
        <v>91</v>
      </c>
      <c r="AS364" s="59">
        <v>0.16374269005847952</v>
      </c>
      <c r="AT364" s="3">
        <v>7</v>
      </c>
      <c r="AU364" s="3">
        <v>6</v>
      </c>
      <c r="AV364" s="52">
        <v>66.599999999999994</v>
      </c>
      <c r="AW364" s="52">
        <v>27.1</v>
      </c>
      <c r="AX364" s="52">
        <v>6.4</v>
      </c>
      <c r="AY364" s="70">
        <v>0</v>
      </c>
      <c r="AZ364" s="59">
        <v>0.14748201438848921</v>
      </c>
      <c r="BA364" s="59">
        <v>6.235011990407674E-2</v>
      </c>
      <c r="BB364" s="77">
        <v>92.174515235457093</v>
      </c>
      <c r="BC364" s="49">
        <v>43.592814371257496</v>
      </c>
      <c r="BD364" s="49">
        <v>0.8</v>
      </c>
      <c r="BE364" s="49">
        <v>0.8</v>
      </c>
      <c r="BF364" s="49">
        <v>1.6</v>
      </c>
      <c r="BG364" s="49">
        <v>3</v>
      </c>
      <c r="BH364" s="49">
        <v>5.3</v>
      </c>
      <c r="BI364" s="49">
        <v>8</v>
      </c>
      <c r="BJ364" s="49">
        <v>18</v>
      </c>
      <c r="BK364" s="126">
        <v>12608</v>
      </c>
      <c r="BL364" s="126">
        <v>51518</v>
      </c>
      <c r="BM364" s="126">
        <v>59002</v>
      </c>
      <c r="BN364" s="126">
        <v>43847</v>
      </c>
      <c r="BO364" s="59">
        <v>2.3800000000000002E-2</v>
      </c>
      <c r="BP364" s="59">
        <v>0.23580000000000001</v>
      </c>
      <c r="BQ364" s="59">
        <v>0.25259999999999999</v>
      </c>
      <c r="BR364" s="59">
        <v>1.1900000000000001E-2</v>
      </c>
      <c r="BS364" s="59">
        <v>0</v>
      </c>
      <c r="BT364" s="49">
        <v>11.4</v>
      </c>
      <c r="BU364" s="59">
        <f t="shared" si="26"/>
        <v>0.52410000000000001</v>
      </c>
      <c r="BV364" s="59">
        <v>3.0499999999999999E-2</v>
      </c>
      <c r="BW364" s="59">
        <v>1.1900000000000001E-2</v>
      </c>
      <c r="BX364" s="59">
        <v>4.7600000000000003E-2</v>
      </c>
      <c r="BY364" s="59">
        <v>0</v>
      </c>
      <c r="BZ364" s="59">
        <v>0</v>
      </c>
      <c r="CA364" s="49">
        <v>19.2</v>
      </c>
      <c r="CB364" s="59">
        <f t="shared" si="27"/>
        <v>0.09</v>
      </c>
      <c r="CC364" s="59">
        <v>0.33389999999999997</v>
      </c>
      <c r="CD364" s="59">
        <v>0.3004</v>
      </c>
      <c r="CE364" s="59">
        <v>0.34200000000000003</v>
      </c>
      <c r="CF364" s="59">
        <v>2.3800000000000002E-2</v>
      </c>
      <c r="CG364" s="59">
        <v>0</v>
      </c>
      <c r="CH364" s="49">
        <v>12</v>
      </c>
      <c r="CI364" s="39" t="s">
        <v>132</v>
      </c>
      <c r="CJ364" s="18" t="s">
        <v>479</v>
      </c>
      <c r="CK364" s="20"/>
    </row>
    <row r="365" spans="1:99" x14ac:dyDescent="0.25">
      <c r="A365" s="18" t="s">
        <v>479</v>
      </c>
      <c r="B365" s="39" t="s">
        <v>127</v>
      </c>
      <c r="C365" s="39" t="s">
        <v>133</v>
      </c>
      <c r="D365" s="40">
        <v>40</v>
      </c>
      <c r="E365" s="40">
        <v>1</v>
      </c>
      <c r="F365" s="40">
        <v>39</v>
      </c>
      <c r="G365" s="163">
        <v>1</v>
      </c>
      <c r="H365" s="163">
        <v>0</v>
      </c>
      <c r="I365" s="163">
        <v>1</v>
      </c>
      <c r="J365" s="163">
        <v>10</v>
      </c>
      <c r="K365" s="163">
        <v>6</v>
      </c>
      <c r="L365" s="163">
        <v>8</v>
      </c>
      <c r="M365" s="163">
        <v>14</v>
      </c>
      <c r="N365" s="115">
        <v>3.0395136778115499E-2</v>
      </c>
      <c r="O365" s="115">
        <v>4.0498442367601202E-2</v>
      </c>
      <c r="P365" s="115">
        <v>5.4644808743169399E-3</v>
      </c>
      <c r="Q365" s="115">
        <v>0</v>
      </c>
      <c r="R365" s="115">
        <v>0.33333333333333298</v>
      </c>
      <c r="S365" s="115">
        <v>2.7322404371584699E-2</v>
      </c>
      <c r="T365" s="115">
        <v>2.80373831775701E-2</v>
      </c>
      <c r="U365" s="115">
        <v>3.8647342995169101E-2</v>
      </c>
      <c r="V365" s="115">
        <v>8.0924855491329495E-2</v>
      </c>
      <c r="W365" s="40">
        <v>1134</v>
      </c>
      <c r="X365" s="40">
        <f t="shared" si="28"/>
        <v>831</v>
      </c>
      <c r="Y365" s="40">
        <f t="shared" si="29"/>
        <v>1134</v>
      </c>
      <c r="Z365" s="105">
        <v>0.45767195767195801</v>
      </c>
      <c r="AA365" s="105">
        <v>0.54232804232804199</v>
      </c>
      <c r="AB365" s="106">
        <f>2/1134</f>
        <v>1.7636684303350969E-3</v>
      </c>
      <c r="AC365" s="106">
        <f>2/1134</f>
        <v>1.7636684303350969E-3</v>
      </c>
      <c r="AD365" s="106">
        <f>969/1134</f>
        <v>0.85449735449735453</v>
      </c>
      <c r="AE365" s="106">
        <f>43/1134</f>
        <v>3.7918871252204583E-2</v>
      </c>
      <c r="AF365" s="106">
        <v>0</v>
      </c>
      <c r="AG365" s="106">
        <f>112/1134</f>
        <v>9.8765432098765427E-2</v>
      </c>
      <c r="AH365" s="106">
        <f>6/1134</f>
        <v>5.2910052910052907E-3</v>
      </c>
      <c r="AI365" s="106">
        <f>1022/1134</f>
        <v>0.90123456790123457</v>
      </c>
      <c r="AJ365" s="105">
        <v>0.82804232804232802</v>
      </c>
      <c r="AK365" s="105">
        <v>1.3227513227513201E-2</v>
      </c>
      <c r="AL365" s="12">
        <v>152</v>
      </c>
      <c r="AM365" s="12">
        <v>151</v>
      </c>
      <c r="AN365" s="12">
        <v>1</v>
      </c>
      <c r="AO365" s="12">
        <v>304</v>
      </c>
      <c r="AP365" s="12">
        <v>195</v>
      </c>
      <c r="AQ365" s="12">
        <v>176</v>
      </c>
      <c r="AR365" s="12">
        <v>155</v>
      </c>
      <c r="AS365" s="59">
        <v>3.2786885245901639E-3</v>
      </c>
      <c r="AT365" s="3">
        <v>7</v>
      </c>
      <c r="AU365" s="3">
        <v>6</v>
      </c>
      <c r="AV365" s="52">
        <v>56.5</v>
      </c>
      <c r="AW365" s="52">
        <v>16.5</v>
      </c>
      <c r="AX365" s="52">
        <v>20.8</v>
      </c>
      <c r="AY365" s="71">
        <v>6.2</v>
      </c>
      <c r="AZ365" s="59">
        <v>0.20804331013147717</v>
      </c>
      <c r="BA365" s="59">
        <v>0.15390564578499613</v>
      </c>
      <c r="BB365" s="78">
        <v>91.137542294757793</v>
      </c>
      <c r="BC365" s="49">
        <v>61.455108359133099</v>
      </c>
      <c r="BD365" s="49">
        <v>0</v>
      </c>
      <c r="BE365" s="49">
        <v>0</v>
      </c>
      <c r="BF365" s="49">
        <v>4.2</v>
      </c>
      <c r="BG365" s="49">
        <v>7.7</v>
      </c>
      <c r="BH365" s="49">
        <v>6.9</v>
      </c>
      <c r="BI365" s="49">
        <v>5.0999999999999996</v>
      </c>
      <c r="BJ365" s="49">
        <v>16.2</v>
      </c>
      <c r="BK365" s="126">
        <v>11704</v>
      </c>
      <c r="BL365" s="126">
        <v>54603</v>
      </c>
      <c r="BM365" s="126">
        <v>57298</v>
      </c>
      <c r="BN365" s="126">
        <v>42051</v>
      </c>
      <c r="BO365" s="59">
        <v>2.46E-2</v>
      </c>
      <c r="BP365" s="59">
        <v>0.24809999999999999</v>
      </c>
      <c r="BQ365" s="59">
        <v>0.17530000000000001</v>
      </c>
      <c r="BR365" s="59">
        <v>0</v>
      </c>
      <c r="BS365" s="59">
        <v>0</v>
      </c>
      <c r="BT365" s="49">
        <v>16.8</v>
      </c>
      <c r="BU365" s="59">
        <f t="shared" si="26"/>
        <v>0.44800000000000001</v>
      </c>
      <c r="BV365" s="59">
        <v>4.4999999999999998E-2</v>
      </c>
      <c r="BW365" s="59">
        <v>0</v>
      </c>
      <c r="BX365" s="59">
        <v>3.0499999999999999E-2</v>
      </c>
      <c r="BY365" s="59">
        <v>0</v>
      </c>
      <c r="BZ365" s="59">
        <v>7.6E-3</v>
      </c>
      <c r="CA365" s="49">
        <v>18.899999999999999</v>
      </c>
      <c r="CB365" s="59">
        <f t="shared" si="27"/>
        <v>8.3099999999999993E-2</v>
      </c>
      <c r="CC365" s="59">
        <v>0.42120000000000002</v>
      </c>
      <c r="CD365" s="59">
        <v>0.31859999999999999</v>
      </c>
      <c r="CE365" s="59">
        <v>0.25259999999999999</v>
      </c>
      <c r="CF365" s="59">
        <v>0</v>
      </c>
      <c r="CG365" s="59">
        <v>7.6E-3</v>
      </c>
      <c r="CH365" s="49">
        <v>15.1</v>
      </c>
      <c r="CI365" s="39" t="s">
        <v>133</v>
      </c>
      <c r="CJ365" s="18" t="s">
        <v>479</v>
      </c>
      <c r="CK365" s="20"/>
    </row>
    <row r="366" spans="1:99" x14ac:dyDescent="0.25">
      <c r="A366" s="18" t="s">
        <v>479</v>
      </c>
      <c r="B366" s="39" t="s">
        <v>127</v>
      </c>
      <c r="C366" s="39" t="s">
        <v>134</v>
      </c>
      <c r="D366" s="40">
        <v>10</v>
      </c>
      <c r="E366" s="40" t="s">
        <v>83</v>
      </c>
      <c r="F366" s="40">
        <v>10</v>
      </c>
      <c r="G366" s="162" t="s">
        <v>83</v>
      </c>
      <c r="H366" s="162" t="s">
        <v>83</v>
      </c>
      <c r="I366" s="166">
        <v>0</v>
      </c>
      <c r="J366" s="163">
        <v>1</v>
      </c>
      <c r="K366" s="163">
        <v>4</v>
      </c>
      <c r="L366" s="163">
        <v>4</v>
      </c>
      <c r="M366" s="163">
        <v>1</v>
      </c>
      <c r="N366" s="115">
        <v>2.3148148148148098E-2</v>
      </c>
      <c r="O366" s="115">
        <v>2.3148148148148098E-2</v>
      </c>
      <c r="P366" s="116" t="s">
        <v>83</v>
      </c>
      <c r="Q366" s="116" t="s">
        <v>83</v>
      </c>
      <c r="R366" s="119">
        <v>0</v>
      </c>
      <c r="S366" s="115">
        <v>7.5757575757575803E-3</v>
      </c>
      <c r="T366" s="115">
        <v>4.1237113402061903E-2</v>
      </c>
      <c r="U366" s="115">
        <v>4.08163265306122E-2</v>
      </c>
      <c r="V366" s="115">
        <v>1.26582278481013E-2</v>
      </c>
      <c r="W366" s="40">
        <v>373</v>
      </c>
      <c r="X366" s="40">
        <f t="shared" si="28"/>
        <v>373</v>
      </c>
      <c r="Y366" s="40">
        <f t="shared" si="29"/>
        <v>373</v>
      </c>
      <c r="Z366" s="105">
        <v>0.50134048257372699</v>
      </c>
      <c r="AA366" s="105">
        <v>0.49865951742627301</v>
      </c>
      <c r="AB366" s="106">
        <f>3/373</f>
        <v>8.0428954423592495E-3</v>
      </c>
      <c r="AC366" s="106">
        <f>2/373</f>
        <v>5.3619302949061663E-3</v>
      </c>
      <c r="AD366" s="106">
        <f>156/373</f>
        <v>0.41823056300268097</v>
      </c>
      <c r="AE366" s="106">
        <f>10/373</f>
        <v>2.6809651474530832E-2</v>
      </c>
      <c r="AF366" s="106">
        <v>0</v>
      </c>
      <c r="AG366" s="106">
        <f>197/373</f>
        <v>0.52815013404825739</v>
      </c>
      <c r="AH366" s="106">
        <f>5/373</f>
        <v>1.3404825737265416E-2</v>
      </c>
      <c r="AI366" s="106">
        <f>176/373</f>
        <v>0.47184986595174261</v>
      </c>
      <c r="AJ366" s="105">
        <v>0.72922252010723865</v>
      </c>
      <c r="AK366" s="105">
        <v>8.0428954423592495E-3</v>
      </c>
      <c r="AL366" s="12">
        <v>0</v>
      </c>
      <c r="AM366" s="12">
        <v>0</v>
      </c>
      <c r="AN366" s="12">
        <v>25</v>
      </c>
      <c r="AO366" s="12">
        <v>109</v>
      </c>
      <c r="AP366" s="12">
        <v>79</v>
      </c>
      <c r="AQ366" s="12">
        <v>89</v>
      </c>
      <c r="AR366" s="12">
        <v>71</v>
      </c>
      <c r="AS366" s="59">
        <v>0.18656716417910449</v>
      </c>
      <c r="AT366" s="3">
        <v>9</v>
      </c>
      <c r="AU366" s="3">
        <v>6</v>
      </c>
      <c r="AV366" s="52">
        <v>79.599999999999994</v>
      </c>
      <c r="AW366" s="52">
        <v>12.4</v>
      </c>
      <c r="AX366" s="52">
        <v>8</v>
      </c>
      <c r="AY366" s="70">
        <v>0</v>
      </c>
      <c r="AZ366" s="59">
        <v>0.15258215962441316</v>
      </c>
      <c r="BA366" s="59">
        <v>0.10563380281690141</v>
      </c>
      <c r="BB366" s="77">
        <v>91.572296963712702</v>
      </c>
      <c r="BC366" s="49">
        <v>36.150234741783997</v>
      </c>
      <c r="BD366" s="90" t="s">
        <v>83</v>
      </c>
      <c r="BE366" s="90" t="s">
        <v>83</v>
      </c>
      <c r="BF366" s="49">
        <v>3.8</v>
      </c>
      <c r="BG366" s="49">
        <v>0</v>
      </c>
      <c r="BH366" s="49">
        <v>2.4</v>
      </c>
      <c r="BI366" s="49">
        <v>1.4</v>
      </c>
      <c r="BJ366" s="49">
        <v>19.100000000000001</v>
      </c>
      <c r="BK366" s="126">
        <v>15309</v>
      </c>
      <c r="BL366" s="126">
        <v>51488</v>
      </c>
      <c r="BM366" s="126">
        <v>53076</v>
      </c>
      <c r="BN366" s="126">
        <v>41581</v>
      </c>
      <c r="BO366" s="59">
        <v>3.4500000000000003E-2</v>
      </c>
      <c r="BP366" s="59">
        <v>0.26179999999999998</v>
      </c>
      <c r="BQ366" s="59">
        <v>0.1956</v>
      </c>
      <c r="BR366" s="59">
        <v>0</v>
      </c>
      <c r="BS366" s="59">
        <v>0</v>
      </c>
      <c r="BT366" s="49">
        <v>13.1</v>
      </c>
      <c r="BU366" s="59">
        <f t="shared" si="26"/>
        <v>0.4919</v>
      </c>
      <c r="BV366" s="59">
        <v>5.1700000000000003E-2</v>
      </c>
      <c r="BW366" s="59">
        <v>0</v>
      </c>
      <c r="BX366" s="59">
        <v>5.1700000000000003E-2</v>
      </c>
      <c r="BY366" s="59">
        <v>0</v>
      </c>
      <c r="BZ366" s="59">
        <v>0</v>
      </c>
      <c r="CA366" s="49">
        <v>14</v>
      </c>
      <c r="CB366" s="59">
        <f t="shared" si="27"/>
        <v>0.10340000000000001</v>
      </c>
      <c r="CC366" s="59">
        <v>0.39939999999999998</v>
      </c>
      <c r="CD366" s="59">
        <v>0.3246</v>
      </c>
      <c r="CE366" s="59">
        <v>0.27600000000000002</v>
      </c>
      <c r="CF366" s="59">
        <v>0</v>
      </c>
      <c r="CG366" s="59">
        <v>0</v>
      </c>
      <c r="CH366" s="49">
        <v>13.1</v>
      </c>
      <c r="CI366" s="39" t="s">
        <v>134</v>
      </c>
      <c r="CJ366" s="18" t="s">
        <v>479</v>
      </c>
      <c r="CK366" s="20"/>
    </row>
    <row r="367" spans="1:99" x14ac:dyDescent="0.25">
      <c r="A367" s="18" t="s">
        <v>479</v>
      </c>
      <c r="B367" s="39" t="s">
        <v>127</v>
      </c>
      <c r="C367" s="39" t="s">
        <v>135</v>
      </c>
      <c r="D367" s="40">
        <v>25</v>
      </c>
      <c r="E367" s="40" t="s">
        <v>83</v>
      </c>
      <c r="F367" s="40">
        <v>25</v>
      </c>
      <c r="G367" s="162" t="s">
        <v>83</v>
      </c>
      <c r="H367" s="162" t="s">
        <v>83</v>
      </c>
      <c r="I367" s="163">
        <v>1</v>
      </c>
      <c r="J367" s="163">
        <v>3</v>
      </c>
      <c r="K367" s="163">
        <v>2</v>
      </c>
      <c r="L367" s="163">
        <v>9</v>
      </c>
      <c r="M367" s="163">
        <v>10</v>
      </c>
      <c r="N367" s="115">
        <v>2.3148148148148098E-2</v>
      </c>
      <c r="O367" s="115">
        <v>2.3148148148148098E-2</v>
      </c>
      <c r="P367" s="116" t="s">
        <v>83</v>
      </c>
      <c r="Q367" s="116" t="s">
        <v>83</v>
      </c>
      <c r="R367" s="115">
        <v>0.11111111111111099</v>
      </c>
      <c r="S367" s="115">
        <v>9.6463022508038593E-3</v>
      </c>
      <c r="T367" s="115">
        <v>6.9444444444444397E-3</v>
      </c>
      <c r="U367" s="115">
        <v>3.6885245901639302E-2</v>
      </c>
      <c r="V367" s="115">
        <v>4.3859649122807001E-2</v>
      </c>
      <c r="W367" s="40">
        <v>991</v>
      </c>
      <c r="X367" s="40">
        <f t="shared" si="28"/>
        <v>991</v>
      </c>
      <c r="Y367" s="40">
        <f t="shared" si="29"/>
        <v>991</v>
      </c>
      <c r="Z367" s="105">
        <v>0.49142280524722498</v>
      </c>
      <c r="AA367" s="105">
        <v>0.50857719475277496</v>
      </c>
      <c r="AB367" s="106">
        <f>4/991</f>
        <v>4.0363269424823411E-3</v>
      </c>
      <c r="AC367" s="106">
        <f>3/991</f>
        <v>3.0272452068617556E-3</v>
      </c>
      <c r="AD367" s="106">
        <f>348/991</f>
        <v>0.35116044399596369</v>
      </c>
      <c r="AE367" s="106">
        <f>34/991</f>
        <v>3.4308779011099896E-2</v>
      </c>
      <c r="AF367" s="106">
        <v>0</v>
      </c>
      <c r="AG367" s="106">
        <f>594/991</f>
        <v>0.5993945509586277</v>
      </c>
      <c r="AH367" s="106">
        <f>8/991</f>
        <v>8.0726538849646822E-3</v>
      </c>
      <c r="AI367" s="106">
        <f>397/991</f>
        <v>0.40060544904137235</v>
      </c>
      <c r="AJ367" s="105">
        <v>0.56306760847628656</v>
      </c>
      <c r="AK367" s="105">
        <v>5.0454086781029301E-3</v>
      </c>
      <c r="AL367" s="12">
        <v>0</v>
      </c>
      <c r="AM367" s="12">
        <v>0</v>
      </c>
      <c r="AN367" s="12">
        <v>8</v>
      </c>
      <c r="AO367" s="12">
        <v>287</v>
      </c>
      <c r="AP367" s="12">
        <v>267</v>
      </c>
      <c r="AQ367" s="12">
        <v>225</v>
      </c>
      <c r="AR367" s="12">
        <v>204</v>
      </c>
      <c r="AS367" s="59">
        <v>2.7118644067796609E-2</v>
      </c>
      <c r="AT367" s="3">
        <v>9</v>
      </c>
      <c r="AU367" s="3">
        <v>6</v>
      </c>
      <c r="AV367" s="52">
        <v>60.3</v>
      </c>
      <c r="AW367" s="52">
        <v>19.7</v>
      </c>
      <c r="AX367" s="52">
        <v>18.7</v>
      </c>
      <c r="AY367" s="71">
        <v>1.3</v>
      </c>
      <c r="AZ367" s="59">
        <v>0.1104868913857678</v>
      </c>
      <c r="BA367" s="59">
        <v>9.0823970037453183E-2</v>
      </c>
      <c r="BB367" s="78">
        <v>93.864449148994694</v>
      </c>
      <c r="BC367" s="49">
        <v>30.3738317757009</v>
      </c>
      <c r="BD367" s="90" t="s">
        <v>83</v>
      </c>
      <c r="BE367" s="90" t="s">
        <v>83</v>
      </c>
      <c r="BF367" s="49">
        <v>5.6</v>
      </c>
      <c r="BG367" s="49">
        <v>2</v>
      </c>
      <c r="BH367" s="49">
        <v>2</v>
      </c>
      <c r="BI367" s="49">
        <v>3</v>
      </c>
      <c r="BJ367" s="49">
        <v>19.100000000000001</v>
      </c>
      <c r="BK367" s="126">
        <v>10664</v>
      </c>
      <c r="BL367" s="126">
        <v>51202</v>
      </c>
      <c r="BM367" s="126">
        <v>53410</v>
      </c>
      <c r="BN367" s="126">
        <v>43551</v>
      </c>
      <c r="BO367" s="59">
        <v>0</v>
      </c>
      <c r="BP367" s="59">
        <v>0.32500000000000001</v>
      </c>
      <c r="BQ367" s="59">
        <v>0.18809999999999999</v>
      </c>
      <c r="BR367" s="59">
        <v>0</v>
      </c>
      <c r="BS367" s="59">
        <v>0</v>
      </c>
      <c r="BT367" s="49">
        <v>10.7</v>
      </c>
      <c r="BU367" s="59">
        <f t="shared" si="26"/>
        <v>0.5131</v>
      </c>
      <c r="BV367" s="59">
        <v>5.2400000000000002E-2</v>
      </c>
      <c r="BW367" s="59">
        <v>0</v>
      </c>
      <c r="BX367" s="59">
        <v>5.0999999999999997E-2</v>
      </c>
      <c r="BY367" s="59">
        <v>0</v>
      </c>
      <c r="BZ367" s="59">
        <v>0</v>
      </c>
      <c r="CA367" s="49">
        <v>20.399999999999999</v>
      </c>
      <c r="CB367" s="59">
        <f t="shared" si="27"/>
        <v>0.10339999999999999</v>
      </c>
      <c r="CC367" s="59">
        <v>0.32469999999999999</v>
      </c>
      <c r="CD367" s="59">
        <v>0.38919999999999999</v>
      </c>
      <c r="CE367" s="59">
        <v>0.28610000000000002</v>
      </c>
      <c r="CF367" s="59">
        <v>0</v>
      </c>
      <c r="CG367" s="59">
        <v>0</v>
      </c>
      <c r="CH367" s="49">
        <v>11.9</v>
      </c>
      <c r="CI367" s="39" t="s">
        <v>135</v>
      </c>
      <c r="CJ367" s="18" t="s">
        <v>479</v>
      </c>
      <c r="CK367" s="20"/>
    </row>
    <row r="368" spans="1:99" x14ac:dyDescent="0.25">
      <c r="A368" s="18" t="s">
        <v>479</v>
      </c>
      <c r="B368" s="39" t="s">
        <v>127</v>
      </c>
      <c r="C368" s="39" t="s">
        <v>136</v>
      </c>
      <c r="D368" s="40">
        <v>48</v>
      </c>
      <c r="E368" s="40" t="s">
        <v>83</v>
      </c>
      <c r="F368" s="40">
        <v>48</v>
      </c>
      <c r="G368" s="162" t="s">
        <v>83</v>
      </c>
      <c r="H368" s="162" t="s">
        <v>83</v>
      </c>
      <c r="I368" s="162" t="s">
        <v>83</v>
      </c>
      <c r="J368" s="163">
        <v>6</v>
      </c>
      <c r="K368" s="163">
        <v>13</v>
      </c>
      <c r="L368" s="163">
        <v>12</v>
      </c>
      <c r="M368" s="163">
        <v>17</v>
      </c>
      <c r="N368" s="115">
        <v>2.92682926829268E-2</v>
      </c>
      <c r="O368" s="115">
        <v>2.92682926829268E-2</v>
      </c>
      <c r="P368" s="116" t="s">
        <v>83</v>
      </c>
      <c r="Q368" s="116" t="s">
        <v>83</v>
      </c>
      <c r="R368" s="116" t="s">
        <v>83</v>
      </c>
      <c r="S368" s="115">
        <v>1.3303769401330399E-2</v>
      </c>
      <c r="T368" s="115">
        <v>2.6530612244898E-2</v>
      </c>
      <c r="U368" s="115">
        <v>3.2608695652173898E-2</v>
      </c>
      <c r="V368" s="115">
        <v>5.1671732522796401E-2</v>
      </c>
      <c r="W368" s="40">
        <v>1485</v>
      </c>
      <c r="X368" s="40">
        <f t="shared" si="28"/>
        <v>1485</v>
      </c>
      <c r="Y368" s="40">
        <f t="shared" si="29"/>
        <v>1485</v>
      </c>
      <c r="Z368" s="105">
        <v>0.52861952861952899</v>
      </c>
      <c r="AA368" s="105">
        <v>0.47138047138047101</v>
      </c>
      <c r="AB368" s="106">
        <f>5/1485</f>
        <v>3.3670033670033669E-3</v>
      </c>
      <c r="AC368" s="106">
        <f>4/1485</f>
        <v>2.6936026936026937E-3</v>
      </c>
      <c r="AD368" s="106">
        <f>1057/1485</f>
        <v>0.71178451178451174</v>
      </c>
      <c r="AE368" s="106">
        <f>31/1485</f>
        <v>2.0875420875420877E-2</v>
      </c>
      <c r="AF368" s="106">
        <v>0</v>
      </c>
      <c r="AG368" s="106">
        <f>371/1485</f>
        <v>0.24983164983164982</v>
      </c>
      <c r="AH368" s="106">
        <f>17/1485</f>
        <v>1.1447811447811448E-2</v>
      </c>
      <c r="AI368" s="106">
        <f>1114/1485</f>
        <v>0.75016835016835015</v>
      </c>
      <c r="AJ368" s="105">
        <v>0.71178451178451174</v>
      </c>
      <c r="AK368" s="105">
        <v>5.3872053872053901E-3</v>
      </c>
      <c r="AL368" s="12">
        <v>0</v>
      </c>
      <c r="AM368" s="12">
        <v>0</v>
      </c>
      <c r="AN368" s="12">
        <v>0</v>
      </c>
      <c r="AO368" s="12">
        <v>423</v>
      </c>
      <c r="AP368" s="12">
        <v>431</v>
      </c>
      <c r="AQ368" s="12">
        <v>336</v>
      </c>
      <c r="AR368" s="12">
        <v>295</v>
      </c>
      <c r="AS368" s="59">
        <v>0</v>
      </c>
      <c r="AT368" s="3">
        <v>9</v>
      </c>
      <c r="AU368" s="3">
        <v>6</v>
      </c>
      <c r="AV368" s="52">
        <v>39.799999999999997</v>
      </c>
      <c r="AW368" s="52">
        <v>12.5</v>
      </c>
      <c r="AX368" s="52">
        <v>34.1</v>
      </c>
      <c r="AY368" s="71">
        <v>13.6</v>
      </c>
      <c r="AZ368" s="59">
        <v>0.18153655514250311</v>
      </c>
      <c r="BA368" s="59">
        <v>0.13320941759603469</v>
      </c>
      <c r="BB368" s="77">
        <v>93.077547866132505</v>
      </c>
      <c r="BC368" s="49">
        <v>33.890954151177198</v>
      </c>
      <c r="BD368" s="90" t="s">
        <v>83</v>
      </c>
      <c r="BE368" s="90" t="s">
        <v>83</v>
      </c>
      <c r="BF368" s="49">
        <v>1.3</v>
      </c>
      <c r="BG368" s="49">
        <v>4</v>
      </c>
      <c r="BH368" s="49">
        <v>2.6</v>
      </c>
      <c r="BI368" s="49">
        <v>3</v>
      </c>
      <c r="BJ368" s="49">
        <v>17.3</v>
      </c>
      <c r="BK368" s="126">
        <v>9209</v>
      </c>
      <c r="BL368" s="126">
        <v>51275</v>
      </c>
      <c r="BM368" s="126">
        <v>60921</v>
      </c>
      <c r="BN368" s="126">
        <v>45131</v>
      </c>
      <c r="BO368" s="59">
        <v>8.5000000000000006E-3</v>
      </c>
      <c r="BP368" s="59">
        <v>0.36109999999999998</v>
      </c>
      <c r="BQ368" s="59">
        <v>0.17810000000000001</v>
      </c>
      <c r="BR368" s="59">
        <v>0</v>
      </c>
      <c r="BS368" s="59">
        <v>8.5000000000000006E-3</v>
      </c>
      <c r="BT368" s="49">
        <v>11.3</v>
      </c>
      <c r="BU368" s="59">
        <f t="shared" si="26"/>
        <v>0.55619999999999992</v>
      </c>
      <c r="BV368" s="59">
        <v>2.5499999999999998E-2</v>
      </c>
      <c r="BW368" s="59">
        <v>8.5000000000000006E-3</v>
      </c>
      <c r="BX368" s="59">
        <v>5.1799999999999999E-2</v>
      </c>
      <c r="BY368" s="59">
        <v>0</v>
      </c>
      <c r="BZ368" s="59">
        <v>0</v>
      </c>
      <c r="CA368" s="49">
        <v>21.3</v>
      </c>
      <c r="CB368" s="59">
        <f t="shared" si="27"/>
        <v>8.5800000000000001E-2</v>
      </c>
      <c r="CC368" s="59">
        <v>0.29249999999999998</v>
      </c>
      <c r="CD368" s="59">
        <v>0.42730000000000001</v>
      </c>
      <c r="CE368" s="59">
        <v>0.2717</v>
      </c>
      <c r="CF368" s="59">
        <v>0</v>
      </c>
      <c r="CG368" s="59">
        <v>8.5000000000000006E-3</v>
      </c>
      <c r="CH368" s="49">
        <v>12.7</v>
      </c>
      <c r="CI368" s="39" t="s">
        <v>136</v>
      </c>
      <c r="CJ368" s="18" t="s">
        <v>479</v>
      </c>
      <c r="CK368" s="20"/>
    </row>
    <row r="369" spans="1:89" x14ac:dyDescent="0.25">
      <c r="A369" s="18" t="s">
        <v>479</v>
      </c>
      <c r="B369" s="39" t="s">
        <v>127</v>
      </c>
      <c r="C369" s="39" t="s">
        <v>137</v>
      </c>
      <c r="D369" s="40">
        <v>25</v>
      </c>
      <c r="E369" s="40">
        <v>1</v>
      </c>
      <c r="F369" s="40">
        <v>24</v>
      </c>
      <c r="G369" s="166">
        <v>0</v>
      </c>
      <c r="H369" s="163">
        <v>1</v>
      </c>
      <c r="I369" s="163">
        <v>0</v>
      </c>
      <c r="J369" s="163">
        <v>3</v>
      </c>
      <c r="K369" s="163">
        <v>8</v>
      </c>
      <c r="L369" s="163">
        <v>8</v>
      </c>
      <c r="M369" s="163">
        <v>5</v>
      </c>
      <c r="N369" s="115">
        <v>2.7027027027027001E-2</v>
      </c>
      <c r="O369" s="115">
        <v>3.6418816388467397E-2</v>
      </c>
      <c r="P369" s="119">
        <v>0</v>
      </c>
      <c r="Q369" s="115">
        <v>7.6923076923076901E-3</v>
      </c>
      <c r="R369" s="115">
        <v>0</v>
      </c>
      <c r="S369" s="115">
        <v>1.9480519480519501E-2</v>
      </c>
      <c r="T369" s="115">
        <v>3.8461538461538498E-2</v>
      </c>
      <c r="U369" s="115">
        <v>5.1282051282051301E-2</v>
      </c>
      <c r="V369" s="115">
        <v>3.8759689922480599E-2</v>
      </c>
      <c r="W369" s="40">
        <v>793</v>
      </c>
      <c r="X369" s="40">
        <f t="shared" si="28"/>
        <v>582</v>
      </c>
      <c r="Y369" s="40">
        <f t="shared" si="29"/>
        <v>793</v>
      </c>
      <c r="Z369" s="105">
        <v>0.465321563682219</v>
      </c>
      <c r="AA369" s="105">
        <v>0.534678436317781</v>
      </c>
      <c r="AB369" s="106">
        <v>0</v>
      </c>
      <c r="AC369" s="106">
        <v>0</v>
      </c>
      <c r="AD369" s="106">
        <f>785/793</f>
        <v>0.9899117276166457</v>
      </c>
      <c r="AE369" s="106">
        <f>1/793</f>
        <v>1.2610340479192938E-3</v>
      </c>
      <c r="AF369" s="106">
        <v>0</v>
      </c>
      <c r="AG369" s="106">
        <f>5/793</f>
        <v>6.3051702395964691E-3</v>
      </c>
      <c r="AH369" s="106">
        <f>2/793</f>
        <v>2.5220680958385876E-3</v>
      </c>
      <c r="AI369" s="106">
        <f>788/793</f>
        <v>0.99369482976040358</v>
      </c>
      <c r="AJ369" s="105">
        <v>0.93694829760403531</v>
      </c>
      <c r="AK369" s="105">
        <v>0</v>
      </c>
      <c r="AL369" s="12">
        <v>106</v>
      </c>
      <c r="AM369" s="12">
        <v>105</v>
      </c>
      <c r="AN369" s="12">
        <v>10</v>
      </c>
      <c r="AO369" s="12">
        <v>128</v>
      </c>
      <c r="AP369" s="12">
        <v>179</v>
      </c>
      <c r="AQ369" s="12">
        <v>145</v>
      </c>
      <c r="AR369" s="12">
        <v>120</v>
      </c>
      <c r="AS369" s="59">
        <v>7.2463768115942032E-2</v>
      </c>
      <c r="AT369" s="3">
        <v>7</v>
      </c>
      <c r="AU369" s="3">
        <v>6</v>
      </c>
      <c r="AV369" s="52">
        <v>71.3</v>
      </c>
      <c r="AW369" s="52">
        <v>11.8</v>
      </c>
      <c r="AX369" s="52">
        <v>15.1</v>
      </c>
      <c r="AY369" s="71">
        <v>1.8</v>
      </c>
      <c r="AZ369" s="59">
        <v>0.13166485310119697</v>
      </c>
      <c r="BA369" s="59">
        <v>0.12840043525571274</v>
      </c>
      <c r="BB369" s="78">
        <v>91.558865951500906</v>
      </c>
      <c r="BC369" s="49">
        <v>59.066232356134599</v>
      </c>
      <c r="BD369" s="49">
        <v>7.3</v>
      </c>
      <c r="BE369" s="49">
        <v>1</v>
      </c>
      <c r="BF369" s="49">
        <v>5.6</v>
      </c>
      <c r="BG369" s="49">
        <v>4.5</v>
      </c>
      <c r="BH369" s="49">
        <v>0.8</v>
      </c>
      <c r="BI369" s="49">
        <v>1.8</v>
      </c>
      <c r="BJ369" s="49">
        <v>15.2</v>
      </c>
      <c r="BK369" s="126">
        <v>12385</v>
      </c>
      <c r="BL369" s="126">
        <v>51449</v>
      </c>
      <c r="BM369" s="126">
        <v>51970</v>
      </c>
      <c r="BN369" s="126">
        <v>42410</v>
      </c>
      <c r="BO369" s="59">
        <v>2.1499999999999998E-2</v>
      </c>
      <c r="BP369" s="59">
        <v>0.27539999999999998</v>
      </c>
      <c r="BQ369" s="59">
        <v>0.1976</v>
      </c>
      <c r="BR369" s="59">
        <v>0</v>
      </c>
      <c r="BS369" s="59">
        <v>0</v>
      </c>
      <c r="BT369" s="49">
        <v>14.3</v>
      </c>
      <c r="BU369" s="59">
        <f t="shared" si="26"/>
        <v>0.4945</v>
      </c>
      <c r="BV369" s="59">
        <v>2.1499999999999998E-2</v>
      </c>
      <c r="BW369" s="59">
        <v>2.1499999999999998E-2</v>
      </c>
      <c r="BX369" s="59">
        <v>5.0799999999999998E-2</v>
      </c>
      <c r="BY369" s="59">
        <v>0</v>
      </c>
      <c r="BZ369" s="59">
        <v>0</v>
      </c>
      <c r="CA369" s="49">
        <v>19.5</v>
      </c>
      <c r="CB369" s="59">
        <f t="shared" si="27"/>
        <v>9.3799999999999994E-2</v>
      </c>
      <c r="CC369" s="59">
        <v>0.30819999999999997</v>
      </c>
      <c r="CD369" s="59">
        <v>0.3735</v>
      </c>
      <c r="CE369" s="59">
        <v>0.29680000000000001</v>
      </c>
      <c r="CF369" s="59">
        <v>0</v>
      </c>
      <c r="CG369" s="59">
        <v>2.1499999999999998E-2</v>
      </c>
      <c r="CH369" s="49">
        <v>14</v>
      </c>
      <c r="CI369" s="39" t="s">
        <v>137</v>
      </c>
      <c r="CJ369" s="18" t="s">
        <v>479</v>
      </c>
      <c r="CK369" s="20"/>
    </row>
    <row r="370" spans="1:89" x14ac:dyDescent="0.25">
      <c r="A370" s="18" t="s">
        <v>479</v>
      </c>
      <c r="B370" s="39" t="s">
        <v>127</v>
      </c>
      <c r="C370" s="39" t="s">
        <v>138</v>
      </c>
      <c r="D370" s="40">
        <v>44</v>
      </c>
      <c r="E370" s="40" t="s">
        <v>83</v>
      </c>
      <c r="F370" s="40">
        <v>44</v>
      </c>
      <c r="G370" s="162" t="s">
        <v>83</v>
      </c>
      <c r="H370" s="162" t="s">
        <v>83</v>
      </c>
      <c r="I370" s="163">
        <v>0</v>
      </c>
      <c r="J370" s="163">
        <v>13</v>
      </c>
      <c r="K370" s="163">
        <v>12</v>
      </c>
      <c r="L370" s="163">
        <v>8</v>
      </c>
      <c r="M370" s="163">
        <v>11</v>
      </c>
      <c r="N370" s="115">
        <v>5.16431924882629E-2</v>
      </c>
      <c r="O370" s="115">
        <v>5.16431924882629E-2</v>
      </c>
      <c r="P370" s="116" t="s">
        <v>83</v>
      </c>
      <c r="Q370" s="116" t="s">
        <v>83</v>
      </c>
      <c r="R370" s="115">
        <v>0</v>
      </c>
      <c r="S370" s="115">
        <v>4.9056603773584902E-2</v>
      </c>
      <c r="T370" s="115">
        <v>4.4280442804428E-2</v>
      </c>
      <c r="U370" s="115">
        <v>5.1282051282051301E-2</v>
      </c>
      <c r="V370" s="115">
        <v>7.0063694267515894E-2</v>
      </c>
      <c r="W370" s="40">
        <v>713</v>
      </c>
      <c r="X370" s="40">
        <f t="shared" si="28"/>
        <v>713</v>
      </c>
      <c r="Y370" s="40">
        <f t="shared" si="29"/>
        <v>713</v>
      </c>
      <c r="Z370" s="105">
        <v>0.48667601683029499</v>
      </c>
      <c r="AA370" s="105">
        <v>0.51332398316970596</v>
      </c>
      <c r="AB370" s="106">
        <v>0</v>
      </c>
      <c r="AC370" s="106">
        <v>0</v>
      </c>
      <c r="AD370" s="106">
        <f>698/713</f>
        <v>0.97896213183730718</v>
      </c>
      <c r="AE370" s="106">
        <f>7/713</f>
        <v>9.8176718092566617E-3</v>
      </c>
      <c r="AF370" s="106">
        <v>0</v>
      </c>
      <c r="AG370" s="106">
        <f>6/713</f>
        <v>8.4151472650771386E-3</v>
      </c>
      <c r="AH370" s="106">
        <f>2/713</f>
        <v>2.8050490883590462E-3</v>
      </c>
      <c r="AI370" s="106">
        <f>707/713</f>
        <v>0.99158485273492281</v>
      </c>
      <c r="AJ370" s="105">
        <v>0.93267882187938289</v>
      </c>
      <c r="AK370" s="105">
        <v>2.8050490883590501E-3</v>
      </c>
      <c r="AL370" s="12">
        <v>0</v>
      </c>
      <c r="AM370" s="12">
        <v>0</v>
      </c>
      <c r="AN370" s="12">
        <v>2</v>
      </c>
      <c r="AO370" s="12">
        <v>202</v>
      </c>
      <c r="AP370" s="12">
        <v>241</v>
      </c>
      <c r="AQ370" s="12">
        <v>130</v>
      </c>
      <c r="AR370" s="12">
        <v>138</v>
      </c>
      <c r="AS370" s="59">
        <v>9.8039215686274508E-3</v>
      </c>
      <c r="AT370" s="3">
        <v>9</v>
      </c>
      <c r="AU370" s="3">
        <v>6</v>
      </c>
      <c r="AV370" s="52">
        <v>55.5</v>
      </c>
      <c r="AW370" s="52">
        <v>25.3</v>
      </c>
      <c r="AX370" s="52">
        <v>16.7</v>
      </c>
      <c r="AY370" s="71">
        <v>2.5</v>
      </c>
      <c r="AZ370" s="59">
        <v>1.6746411483253589E-2</v>
      </c>
      <c r="BA370" s="59">
        <v>0.1423444976076555</v>
      </c>
      <c r="BB370" s="77">
        <v>91.166006606083499</v>
      </c>
      <c r="BC370" s="49">
        <v>39.856801909307897</v>
      </c>
      <c r="BD370" s="90" t="s">
        <v>83</v>
      </c>
      <c r="BE370" s="90" t="s">
        <v>83</v>
      </c>
      <c r="BF370" s="49">
        <v>2.2000000000000002</v>
      </c>
      <c r="BG370" s="49">
        <v>5</v>
      </c>
      <c r="BH370" s="49">
        <v>7.3</v>
      </c>
      <c r="BI370" s="49">
        <v>2.8</v>
      </c>
      <c r="BJ370" s="49">
        <v>15</v>
      </c>
      <c r="BK370" s="126">
        <v>12895</v>
      </c>
      <c r="BL370" s="126">
        <v>53306</v>
      </c>
      <c r="BM370" s="126">
        <v>45987</v>
      </c>
      <c r="BN370" s="126">
        <v>41569</v>
      </c>
      <c r="BO370" s="59">
        <v>2.2599999999999999E-2</v>
      </c>
      <c r="BP370" s="59">
        <v>0.18099999999999999</v>
      </c>
      <c r="BQ370" s="59">
        <v>0.25929999999999997</v>
      </c>
      <c r="BR370" s="59">
        <v>0</v>
      </c>
      <c r="BS370" s="59">
        <v>0</v>
      </c>
      <c r="BT370" s="49">
        <v>16.3</v>
      </c>
      <c r="BU370" s="59">
        <f t="shared" si="26"/>
        <v>0.46289999999999998</v>
      </c>
      <c r="BV370" s="59">
        <v>4.4900000000000002E-2</v>
      </c>
      <c r="BW370" s="59">
        <v>0</v>
      </c>
      <c r="BX370" s="59">
        <v>4.2000000000000003E-2</v>
      </c>
      <c r="BY370" s="59">
        <v>0</v>
      </c>
      <c r="BZ370" s="59">
        <v>1.1299999999999999E-2</v>
      </c>
      <c r="CA370" s="49">
        <v>24</v>
      </c>
      <c r="CB370" s="59">
        <f t="shared" si="27"/>
        <v>9.820000000000001E-2</v>
      </c>
      <c r="CC370" s="59">
        <v>0.36959999999999998</v>
      </c>
      <c r="CD370" s="59">
        <v>0.2387</v>
      </c>
      <c r="CE370" s="59">
        <v>0.36909999999999998</v>
      </c>
      <c r="CF370" s="59">
        <v>1.1299999999999999E-2</v>
      </c>
      <c r="CG370" s="59">
        <v>1.1299999999999999E-2</v>
      </c>
      <c r="CH370" s="49">
        <v>15.6</v>
      </c>
      <c r="CI370" s="39" t="s">
        <v>138</v>
      </c>
      <c r="CJ370" s="18" t="s">
        <v>479</v>
      </c>
      <c r="CK370" s="20"/>
    </row>
    <row r="371" spans="1:89" x14ac:dyDescent="0.25">
      <c r="A371" s="18" t="s">
        <v>479</v>
      </c>
      <c r="B371" s="39" t="s">
        <v>139</v>
      </c>
      <c r="C371" s="39" t="s">
        <v>140</v>
      </c>
      <c r="D371" s="40">
        <v>40</v>
      </c>
      <c r="E371" s="40" t="s">
        <v>83</v>
      </c>
      <c r="F371" s="40">
        <v>40</v>
      </c>
      <c r="G371" s="162" t="s">
        <v>83</v>
      </c>
      <c r="H371" s="162" t="s">
        <v>83</v>
      </c>
      <c r="I371" s="163">
        <v>0</v>
      </c>
      <c r="J371" s="163">
        <v>13</v>
      </c>
      <c r="K371" s="163">
        <v>8</v>
      </c>
      <c r="L371" s="163">
        <v>7</v>
      </c>
      <c r="M371" s="163">
        <v>12</v>
      </c>
      <c r="N371" s="115">
        <v>1.9093078758949899E-2</v>
      </c>
      <c r="O371" s="115">
        <v>1.9093078758949899E-2</v>
      </c>
      <c r="P371" s="116" t="s">
        <v>83</v>
      </c>
      <c r="Q371" s="116" t="s">
        <v>83</v>
      </c>
      <c r="R371" s="115">
        <v>0</v>
      </c>
      <c r="S371" s="115">
        <v>2.1276595744680899E-2</v>
      </c>
      <c r="T371" s="115">
        <v>1.3986013986014E-2</v>
      </c>
      <c r="U371" s="115">
        <v>1.46750524109015E-2</v>
      </c>
      <c r="V371" s="115">
        <v>2.8169014084507001E-2</v>
      </c>
      <c r="W371" s="40">
        <v>1969</v>
      </c>
      <c r="X371" s="40">
        <f t="shared" si="28"/>
        <v>1969</v>
      </c>
      <c r="Y371" s="40">
        <f t="shared" si="29"/>
        <v>1969</v>
      </c>
      <c r="Z371" s="105">
        <v>0.51650584052818704</v>
      </c>
      <c r="AA371" s="105">
        <v>0.48349415947181301</v>
      </c>
      <c r="AB371" s="106">
        <v>0</v>
      </c>
      <c r="AC371" s="106">
        <f>81/1969</f>
        <v>4.1137633316404264E-2</v>
      </c>
      <c r="AD371" s="106">
        <f>666/1969</f>
        <v>0.33824276282376842</v>
      </c>
      <c r="AE371" s="106">
        <f>52/1969</f>
        <v>2.6409344845099034E-2</v>
      </c>
      <c r="AF371" s="106">
        <f>1/1969</f>
        <v>5.0787201625190448E-4</v>
      </c>
      <c r="AG371" s="106">
        <f>1159/1969</f>
        <v>0.58862366683595735</v>
      </c>
      <c r="AH371" s="106">
        <f>10/1969</f>
        <v>5.0787201625190452E-3</v>
      </c>
      <c r="AI371" s="106">
        <f>810/1969</f>
        <v>0.41137633316404265</v>
      </c>
      <c r="AJ371" s="105">
        <v>0.43473844591163024</v>
      </c>
      <c r="AK371" s="105">
        <v>1.42204164550533E-2</v>
      </c>
      <c r="AL371" s="12">
        <v>0</v>
      </c>
      <c r="AM371" s="12">
        <v>0</v>
      </c>
      <c r="AN371" s="12">
        <v>8</v>
      </c>
      <c r="AO371" s="12">
        <v>570</v>
      </c>
      <c r="AP371" s="12">
        <v>528</v>
      </c>
      <c r="AQ371" s="12">
        <v>456</v>
      </c>
      <c r="AR371" s="12">
        <v>407</v>
      </c>
      <c r="AS371" s="59">
        <v>1.384083044982699E-2</v>
      </c>
      <c r="AT371" s="3">
        <v>9</v>
      </c>
      <c r="AU371" s="3">
        <v>6</v>
      </c>
      <c r="AV371" s="52">
        <v>51.5</v>
      </c>
      <c r="AW371" s="52">
        <v>23.4</v>
      </c>
      <c r="AX371" s="52">
        <v>24.1</v>
      </c>
      <c r="AY371" s="71">
        <v>1.1000000000000001</v>
      </c>
      <c r="AZ371" s="59">
        <v>0.20240963855421687</v>
      </c>
      <c r="BA371" s="59">
        <v>0.10650602409638554</v>
      </c>
      <c r="BB371" s="78">
        <v>94.319156959567195</v>
      </c>
      <c r="BC371" s="49">
        <v>26.792452830188701</v>
      </c>
      <c r="BD371" s="90" t="s">
        <v>83</v>
      </c>
      <c r="BE371" s="90" t="s">
        <v>83</v>
      </c>
      <c r="BF371" s="49">
        <v>9.5</v>
      </c>
      <c r="BG371" s="49">
        <v>5.2</v>
      </c>
      <c r="BH371" s="49">
        <v>6.6</v>
      </c>
      <c r="BI371" s="49">
        <v>1.5</v>
      </c>
      <c r="BJ371" s="49">
        <v>21.5</v>
      </c>
      <c r="BK371" s="126">
        <v>9256</v>
      </c>
      <c r="BL371" s="126">
        <v>53086</v>
      </c>
      <c r="BM371" s="126">
        <v>53477</v>
      </c>
      <c r="BN371" s="126">
        <v>46465</v>
      </c>
      <c r="BO371" s="59">
        <v>0</v>
      </c>
      <c r="BP371" s="59">
        <v>0.30640000000000001</v>
      </c>
      <c r="BQ371" s="59">
        <v>0.30599999999999999</v>
      </c>
      <c r="BR371" s="59">
        <v>1.6400000000000001E-2</v>
      </c>
      <c r="BS371" s="59">
        <v>6.0000000000000001E-3</v>
      </c>
      <c r="BT371" s="49">
        <v>13.8</v>
      </c>
      <c r="BU371" s="59">
        <f t="shared" si="26"/>
        <v>0.63480000000000003</v>
      </c>
      <c r="BV371" s="59">
        <v>3.5299999999999998E-2</v>
      </c>
      <c r="BW371" s="59">
        <v>5.8999999999999999E-3</v>
      </c>
      <c r="BX371" s="59">
        <v>2.81E-2</v>
      </c>
      <c r="BY371" s="59">
        <v>0</v>
      </c>
      <c r="BZ371" s="59">
        <v>2.5999999999999999E-3</v>
      </c>
      <c r="CA371" s="49">
        <v>18.600000000000001</v>
      </c>
      <c r="CB371" s="59">
        <f t="shared" si="27"/>
        <v>7.1900000000000006E-2</v>
      </c>
      <c r="CC371" s="59">
        <v>0.26169999999999999</v>
      </c>
      <c r="CD371" s="59">
        <v>0.34399999999999997</v>
      </c>
      <c r="CE371" s="59">
        <v>0.36059999999999998</v>
      </c>
      <c r="CF371" s="59">
        <v>2.5100000000000001E-2</v>
      </c>
      <c r="CG371" s="59">
        <v>8.6E-3</v>
      </c>
      <c r="CH371" s="49">
        <v>12.7</v>
      </c>
      <c r="CI371" s="39" t="s">
        <v>140</v>
      </c>
      <c r="CJ371" s="18" t="s">
        <v>479</v>
      </c>
      <c r="CK371" s="20"/>
    </row>
    <row r="372" spans="1:89" x14ac:dyDescent="0.25">
      <c r="A372" s="18" t="s">
        <v>479</v>
      </c>
      <c r="B372" s="39" t="s">
        <v>139</v>
      </c>
      <c r="C372" s="39" t="s">
        <v>141</v>
      </c>
      <c r="D372" s="40">
        <v>1</v>
      </c>
      <c r="E372" s="40">
        <v>0</v>
      </c>
      <c r="F372" s="40">
        <v>1</v>
      </c>
      <c r="G372" s="163">
        <v>0</v>
      </c>
      <c r="H372" s="163">
        <v>0</v>
      </c>
      <c r="I372" s="162" t="s">
        <v>83</v>
      </c>
      <c r="J372" s="163">
        <v>0</v>
      </c>
      <c r="K372" s="163">
        <v>1</v>
      </c>
      <c r="L372" s="163">
        <v>0</v>
      </c>
      <c r="M372" s="163">
        <v>0</v>
      </c>
      <c r="N372" s="115">
        <v>3.1847133757961798E-3</v>
      </c>
      <c r="O372" s="115">
        <v>4.8780487804877997E-3</v>
      </c>
      <c r="P372" s="115">
        <v>0</v>
      </c>
      <c r="Q372" s="115">
        <v>0</v>
      </c>
      <c r="R372" s="116" t="s">
        <v>83</v>
      </c>
      <c r="S372" s="115">
        <v>0</v>
      </c>
      <c r="T372" s="115">
        <v>1.5384615384615399E-2</v>
      </c>
      <c r="U372" s="115">
        <v>0</v>
      </c>
      <c r="V372" s="115">
        <v>0</v>
      </c>
      <c r="W372" s="40">
        <v>695</v>
      </c>
      <c r="X372" s="40">
        <f t="shared" si="28"/>
        <v>192</v>
      </c>
      <c r="Y372" s="40">
        <f t="shared" si="29"/>
        <v>294</v>
      </c>
      <c r="Z372" s="105">
        <v>0.48201438848920902</v>
      </c>
      <c r="AA372" s="105">
        <v>0.51798561151079103</v>
      </c>
      <c r="AB372" s="106">
        <f>4/695</f>
        <v>5.7553956834532375E-3</v>
      </c>
      <c r="AC372" s="106">
        <v>0</v>
      </c>
      <c r="AD372" s="106">
        <f>22/695</f>
        <v>3.1654676258992806E-2</v>
      </c>
      <c r="AE372" s="106">
        <f>33/695</f>
        <v>4.7482014388489209E-2</v>
      </c>
      <c r="AF372" s="106">
        <v>0</v>
      </c>
      <c r="AG372" s="106">
        <f>631/695</f>
        <v>0.90791366906474824</v>
      </c>
      <c r="AH372" s="106">
        <f>5/695</f>
        <v>7.1942446043165471E-3</v>
      </c>
      <c r="AI372" s="106">
        <f>64/695</f>
        <v>9.2086330935251801E-2</v>
      </c>
      <c r="AJ372" s="105">
        <v>0.44316546762589926</v>
      </c>
      <c r="AK372" s="105">
        <v>1.8705035971223E-2</v>
      </c>
      <c r="AL372" s="12">
        <v>42</v>
      </c>
      <c r="AM372" s="12">
        <v>60</v>
      </c>
      <c r="AN372" s="12">
        <v>0</v>
      </c>
      <c r="AO372" s="12">
        <v>56</v>
      </c>
      <c r="AP372" s="12">
        <v>60</v>
      </c>
      <c r="AQ372" s="12">
        <v>43</v>
      </c>
      <c r="AR372" s="12">
        <v>33</v>
      </c>
      <c r="AS372" s="59">
        <v>0</v>
      </c>
      <c r="AT372" s="3">
        <v>1</v>
      </c>
      <c r="AU372" s="3">
        <v>6</v>
      </c>
      <c r="AV372" s="52">
        <v>73</v>
      </c>
      <c r="AW372" s="52">
        <v>22.3</v>
      </c>
      <c r="AX372" s="52">
        <v>4.7</v>
      </c>
      <c r="AY372" s="70">
        <v>0</v>
      </c>
      <c r="AZ372" s="59">
        <v>6.8241469816272965E-2</v>
      </c>
      <c r="BA372" s="59">
        <v>4.5931758530183726E-2</v>
      </c>
      <c r="BB372" s="77">
        <v>94.384260936223299</v>
      </c>
      <c r="BC372" s="49">
        <v>46.110325318246097</v>
      </c>
      <c r="BD372" s="49">
        <v>0</v>
      </c>
      <c r="BE372" s="49">
        <v>0</v>
      </c>
      <c r="BF372" s="49">
        <v>5.7</v>
      </c>
      <c r="BG372" s="49">
        <v>0</v>
      </c>
      <c r="BH372" s="49">
        <v>0</v>
      </c>
      <c r="BI372" s="49">
        <v>0</v>
      </c>
      <c r="BJ372" s="49">
        <v>19.600000000000001</v>
      </c>
      <c r="BK372" s="126">
        <v>11502</v>
      </c>
      <c r="BL372" s="126">
        <v>53200</v>
      </c>
      <c r="BM372" s="126">
        <v>56881</v>
      </c>
      <c r="BN372" s="126">
        <v>43379</v>
      </c>
      <c r="BO372" s="59">
        <v>0</v>
      </c>
      <c r="BP372" s="59">
        <v>0.33360000000000001</v>
      </c>
      <c r="BQ372" s="59">
        <v>0.20910000000000001</v>
      </c>
      <c r="BR372" s="59">
        <v>1.0800000000000001E-2</v>
      </c>
      <c r="BS372" s="59">
        <v>0</v>
      </c>
      <c r="BT372" s="49">
        <v>14.9</v>
      </c>
      <c r="BU372" s="59">
        <f t="shared" si="26"/>
        <v>0.55349999999999999</v>
      </c>
      <c r="BV372" s="59">
        <v>3.2899999999999999E-2</v>
      </c>
      <c r="BW372" s="59">
        <v>0</v>
      </c>
      <c r="BX372" s="59">
        <v>3.4000000000000002E-2</v>
      </c>
      <c r="BY372" s="59">
        <v>0</v>
      </c>
      <c r="BZ372" s="59">
        <v>0</v>
      </c>
      <c r="CA372" s="49">
        <v>18.600000000000001</v>
      </c>
      <c r="CB372" s="59">
        <f t="shared" si="27"/>
        <v>6.6900000000000001E-2</v>
      </c>
      <c r="CC372" s="59">
        <v>0.36520000000000002</v>
      </c>
      <c r="CD372" s="59">
        <v>0.34899999999999998</v>
      </c>
      <c r="CE372" s="59">
        <v>0.27460000000000001</v>
      </c>
      <c r="CF372" s="59">
        <v>1.12E-2</v>
      </c>
      <c r="CG372" s="59">
        <v>0</v>
      </c>
      <c r="CH372" s="49">
        <v>13.3</v>
      </c>
      <c r="CI372" s="39" t="s">
        <v>141</v>
      </c>
      <c r="CJ372" s="18" t="s">
        <v>479</v>
      </c>
      <c r="CK372" s="20"/>
    </row>
    <row r="373" spans="1:89" x14ac:dyDescent="0.25">
      <c r="A373" s="18" t="s">
        <v>479</v>
      </c>
      <c r="B373" s="39" t="s">
        <v>139</v>
      </c>
      <c r="C373" s="39" t="s">
        <v>142</v>
      </c>
      <c r="D373" s="40">
        <v>4</v>
      </c>
      <c r="E373" s="40" t="s">
        <v>83</v>
      </c>
      <c r="F373" s="40">
        <v>4</v>
      </c>
      <c r="G373" s="162" t="s">
        <v>83</v>
      </c>
      <c r="H373" s="162" t="s">
        <v>83</v>
      </c>
      <c r="I373" s="163">
        <v>1</v>
      </c>
      <c r="J373" s="163">
        <v>0</v>
      </c>
      <c r="K373" s="163">
        <v>1</v>
      </c>
      <c r="L373" s="163">
        <v>2</v>
      </c>
      <c r="M373" s="163">
        <v>0</v>
      </c>
      <c r="N373" s="115">
        <v>9.8280098280098295E-3</v>
      </c>
      <c r="O373" s="115">
        <v>9.8280098280098295E-3</v>
      </c>
      <c r="P373" s="116" t="s">
        <v>83</v>
      </c>
      <c r="Q373" s="116" t="s">
        <v>83</v>
      </c>
      <c r="R373" s="115">
        <v>0.5</v>
      </c>
      <c r="S373" s="115">
        <v>0</v>
      </c>
      <c r="T373" s="115">
        <v>7.9365079365079395E-3</v>
      </c>
      <c r="U373" s="115">
        <v>2.3529411764705899E-2</v>
      </c>
      <c r="V373" s="115">
        <v>0</v>
      </c>
      <c r="W373" s="40">
        <v>379</v>
      </c>
      <c r="X373" s="40">
        <f t="shared" si="28"/>
        <v>379</v>
      </c>
      <c r="Y373" s="40">
        <f t="shared" si="29"/>
        <v>379</v>
      </c>
      <c r="Z373" s="105">
        <v>0.422163588390501</v>
      </c>
      <c r="AA373" s="105">
        <v>0.57783641160949895</v>
      </c>
      <c r="AB373" s="106">
        <v>0</v>
      </c>
      <c r="AC373" s="106">
        <f>2/379</f>
        <v>5.2770448548812663E-3</v>
      </c>
      <c r="AD373" s="106">
        <f>68/379</f>
        <v>0.17941952506596306</v>
      </c>
      <c r="AE373" s="106">
        <f>1/379</f>
        <v>2.6385224274406332E-3</v>
      </c>
      <c r="AF373" s="106">
        <v>0</v>
      </c>
      <c r="AG373" s="106">
        <f>306/379</f>
        <v>0.80738786279683372</v>
      </c>
      <c r="AH373" s="106">
        <f>2/379</f>
        <v>5.2770448548812663E-3</v>
      </c>
      <c r="AI373" s="106">
        <f>73/379</f>
        <v>0.19261213720316622</v>
      </c>
      <c r="AJ373" s="105">
        <v>0.53298153034300788</v>
      </c>
      <c r="AK373" s="105">
        <v>5.2770448548812698E-3</v>
      </c>
      <c r="AL373" s="12">
        <v>0</v>
      </c>
      <c r="AM373" s="12">
        <v>0</v>
      </c>
      <c r="AN373" s="12">
        <v>0</v>
      </c>
      <c r="AO373" s="12">
        <v>102</v>
      </c>
      <c r="AP373" s="12">
        <v>111</v>
      </c>
      <c r="AQ373" s="12">
        <v>81</v>
      </c>
      <c r="AR373" s="12">
        <v>85</v>
      </c>
      <c r="AS373" s="59">
        <v>0</v>
      </c>
      <c r="AT373" s="3">
        <v>9</v>
      </c>
      <c r="AU373" s="3">
        <v>6</v>
      </c>
      <c r="AV373" s="52">
        <v>80.3</v>
      </c>
      <c r="AW373" s="52">
        <v>18.3</v>
      </c>
      <c r="AX373" s="52">
        <v>1.4</v>
      </c>
      <c r="AY373" s="70">
        <v>0</v>
      </c>
      <c r="AZ373" s="59">
        <v>0.25615763546798032</v>
      </c>
      <c r="BA373" s="59">
        <v>0.11083743842364532</v>
      </c>
      <c r="BB373" s="78">
        <v>93.554356446421096</v>
      </c>
      <c r="BC373" s="49">
        <v>38.780487804878</v>
      </c>
      <c r="BD373" s="90" t="s">
        <v>83</v>
      </c>
      <c r="BE373" s="90" t="s">
        <v>83</v>
      </c>
      <c r="BF373" s="49">
        <v>2</v>
      </c>
      <c r="BG373" s="49">
        <v>0</v>
      </c>
      <c r="BH373" s="49">
        <v>1.3</v>
      </c>
      <c r="BI373" s="49">
        <v>0</v>
      </c>
      <c r="BJ373" s="49">
        <v>19</v>
      </c>
      <c r="BK373" s="126">
        <v>12578</v>
      </c>
      <c r="BL373" s="126">
        <v>52061</v>
      </c>
      <c r="BM373" s="126">
        <v>40544</v>
      </c>
      <c r="BN373" s="126">
        <v>45406</v>
      </c>
      <c r="BO373" s="59">
        <v>1.95E-2</v>
      </c>
      <c r="BP373" s="59">
        <v>0.42359999999999998</v>
      </c>
      <c r="BQ373" s="59">
        <v>0.18</v>
      </c>
      <c r="BR373" s="59">
        <v>0</v>
      </c>
      <c r="BS373" s="59">
        <v>0</v>
      </c>
      <c r="BT373" s="49">
        <v>11.3</v>
      </c>
      <c r="BU373" s="59">
        <f t="shared" si="26"/>
        <v>0.62309999999999999</v>
      </c>
      <c r="BV373" s="59">
        <v>7.7299999999999994E-2</v>
      </c>
      <c r="BW373" s="59">
        <v>0</v>
      </c>
      <c r="BX373" s="59">
        <v>3.9100000000000003E-2</v>
      </c>
      <c r="BY373" s="59">
        <v>0</v>
      </c>
      <c r="BZ373" s="59">
        <v>0</v>
      </c>
      <c r="CA373" s="49">
        <v>10.199999999999999</v>
      </c>
      <c r="CB373" s="59">
        <f t="shared" si="27"/>
        <v>0.1164</v>
      </c>
      <c r="CC373" s="59">
        <v>0.30099999999999999</v>
      </c>
      <c r="CD373" s="59">
        <v>0.4375</v>
      </c>
      <c r="CE373" s="59">
        <v>0.26150000000000001</v>
      </c>
      <c r="CF373" s="59">
        <v>0</v>
      </c>
      <c r="CG373" s="59">
        <v>0</v>
      </c>
      <c r="CH373" s="49">
        <v>10.6</v>
      </c>
      <c r="CI373" s="39" t="s">
        <v>142</v>
      </c>
      <c r="CJ373" s="18" t="s">
        <v>479</v>
      </c>
      <c r="CK373" s="20"/>
    </row>
    <row r="374" spans="1:89" x14ac:dyDescent="0.25">
      <c r="A374" s="18" t="s">
        <v>479</v>
      </c>
      <c r="B374" s="39" t="s">
        <v>139</v>
      </c>
      <c r="C374" s="39" t="s">
        <v>143</v>
      </c>
      <c r="D374" s="40">
        <v>25</v>
      </c>
      <c r="E374" s="40" t="s">
        <v>83</v>
      </c>
      <c r="F374" s="40">
        <v>25</v>
      </c>
      <c r="G374" s="162" t="s">
        <v>83</v>
      </c>
      <c r="H374" s="162" t="s">
        <v>83</v>
      </c>
      <c r="I374" s="163">
        <v>0</v>
      </c>
      <c r="J374" s="163">
        <v>9</v>
      </c>
      <c r="K374" s="163">
        <v>9</v>
      </c>
      <c r="L374" s="163">
        <v>5</v>
      </c>
      <c r="M374" s="163">
        <v>2</v>
      </c>
      <c r="N374" s="115">
        <v>1.9290123456790102E-2</v>
      </c>
      <c r="O374" s="115">
        <v>1.9290123456790102E-2</v>
      </c>
      <c r="P374" s="116" t="s">
        <v>83</v>
      </c>
      <c r="Q374" s="116" t="s">
        <v>83</v>
      </c>
      <c r="R374" s="115">
        <v>0</v>
      </c>
      <c r="S374" s="115">
        <v>2.3376623376623398E-2</v>
      </c>
      <c r="T374" s="115">
        <v>2.5423728813559299E-2</v>
      </c>
      <c r="U374" s="115">
        <v>1.74216027874564E-2</v>
      </c>
      <c r="V374" s="115">
        <v>7.4906367041198503E-3</v>
      </c>
      <c r="W374" s="40">
        <v>1185</v>
      </c>
      <c r="X374" s="40">
        <f t="shared" si="28"/>
        <v>1185</v>
      </c>
      <c r="Y374" s="40">
        <f t="shared" si="29"/>
        <v>1185</v>
      </c>
      <c r="Z374" s="105">
        <v>0.493670886075949</v>
      </c>
      <c r="AA374" s="105">
        <v>0.506329113924051</v>
      </c>
      <c r="AB374" s="106">
        <f>4/1185</f>
        <v>3.3755274261603376E-3</v>
      </c>
      <c r="AC374" s="106">
        <f>9/1185</f>
        <v>7.5949367088607592E-3</v>
      </c>
      <c r="AD374" s="106">
        <f>116/1185</f>
        <v>9.7890295358649793E-2</v>
      </c>
      <c r="AE374" s="106">
        <f>30/1185</f>
        <v>2.5316455696202531E-2</v>
      </c>
      <c r="AF374" s="106">
        <f>1/1185</f>
        <v>8.438818565400844E-4</v>
      </c>
      <c r="AG374" s="106">
        <f>1019/1185</f>
        <v>0.85991561181434595</v>
      </c>
      <c r="AH374" s="106">
        <f>6/1185</f>
        <v>5.0632911392405064E-3</v>
      </c>
      <c r="AI374" s="106">
        <f>166/1185</f>
        <v>0.140084388185654</v>
      </c>
      <c r="AJ374" s="105">
        <v>0.36962025316455699</v>
      </c>
      <c r="AK374" s="105">
        <v>5.9071729957805904E-3</v>
      </c>
      <c r="AL374" s="12">
        <v>0</v>
      </c>
      <c r="AM374" s="12">
        <v>0</v>
      </c>
      <c r="AN374" s="12">
        <v>3</v>
      </c>
      <c r="AO374" s="12">
        <v>343</v>
      </c>
      <c r="AP374" s="12">
        <v>318</v>
      </c>
      <c r="AQ374" s="12">
        <v>271</v>
      </c>
      <c r="AR374" s="12">
        <v>250</v>
      </c>
      <c r="AS374" s="59">
        <v>8.670520231213872E-3</v>
      </c>
      <c r="AT374" s="3">
        <v>9</v>
      </c>
      <c r="AU374" s="3">
        <v>6</v>
      </c>
      <c r="AV374" s="52">
        <v>60.3</v>
      </c>
      <c r="AW374" s="52">
        <v>32.299999999999997</v>
      </c>
      <c r="AX374" s="52">
        <v>7</v>
      </c>
      <c r="AY374" s="71">
        <v>0.4</v>
      </c>
      <c r="AZ374" s="59">
        <v>0.20881670533642691</v>
      </c>
      <c r="BA374" s="59">
        <v>6.2645011600928072E-2</v>
      </c>
      <c r="BB374" s="77">
        <v>92.2877463691039</v>
      </c>
      <c r="BC374" s="49">
        <v>40.898705255140896</v>
      </c>
      <c r="BD374" s="90" t="s">
        <v>83</v>
      </c>
      <c r="BE374" s="90" t="s">
        <v>83</v>
      </c>
      <c r="BF374" s="49">
        <v>7.6</v>
      </c>
      <c r="BG374" s="49">
        <v>4.5</v>
      </c>
      <c r="BH374" s="49">
        <v>3.1</v>
      </c>
      <c r="BI374" s="49">
        <v>2.4</v>
      </c>
      <c r="BJ374" s="49">
        <v>20.7</v>
      </c>
      <c r="BK374" s="126">
        <v>9970</v>
      </c>
      <c r="BL374" s="126">
        <v>54312</v>
      </c>
      <c r="BM374" s="126">
        <v>47054</v>
      </c>
      <c r="BN374" s="126">
        <v>48435</v>
      </c>
      <c r="BO374" s="59">
        <v>0</v>
      </c>
      <c r="BP374" s="59">
        <v>0.38179999999999997</v>
      </c>
      <c r="BQ374" s="59">
        <v>0.2351</v>
      </c>
      <c r="BR374" s="59">
        <v>8.6E-3</v>
      </c>
      <c r="BS374" s="59">
        <v>1.1000000000000001E-3</v>
      </c>
      <c r="BT374" s="49">
        <v>15.2</v>
      </c>
      <c r="BU374" s="59">
        <f t="shared" si="26"/>
        <v>0.62660000000000005</v>
      </c>
      <c r="BV374" s="59">
        <v>4.2700000000000002E-2</v>
      </c>
      <c r="BW374" s="59">
        <v>0</v>
      </c>
      <c r="BX374" s="59">
        <v>2.1700000000000001E-2</v>
      </c>
      <c r="BY374" s="59">
        <v>8.8000000000000005E-3</v>
      </c>
      <c r="BZ374" s="59">
        <v>0</v>
      </c>
      <c r="CA374" s="49">
        <v>10.1</v>
      </c>
      <c r="CB374" s="59">
        <f t="shared" si="27"/>
        <v>7.3200000000000001E-2</v>
      </c>
      <c r="CC374" s="59">
        <v>0.25829999999999997</v>
      </c>
      <c r="CD374" s="59">
        <v>0.4239</v>
      </c>
      <c r="CE374" s="59">
        <v>0.29920000000000002</v>
      </c>
      <c r="CF374" s="59">
        <v>1.7399999999999999E-2</v>
      </c>
      <c r="CG374" s="59">
        <v>1.1000000000000001E-3</v>
      </c>
      <c r="CH374" s="49">
        <v>13.5</v>
      </c>
      <c r="CI374" s="39" t="s">
        <v>143</v>
      </c>
      <c r="CJ374" s="18" t="s">
        <v>479</v>
      </c>
      <c r="CK374" s="20"/>
    </row>
    <row r="375" spans="1:89" x14ac:dyDescent="0.25">
      <c r="A375" s="18" t="s">
        <v>479</v>
      </c>
      <c r="B375" s="39" t="s">
        <v>139</v>
      </c>
      <c r="C375" s="39" t="s">
        <v>144</v>
      </c>
      <c r="D375" s="40">
        <v>9</v>
      </c>
      <c r="E375" s="40">
        <v>2</v>
      </c>
      <c r="F375" s="40">
        <v>7</v>
      </c>
      <c r="G375" s="163">
        <v>0</v>
      </c>
      <c r="H375" s="163">
        <v>2</v>
      </c>
      <c r="I375" s="162" t="s">
        <v>83</v>
      </c>
      <c r="J375" s="163">
        <v>2</v>
      </c>
      <c r="K375" s="163">
        <v>1</v>
      </c>
      <c r="L375" s="163">
        <v>0</v>
      </c>
      <c r="M375" s="163">
        <v>4</v>
      </c>
      <c r="N375" s="115">
        <v>9.8468271334792093E-3</v>
      </c>
      <c r="O375" s="115">
        <v>1.16472545757072E-2</v>
      </c>
      <c r="P375" s="115">
        <v>0</v>
      </c>
      <c r="Q375" s="115">
        <v>1.21212121212121E-2</v>
      </c>
      <c r="R375" s="116" t="s">
        <v>83</v>
      </c>
      <c r="S375" s="115">
        <v>1.12994350282486E-2</v>
      </c>
      <c r="T375" s="115">
        <v>5.4644808743169399E-3</v>
      </c>
      <c r="U375" s="115">
        <v>0</v>
      </c>
      <c r="V375" s="115">
        <v>3.3898305084745797E-2</v>
      </c>
      <c r="W375" s="40">
        <v>964</v>
      </c>
      <c r="X375" s="40">
        <f t="shared" si="28"/>
        <v>546</v>
      </c>
      <c r="Y375" s="40">
        <f t="shared" si="29"/>
        <v>810</v>
      </c>
      <c r="Z375" s="105">
        <v>0.48547717842323701</v>
      </c>
      <c r="AA375" s="105">
        <v>0.51452282157676299</v>
      </c>
      <c r="AB375" s="106">
        <f>1/964</f>
        <v>1.037344398340249E-3</v>
      </c>
      <c r="AC375" s="106">
        <f>8/964</f>
        <v>8.2987551867219917E-3</v>
      </c>
      <c r="AD375" s="106">
        <f>300/964</f>
        <v>0.31120331950207469</v>
      </c>
      <c r="AE375" s="106">
        <f>26/964</f>
        <v>2.6970954356846474E-2</v>
      </c>
      <c r="AF375" s="106">
        <f>3/964</f>
        <v>3.1120331950207467E-3</v>
      </c>
      <c r="AG375" s="106">
        <f>619/964</f>
        <v>0.64211618257261416</v>
      </c>
      <c r="AH375" s="106">
        <f>7/964</f>
        <v>7.261410788381743E-3</v>
      </c>
      <c r="AI375" s="106">
        <f>345/964</f>
        <v>0.3578838174273859</v>
      </c>
      <c r="AJ375" s="105">
        <v>0.64937759336099588</v>
      </c>
      <c r="AK375" s="105">
        <v>6.2240663900414899E-3</v>
      </c>
      <c r="AL375" s="12">
        <v>129</v>
      </c>
      <c r="AM375" s="12">
        <v>135</v>
      </c>
      <c r="AN375" s="12">
        <v>0</v>
      </c>
      <c r="AO375" s="12">
        <v>155</v>
      </c>
      <c r="AP375" s="12">
        <v>170</v>
      </c>
      <c r="AQ375" s="12">
        <v>113</v>
      </c>
      <c r="AR375" s="12">
        <v>108</v>
      </c>
      <c r="AS375" s="59">
        <v>0</v>
      </c>
      <c r="AT375" s="3">
        <v>6</v>
      </c>
      <c r="AU375" s="3">
        <v>6</v>
      </c>
      <c r="AV375" s="52">
        <v>72.5</v>
      </c>
      <c r="AW375" s="52">
        <v>19.100000000000001</v>
      </c>
      <c r="AX375" s="52">
        <v>6.9</v>
      </c>
      <c r="AY375" s="71">
        <v>1.5</v>
      </c>
      <c r="AZ375" s="59">
        <v>0.28360957642725598</v>
      </c>
      <c r="BA375" s="59">
        <v>0.12154696132596685</v>
      </c>
      <c r="BB375" s="78">
        <v>92.627546196033506</v>
      </c>
      <c r="BC375" s="49">
        <v>50.045662100456603</v>
      </c>
      <c r="BD375" s="49">
        <v>2.4</v>
      </c>
      <c r="BE375" s="49">
        <v>0.7</v>
      </c>
      <c r="BF375" s="49">
        <v>8.6999999999999993</v>
      </c>
      <c r="BG375" s="49">
        <v>2.5</v>
      </c>
      <c r="BH375" s="49">
        <v>0.9</v>
      </c>
      <c r="BI375" s="49">
        <v>3</v>
      </c>
      <c r="BJ375" s="49">
        <v>18.600000000000001</v>
      </c>
      <c r="BK375" s="126">
        <v>11291</v>
      </c>
      <c r="BL375" s="126">
        <v>51979</v>
      </c>
      <c r="BM375" s="126">
        <v>50314</v>
      </c>
      <c r="BN375" s="126">
        <v>42655</v>
      </c>
      <c r="BO375" s="59">
        <v>0</v>
      </c>
      <c r="BP375" s="59">
        <v>0.37390000000000001</v>
      </c>
      <c r="BQ375" s="59">
        <v>0.18759999999999999</v>
      </c>
      <c r="BR375" s="59">
        <v>7.4000000000000003E-3</v>
      </c>
      <c r="BS375" s="59">
        <v>0</v>
      </c>
      <c r="BT375" s="49">
        <v>10.3</v>
      </c>
      <c r="BU375" s="59">
        <f t="shared" si="26"/>
        <v>0.56889999999999996</v>
      </c>
      <c r="BV375" s="59">
        <v>4.1099999999999998E-2</v>
      </c>
      <c r="BW375" s="59">
        <v>0</v>
      </c>
      <c r="BX375" s="59">
        <v>4.19E-2</v>
      </c>
      <c r="BY375" s="59">
        <v>0</v>
      </c>
      <c r="BZ375" s="59">
        <v>0</v>
      </c>
      <c r="CA375" s="49">
        <v>18.3</v>
      </c>
      <c r="CB375" s="59">
        <f t="shared" si="27"/>
        <v>8.299999999999999E-2</v>
      </c>
      <c r="CC375" s="59">
        <v>0.32519999999999999</v>
      </c>
      <c r="CD375" s="59">
        <v>0.40239999999999998</v>
      </c>
      <c r="CE375" s="59">
        <v>0.26290000000000002</v>
      </c>
      <c r="CF375" s="59">
        <v>9.4999999999999998E-3</v>
      </c>
      <c r="CG375" s="59">
        <v>0</v>
      </c>
      <c r="CH375" s="49">
        <v>11.4</v>
      </c>
      <c r="CI375" s="39" t="s">
        <v>144</v>
      </c>
      <c r="CJ375" s="18" t="s">
        <v>479</v>
      </c>
      <c r="CK375" s="20"/>
    </row>
    <row r="376" spans="1:89" x14ac:dyDescent="0.25">
      <c r="A376" s="18" t="s">
        <v>479</v>
      </c>
      <c r="B376" s="39" t="s">
        <v>139</v>
      </c>
      <c r="C376" s="39" t="s">
        <v>145</v>
      </c>
      <c r="D376" s="40">
        <v>67</v>
      </c>
      <c r="E376" s="40" t="s">
        <v>83</v>
      </c>
      <c r="F376" s="40">
        <v>67</v>
      </c>
      <c r="G376" s="162" t="s">
        <v>83</v>
      </c>
      <c r="H376" s="162" t="s">
        <v>83</v>
      </c>
      <c r="I376" s="163">
        <v>0</v>
      </c>
      <c r="J376" s="163">
        <v>21</v>
      </c>
      <c r="K376" s="163">
        <v>18</v>
      </c>
      <c r="L376" s="163">
        <v>21</v>
      </c>
      <c r="M376" s="163">
        <v>7</v>
      </c>
      <c r="N376" s="115">
        <v>5.39452495974235E-2</v>
      </c>
      <c r="O376" s="115">
        <v>5.39452495974235E-2</v>
      </c>
      <c r="P376" s="116" t="s">
        <v>83</v>
      </c>
      <c r="Q376" s="116" t="s">
        <v>83</v>
      </c>
      <c r="R376" s="115">
        <v>0</v>
      </c>
      <c r="S376" s="115">
        <v>5.1851851851851899E-2</v>
      </c>
      <c r="T376" s="115">
        <v>5.3892215568862298E-2</v>
      </c>
      <c r="U376" s="115">
        <v>7.7777777777777807E-2</v>
      </c>
      <c r="V376" s="115">
        <v>3.09734513274336E-2</v>
      </c>
      <c r="W376" s="40">
        <v>1066</v>
      </c>
      <c r="X376" s="40">
        <f t="shared" si="28"/>
        <v>1066</v>
      </c>
      <c r="Y376" s="40">
        <f t="shared" si="29"/>
        <v>1066</v>
      </c>
      <c r="Z376" s="105">
        <v>0.51594746716697903</v>
      </c>
      <c r="AA376" s="105">
        <v>0.48405253283302102</v>
      </c>
      <c r="AB376" s="106">
        <v>0</v>
      </c>
      <c r="AC376" s="106">
        <f>2/1066</f>
        <v>1.876172607879925E-3</v>
      </c>
      <c r="AD376" s="106">
        <f>938/1066</f>
        <v>0.87992495309568475</v>
      </c>
      <c r="AE376" s="106">
        <f>23/1066</f>
        <v>2.1575984990619138E-2</v>
      </c>
      <c r="AF376" s="106">
        <v>0</v>
      </c>
      <c r="AG376" s="106">
        <f>97/1066</f>
        <v>9.0994371482176359E-2</v>
      </c>
      <c r="AH376" s="106">
        <f>6/1066</f>
        <v>5.6285178236397749E-3</v>
      </c>
      <c r="AI376" s="106">
        <f>969/1066</f>
        <v>0.90900562851782363</v>
      </c>
      <c r="AJ376" s="105">
        <v>0.82457786116322707</v>
      </c>
      <c r="AK376" s="105">
        <v>1.12570356472796E-2</v>
      </c>
      <c r="AL376" s="12">
        <v>0</v>
      </c>
      <c r="AM376" s="12">
        <v>0</v>
      </c>
      <c r="AN376" s="12">
        <v>6</v>
      </c>
      <c r="AO376" s="12">
        <v>337</v>
      </c>
      <c r="AP376" s="12">
        <v>286</v>
      </c>
      <c r="AQ376" s="12">
        <v>228</v>
      </c>
      <c r="AR376" s="12">
        <v>209</v>
      </c>
      <c r="AS376" s="59">
        <v>1.7492711370262391E-2</v>
      </c>
      <c r="AT376" s="3">
        <v>9</v>
      </c>
      <c r="AU376" s="3">
        <v>6</v>
      </c>
      <c r="AV376" s="52">
        <v>85.3</v>
      </c>
      <c r="AW376" s="52">
        <v>13.3</v>
      </c>
      <c r="AX376" s="52">
        <v>1.4</v>
      </c>
      <c r="AY376" s="70">
        <v>0</v>
      </c>
      <c r="AZ376" s="59">
        <v>0.13268608414239483</v>
      </c>
      <c r="BA376" s="59">
        <v>0.21844660194174756</v>
      </c>
      <c r="BB376" s="77">
        <v>87.886855333072205</v>
      </c>
      <c r="BC376" s="49">
        <v>59.508716323296397</v>
      </c>
      <c r="BD376" s="90" t="s">
        <v>83</v>
      </c>
      <c r="BE376" s="90" t="s">
        <v>83</v>
      </c>
      <c r="BF376" s="49">
        <v>17.100000000000001</v>
      </c>
      <c r="BG376" s="49">
        <v>3.5</v>
      </c>
      <c r="BH376" s="49">
        <v>6.5</v>
      </c>
      <c r="BI376" s="49">
        <v>4.3</v>
      </c>
      <c r="BJ376" s="49">
        <v>16.7</v>
      </c>
      <c r="BK376" s="126">
        <v>13619</v>
      </c>
      <c r="BL376" s="126">
        <v>55880</v>
      </c>
      <c r="BM376" s="126">
        <v>51290</v>
      </c>
      <c r="BN376" s="126">
        <v>44042</v>
      </c>
      <c r="BO376" s="59">
        <v>5.0299999999999997E-2</v>
      </c>
      <c r="BP376" s="59">
        <v>0.25719999999999998</v>
      </c>
      <c r="BQ376" s="59">
        <v>0.22720000000000001</v>
      </c>
      <c r="BR376" s="59">
        <v>5.0000000000000001E-4</v>
      </c>
      <c r="BS376" s="59">
        <v>1.7000000000000001E-2</v>
      </c>
      <c r="BT376" s="49">
        <v>12.7</v>
      </c>
      <c r="BU376" s="59">
        <f t="shared" si="26"/>
        <v>0.55219999999999991</v>
      </c>
      <c r="BV376" s="59">
        <v>3.1899999999999998E-2</v>
      </c>
      <c r="BW376" s="59">
        <v>5.0000000000000001E-3</v>
      </c>
      <c r="BX376" s="59">
        <v>1.0999999999999999E-2</v>
      </c>
      <c r="BY376" s="59">
        <v>1.1299999999999999E-2</v>
      </c>
      <c r="BZ376" s="59">
        <v>6.3E-3</v>
      </c>
      <c r="CA376" s="49">
        <v>13.9</v>
      </c>
      <c r="CB376" s="59">
        <f t="shared" si="27"/>
        <v>6.5500000000000003E-2</v>
      </c>
      <c r="CC376" s="59">
        <v>0.38390000000000002</v>
      </c>
      <c r="CD376" s="59">
        <v>0.27929999999999999</v>
      </c>
      <c r="CE376" s="59">
        <v>0.30170000000000002</v>
      </c>
      <c r="CF376" s="59">
        <v>1.17E-2</v>
      </c>
      <c r="CG376" s="59">
        <v>2.3300000000000001E-2</v>
      </c>
      <c r="CH376" s="49">
        <v>13.2</v>
      </c>
      <c r="CI376" s="39" t="s">
        <v>145</v>
      </c>
      <c r="CJ376" s="18" t="s">
        <v>479</v>
      </c>
      <c r="CK376" s="20"/>
    </row>
    <row r="377" spans="1:89" x14ac:dyDescent="0.25">
      <c r="A377" s="18" t="s">
        <v>479</v>
      </c>
      <c r="B377" s="39" t="s">
        <v>139</v>
      </c>
      <c r="C377" s="39" t="s">
        <v>146</v>
      </c>
      <c r="D377" s="40">
        <v>1</v>
      </c>
      <c r="E377" s="40">
        <v>0</v>
      </c>
      <c r="F377" s="40">
        <v>1</v>
      </c>
      <c r="G377" s="163">
        <v>0</v>
      </c>
      <c r="H377" s="163">
        <v>0</v>
      </c>
      <c r="I377" s="162" t="s">
        <v>83</v>
      </c>
      <c r="J377" s="163">
        <v>0</v>
      </c>
      <c r="K377" s="163">
        <v>0</v>
      </c>
      <c r="L377" s="163">
        <v>0</v>
      </c>
      <c r="M377" s="163">
        <v>1</v>
      </c>
      <c r="N377" s="115">
        <v>5.6179775280898901E-3</v>
      </c>
      <c r="O377" s="115">
        <v>8.7719298245613996E-3</v>
      </c>
      <c r="P377" s="115">
        <v>0</v>
      </c>
      <c r="Q377" s="115">
        <v>0</v>
      </c>
      <c r="R377" s="116" t="s">
        <v>83</v>
      </c>
      <c r="S377" s="115">
        <v>0</v>
      </c>
      <c r="T377" s="115">
        <v>0</v>
      </c>
      <c r="U377" s="115">
        <v>0</v>
      </c>
      <c r="V377" s="115">
        <v>3.2258064516128997E-2</v>
      </c>
      <c r="W377" s="40">
        <v>347</v>
      </c>
      <c r="X377" s="40">
        <f t="shared" si="28"/>
        <v>107</v>
      </c>
      <c r="Y377" s="40">
        <f t="shared" si="29"/>
        <v>166</v>
      </c>
      <c r="Z377" s="105">
        <v>0.51873198847262203</v>
      </c>
      <c r="AA377" s="105">
        <v>0.48126801152737803</v>
      </c>
      <c r="AB377" s="106">
        <f>2/347</f>
        <v>5.763688760806916E-3</v>
      </c>
      <c r="AC377" s="106">
        <v>0</v>
      </c>
      <c r="AD377" s="106">
        <f>3/347</f>
        <v>8.6455331412103754E-3</v>
      </c>
      <c r="AE377" s="106">
        <v>0</v>
      </c>
      <c r="AF377" s="106">
        <v>0</v>
      </c>
      <c r="AG377" s="106">
        <f>339/347</f>
        <v>0.97694524495677237</v>
      </c>
      <c r="AH377" s="106">
        <f>3/347</f>
        <v>8.6455331412103754E-3</v>
      </c>
      <c r="AI377" s="106">
        <f>8/347</f>
        <v>2.3054755043227664E-2</v>
      </c>
      <c r="AJ377" s="105">
        <v>0.62536023054755041</v>
      </c>
      <c r="AK377" s="105">
        <v>0</v>
      </c>
      <c r="AL377" s="12">
        <v>30</v>
      </c>
      <c r="AM377" s="12">
        <v>29</v>
      </c>
      <c r="AN377" s="12">
        <v>0</v>
      </c>
      <c r="AO377" s="12">
        <v>28</v>
      </c>
      <c r="AP377" s="12">
        <v>25</v>
      </c>
      <c r="AQ377" s="12">
        <v>24</v>
      </c>
      <c r="AR377" s="12">
        <v>30</v>
      </c>
      <c r="AS377" s="59">
        <v>0</v>
      </c>
      <c r="AT377" s="3">
        <v>1</v>
      </c>
      <c r="AU377" s="3">
        <v>6</v>
      </c>
      <c r="AV377" s="52">
        <v>93.8</v>
      </c>
      <c r="AW377" s="52">
        <v>4.5999999999999996</v>
      </c>
      <c r="AX377" s="52">
        <v>1.5</v>
      </c>
      <c r="AY377" s="70">
        <v>0</v>
      </c>
      <c r="AZ377" s="59">
        <v>9.947643979057591E-2</v>
      </c>
      <c r="BA377" s="59">
        <v>3.9267015706806283E-2</v>
      </c>
      <c r="BB377" s="78">
        <v>94.655130519300201</v>
      </c>
      <c r="BC377" s="49">
        <v>37.874659400544999</v>
      </c>
      <c r="BD377" s="49">
        <v>3.6</v>
      </c>
      <c r="BE377" s="49">
        <v>0</v>
      </c>
      <c r="BF377" s="49">
        <v>0</v>
      </c>
      <c r="BG377" s="49">
        <v>0</v>
      </c>
      <c r="BH377" s="49">
        <v>0</v>
      </c>
      <c r="BI377" s="49">
        <v>0</v>
      </c>
      <c r="BJ377" s="49">
        <v>18.399999999999999</v>
      </c>
      <c r="BK377" s="126">
        <v>14419</v>
      </c>
      <c r="BL377" s="126">
        <v>52241</v>
      </c>
      <c r="BM377" s="126">
        <v>49565</v>
      </c>
      <c r="BN377" s="126">
        <v>43505</v>
      </c>
      <c r="BO377" s="59">
        <v>1.6500000000000001E-2</v>
      </c>
      <c r="BP377" s="59">
        <v>0.46</v>
      </c>
      <c r="BQ377" s="59">
        <v>8.1500000000000003E-2</v>
      </c>
      <c r="BR377" s="59">
        <v>1.8100000000000002E-2</v>
      </c>
      <c r="BS377" s="59">
        <v>0</v>
      </c>
      <c r="BT377" s="49">
        <v>12.8</v>
      </c>
      <c r="BU377" s="59">
        <f t="shared" si="26"/>
        <v>0.57610000000000006</v>
      </c>
      <c r="BV377" s="59">
        <v>3.3099999999999997E-2</v>
      </c>
      <c r="BW377" s="59">
        <v>0</v>
      </c>
      <c r="BX377" s="59">
        <v>3.3099999999999997E-2</v>
      </c>
      <c r="BY377" s="59">
        <v>0</v>
      </c>
      <c r="BZ377" s="59">
        <v>0</v>
      </c>
      <c r="CA377" s="49">
        <v>10.5</v>
      </c>
      <c r="CB377" s="59">
        <f t="shared" si="27"/>
        <v>6.6199999999999995E-2</v>
      </c>
      <c r="CC377" s="59">
        <v>0.35830000000000001</v>
      </c>
      <c r="CD377" s="59">
        <v>0.4854</v>
      </c>
      <c r="CE377" s="59">
        <v>0.13819999999999999</v>
      </c>
      <c r="CF377" s="59">
        <v>1.8100000000000002E-2</v>
      </c>
      <c r="CG377" s="59">
        <v>0</v>
      </c>
      <c r="CH377" s="49">
        <v>10.9</v>
      </c>
      <c r="CI377" s="39" t="s">
        <v>146</v>
      </c>
      <c r="CJ377" s="18" t="s">
        <v>479</v>
      </c>
      <c r="CK377" s="20"/>
    </row>
    <row r="378" spans="1:89" x14ac:dyDescent="0.25">
      <c r="A378" s="18" t="s">
        <v>479</v>
      </c>
      <c r="B378" s="39" t="s">
        <v>139</v>
      </c>
      <c r="C378" s="39" t="s">
        <v>147</v>
      </c>
      <c r="D378" s="40">
        <v>19</v>
      </c>
      <c r="E378" s="40" t="s">
        <v>83</v>
      </c>
      <c r="F378" s="40">
        <v>19</v>
      </c>
      <c r="G378" s="162" t="s">
        <v>83</v>
      </c>
      <c r="H378" s="162" t="s">
        <v>83</v>
      </c>
      <c r="I378" s="163">
        <v>0</v>
      </c>
      <c r="J378" s="163">
        <v>9</v>
      </c>
      <c r="K378" s="163">
        <v>1</v>
      </c>
      <c r="L378" s="163">
        <v>6</v>
      </c>
      <c r="M378" s="163">
        <v>3</v>
      </c>
      <c r="N378" s="115">
        <v>8.6285195277020898E-3</v>
      </c>
      <c r="O378" s="115">
        <v>8.6285195277020898E-3</v>
      </c>
      <c r="P378" s="116" t="s">
        <v>83</v>
      </c>
      <c r="Q378" s="116" t="s">
        <v>83</v>
      </c>
      <c r="R378" s="115">
        <v>0</v>
      </c>
      <c r="S378" s="115">
        <v>1.3554216867469901E-2</v>
      </c>
      <c r="T378" s="115">
        <v>1.8416206261510099E-3</v>
      </c>
      <c r="U378" s="115">
        <v>1.06761565836299E-2</v>
      </c>
      <c r="V378" s="115">
        <v>7.10900473933649E-3</v>
      </c>
      <c r="W378" s="40">
        <v>2095</v>
      </c>
      <c r="X378" s="40">
        <f t="shared" si="28"/>
        <v>2095</v>
      </c>
      <c r="Y378" s="40">
        <f t="shared" si="29"/>
        <v>2095</v>
      </c>
      <c r="Z378" s="105">
        <v>0.494510739856802</v>
      </c>
      <c r="AA378" s="105">
        <v>0.50548926014319795</v>
      </c>
      <c r="AB378" s="106">
        <f>1/2095</f>
        <v>4.7732696897374703E-4</v>
      </c>
      <c r="AC378" s="106">
        <f>15/2095</f>
        <v>7.1599045346062056E-3</v>
      </c>
      <c r="AD378" s="106">
        <f>216/2095</f>
        <v>0.10310262529832935</v>
      </c>
      <c r="AE378" s="106">
        <f>67/2095</f>
        <v>3.1980906921241052E-2</v>
      </c>
      <c r="AF378" s="106">
        <v>0</v>
      </c>
      <c r="AG378" s="106">
        <f>1766/2095</f>
        <v>0.84295942720763728</v>
      </c>
      <c r="AH378" s="106">
        <f>30/2095</f>
        <v>1.4319809069212411E-2</v>
      </c>
      <c r="AI378" s="106">
        <f>329/2095</f>
        <v>0.15704057279236278</v>
      </c>
      <c r="AJ378" s="105">
        <v>0.47780429594272078</v>
      </c>
      <c r="AK378" s="105">
        <v>5.7279236276849598E-3</v>
      </c>
      <c r="AL378" s="12">
        <v>0</v>
      </c>
      <c r="AM378" s="12">
        <v>0</v>
      </c>
      <c r="AN378" s="12">
        <v>10</v>
      </c>
      <c r="AO378" s="12">
        <v>630</v>
      </c>
      <c r="AP378" s="12">
        <v>513</v>
      </c>
      <c r="AQ378" s="12">
        <v>530</v>
      </c>
      <c r="AR378" s="12">
        <v>412</v>
      </c>
      <c r="AS378" s="59">
        <v>1.5625E-2</v>
      </c>
      <c r="AT378" s="3">
        <v>9</v>
      </c>
      <c r="AU378" s="3">
        <v>6</v>
      </c>
      <c r="AV378" s="52">
        <v>47.9</v>
      </c>
      <c r="AW378" s="52">
        <v>35.9</v>
      </c>
      <c r="AX378" s="52">
        <v>14.4</v>
      </c>
      <c r="AY378" s="71">
        <v>1.8</v>
      </c>
      <c r="AZ378" s="59">
        <v>0.18314350797266515</v>
      </c>
      <c r="BA378" s="59">
        <v>7.6082004555808658E-2</v>
      </c>
      <c r="BB378" s="77">
        <v>92.099094314625702</v>
      </c>
      <c r="BC378" s="49">
        <v>32.537178909418699</v>
      </c>
      <c r="BD378" s="90" t="s">
        <v>83</v>
      </c>
      <c r="BE378" s="90" t="s">
        <v>83</v>
      </c>
      <c r="BF378" s="49">
        <v>7.5</v>
      </c>
      <c r="BG378" s="49">
        <v>2.1</v>
      </c>
      <c r="BH378" s="49">
        <v>1.8</v>
      </c>
      <c r="BI378" s="49">
        <v>1.5</v>
      </c>
      <c r="BJ378" s="49">
        <v>20.100000000000001</v>
      </c>
      <c r="BK378" s="126">
        <v>9993</v>
      </c>
      <c r="BL378" s="126">
        <v>53296</v>
      </c>
      <c r="BM378" s="126">
        <v>44698</v>
      </c>
      <c r="BN378" s="126">
        <v>45266</v>
      </c>
      <c r="BO378" s="59">
        <v>1.4500000000000001E-2</v>
      </c>
      <c r="BP378" s="59">
        <v>0.37280000000000002</v>
      </c>
      <c r="BQ378" s="59">
        <v>0.2132</v>
      </c>
      <c r="BR378" s="59">
        <v>7.1999999999999998E-3</v>
      </c>
      <c r="BS378" s="59">
        <v>5.7000000000000002E-3</v>
      </c>
      <c r="BT378" s="49">
        <v>14</v>
      </c>
      <c r="BU378" s="59">
        <f t="shared" si="26"/>
        <v>0.61340000000000006</v>
      </c>
      <c r="BV378" s="59">
        <v>3.9399999999999998E-2</v>
      </c>
      <c r="BW378" s="59">
        <v>4.7000000000000002E-3</v>
      </c>
      <c r="BX378" s="59">
        <v>2.3400000000000001E-2</v>
      </c>
      <c r="BY378" s="59">
        <v>2.5999999999999999E-3</v>
      </c>
      <c r="BZ378" s="59">
        <v>0</v>
      </c>
      <c r="CA378" s="49">
        <v>17.100000000000001</v>
      </c>
      <c r="CB378" s="59">
        <f t="shared" si="27"/>
        <v>7.010000000000001E-2</v>
      </c>
      <c r="CC378" s="59">
        <v>0.30709999999999998</v>
      </c>
      <c r="CD378" s="59">
        <v>0.40150000000000002</v>
      </c>
      <c r="CE378" s="59">
        <v>0.27500000000000002</v>
      </c>
      <c r="CF378" s="59">
        <v>1.0699999999999999E-2</v>
      </c>
      <c r="CG378" s="59">
        <v>5.7000000000000002E-3</v>
      </c>
      <c r="CH378" s="49">
        <v>13.5</v>
      </c>
      <c r="CI378" s="39" t="s">
        <v>147</v>
      </c>
      <c r="CJ378" s="18" t="s">
        <v>479</v>
      </c>
      <c r="CK378" s="20"/>
    </row>
    <row r="379" spans="1:89" x14ac:dyDescent="0.25">
      <c r="A379" s="18" t="s">
        <v>479</v>
      </c>
      <c r="B379" s="39" t="s">
        <v>139</v>
      </c>
      <c r="C379" s="39" t="s">
        <v>148</v>
      </c>
      <c r="D379" s="40">
        <v>4</v>
      </c>
      <c r="E379" s="40" t="s">
        <v>83</v>
      </c>
      <c r="F379" s="40">
        <v>4</v>
      </c>
      <c r="G379" s="162" t="s">
        <v>83</v>
      </c>
      <c r="H379" s="162" t="s">
        <v>83</v>
      </c>
      <c r="I379" s="163">
        <v>0</v>
      </c>
      <c r="J379" s="163">
        <v>0</v>
      </c>
      <c r="K379" s="163">
        <v>1</v>
      </c>
      <c r="L379" s="163">
        <v>0</v>
      </c>
      <c r="M379" s="163">
        <v>3</v>
      </c>
      <c r="N379" s="115">
        <v>1.3114754098360701E-2</v>
      </c>
      <c r="O379" s="115">
        <v>1.3114754098360701E-2</v>
      </c>
      <c r="P379" s="116" t="s">
        <v>83</v>
      </c>
      <c r="Q379" s="116" t="s">
        <v>83</v>
      </c>
      <c r="R379" s="115">
        <v>0</v>
      </c>
      <c r="S379" s="115">
        <v>0</v>
      </c>
      <c r="T379" s="115">
        <v>1.0416666666666701E-2</v>
      </c>
      <c r="U379" s="115">
        <v>0</v>
      </c>
      <c r="V379" s="115">
        <v>5.1724137931034503E-2</v>
      </c>
      <c r="W379" s="40">
        <v>277</v>
      </c>
      <c r="X379" s="40">
        <f t="shared" si="28"/>
        <v>277</v>
      </c>
      <c r="Y379" s="40">
        <f t="shared" si="29"/>
        <v>277</v>
      </c>
      <c r="Z379" s="105">
        <v>0.47653429602888098</v>
      </c>
      <c r="AA379" s="105">
        <v>0.52346570397111902</v>
      </c>
      <c r="AB379" s="106">
        <f>1/277</f>
        <v>3.6101083032490976E-3</v>
      </c>
      <c r="AC379" s="106">
        <f>6/277</f>
        <v>2.1660649819494584E-2</v>
      </c>
      <c r="AD379" s="106">
        <f>53/277</f>
        <v>0.19133574007220217</v>
      </c>
      <c r="AE379" s="106">
        <f>10/277</f>
        <v>3.6101083032490974E-2</v>
      </c>
      <c r="AF379" s="106">
        <v>0</v>
      </c>
      <c r="AG379" s="106">
        <f>200/277</f>
        <v>0.72202166064981954</v>
      </c>
      <c r="AH379" s="106">
        <f>7/277</f>
        <v>2.5270758122743681E-2</v>
      </c>
      <c r="AI379" s="106">
        <f>77/277</f>
        <v>0.27797833935018051</v>
      </c>
      <c r="AJ379" s="105">
        <v>0.60649819494584833</v>
      </c>
      <c r="AK379" s="105">
        <v>1.8050541516245501E-2</v>
      </c>
      <c r="AL379" s="12">
        <v>0</v>
      </c>
      <c r="AM379" s="12">
        <v>0</v>
      </c>
      <c r="AN379" s="12">
        <v>6</v>
      </c>
      <c r="AO379" s="12">
        <v>73</v>
      </c>
      <c r="AP379" s="12">
        <v>82</v>
      </c>
      <c r="AQ379" s="12">
        <v>62</v>
      </c>
      <c r="AR379" s="12">
        <v>54</v>
      </c>
      <c r="AS379" s="59">
        <v>7.5949367088607597E-2</v>
      </c>
      <c r="AT379" s="3">
        <v>9</v>
      </c>
      <c r="AU379" s="3">
        <v>6</v>
      </c>
      <c r="AV379" s="52">
        <v>91.3</v>
      </c>
      <c r="AW379" s="52">
        <v>8.1999999999999993</v>
      </c>
      <c r="AX379" s="53">
        <v>0</v>
      </c>
      <c r="AY379" s="71">
        <v>0.5</v>
      </c>
      <c r="AZ379" s="59">
        <v>0.15946843853820597</v>
      </c>
      <c r="BA379" s="59">
        <v>0.1461794019933555</v>
      </c>
      <c r="BB379" s="78">
        <v>91.015608111029493</v>
      </c>
      <c r="BC379" s="49">
        <v>63.258785942491997</v>
      </c>
      <c r="BD379" s="90" t="s">
        <v>83</v>
      </c>
      <c r="BE379" s="90" t="s">
        <v>83</v>
      </c>
      <c r="BF379" s="49">
        <v>3.2</v>
      </c>
      <c r="BG379" s="49">
        <v>5.3</v>
      </c>
      <c r="BH379" s="49">
        <v>0</v>
      </c>
      <c r="BI379" s="49">
        <v>0</v>
      </c>
      <c r="BJ379" s="49">
        <v>19.8</v>
      </c>
      <c r="BK379" s="126">
        <v>16193</v>
      </c>
      <c r="BL379" s="126">
        <v>54997</v>
      </c>
      <c r="BM379" s="126">
        <v>51688</v>
      </c>
      <c r="BN379" s="126">
        <v>47107</v>
      </c>
      <c r="BO379" s="59">
        <v>0</v>
      </c>
      <c r="BP379" s="59">
        <v>0.34379999999999999</v>
      </c>
      <c r="BQ379" s="59">
        <v>0.1777</v>
      </c>
      <c r="BR379" s="59">
        <v>0</v>
      </c>
      <c r="BS379" s="59">
        <v>0</v>
      </c>
      <c r="BT379" s="49">
        <v>15.3</v>
      </c>
      <c r="BU379" s="59">
        <f t="shared" si="26"/>
        <v>0.52149999999999996</v>
      </c>
      <c r="BV379" s="59">
        <v>5.7599999999999998E-2</v>
      </c>
      <c r="BW379" s="59">
        <v>0</v>
      </c>
      <c r="BX379" s="59">
        <v>3.9800000000000002E-2</v>
      </c>
      <c r="BY379" s="59">
        <v>0</v>
      </c>
      <c r="BZ379" s="59">
        <v>0</v>
      </c>
      <c r="CA379" s="49">
        <v>15.3</v>
      </c>
      <c r="CB379" s="59">
        <f t="shared" si="27"/>
        <v>9.74E-2</v>
      </c>
      <c r="CC379" s="59">
        <v>0.35360000000000003</v>
      </c>
      <c r="CD379" s="59">
        <v>0.40600000000000003</v>
      </c>
      <c r="CE379" s="59">
        <v>0.2404</v>
      </c>
      <c r="CF379" s="59">
        <v>0</v>
      </c>
      <c r="CG379" s="59">
        <v>0</v>
      </c>
      <c r="CH379" s="49">
        <v>17.600000000000001</v>
      </c>
      <c r="CI379" s="39" t="s">
        <v>148</v>
      </c>
      <c r="CJ379" s="18" t="s">
        <v>479</v>
      </c>
      <c r="CK379" s="20"/>
    </row>
    <row r="380" spans="1:89" x14ac:dyDescent="0.25">
      <c r="A380" s="18" t="s">
        <v>479</v>
      </c>
      <c r="B380" s="39" t="s">
        <v>139</v>
      </c>
      <c r="C380" s="39" t="s">
        <v>149</v>
      </c>
      <c r="D380" s="40">
        <v>45</v>
      </c>
      <c r="E380" s="40" t="s">
        <v>83</v>
      </c>
      <c r="F380" s="40">
        <v>45</v>
      </c>
      <c r="G380" s="162" t="s">
        <v>83</v>
      </c>
      <c r="H380" s="162" t="s">
        <v>83</v>
      </c>
      <c r="I380" s="163">
        <v>1</v>
      </c>
      <c r="J380" s="163">
        <v>12</v>
      </c>
      <c r="K380" s="163">
        <v>15</v>
      </c>
      <c r="L380" s="163">
        <v>9</v>
      </c>
      <c r="M380" s="163">
        <v>8</v>
      </c>
      <c r="N380" s="115">
        <v>6.3380281690140802E-2</v>
      </c>
      <c r="O380" s="115">
        <v>6.3380281690140802E-2</v>
      </c>
      <c r="P380" s="116" t="s">
        <v>83</v>
      </c>
      <c r="Q380" s="116" t="s">
        <v>83</v>
      </c>
      <c r="R380" s="115">
        <v>0.5</v>
      </c>
      <c r="S380" s="115">
        <v>4.8000000000000001E-2</v>
      </c>
      <c r="T380" s="115">
        <v>7.4257425742574296E-2</v>
      </c>
      <c r="U380" s="115">
        <v>6.6666666666666693E-2</v>
      </c>
      <c r="V380" s="115">
        <v>6.6115702479338803E-2</v>
      </c>
      <c r="W380" s="40">
        <v>628</v>
      </c>
      <c r="X380" s="40">
        <f t="shared" si="28"/>
        <v>628</v>
      </c>
      <c r="Y380" s="40">
        <f t="shared" si="29"/>
        <v>628</v>
      </c>
      <c r="Z380" s="105">
        <v>0.52866242038216604</v>
      </c>
      <c r="AA380" s="105">
        <v>0.47133757961783401</v>
      </c>
      <c r="AB380" s="106">
        <v>0</v>
      </c>
      <c r="AC380" s="106">
        <v>0</v>
      </c>
      <c r="AD380" s="106">
        <f>604/628</f>
        <v>0.96178343949044587</v>
      </c>
      <c r="AE380" s="106">
        <f>3/628</f>
        <v>4.7770700636942673E-3</v>
      </c>
      <c r="AF380" s="106">
        <v>0</v>
      </c>
      <c r="AG380" s="106">
        <f>19/628</f>
        <v>3.0254777070063694E-2</v>
      </c>
      <c r="AH380" s="106">
        <f>2/628</f>
        <v>3.1847133757961785E-3</v>
      </c>
      <c r="AI380" s="106">
        <f>609/628</f>
        <v>0.96974522292993626</v>
      </c>
      <c r="AJ380" s="105">
        <v>0.87898089171974525</v>
      </c>
      <c r="AK380" s="105">
        <v>1.5923566878980899E-3</v>
      </c>
      <c r="AL380" s="12">
        <v>0</v>
      </c>
      <c r="AM380" s="12">
        <v>0</v>
      </c>
      <c r="AN380" s="12">
        <v>2</v>
      </c>
      <c r="AO380" s="12">
        <v>211</v>
      </c>
      <c r="AP380" s="12">
        <v>173</v>
      </c>
      <c r="AQ380" s="12">
        <v>126</v>
      </c>
      <c r="AR380" s="12">
        <v>116</v>
      </c>
      <c r="AS380" s="59">
        <v>9.3896713615023476E-3</v>
      </c>
      <c r="AT380" s="3">
        <v>9</v>
      </c>
      <c r="AU380" s="3">
        <v>6</v>
      </c>
      <c r="AV380" s="52">
        <v>84.9</v>
      </c>
      <c r="AW380" s="52">
        <v>13.1</v>
      </c>
      <c r="AX380" s="52">
        <v>1.7</v>
      </c>
      <c r="AY380" s="71">
        <v>0.3</v>
      </c>
      <c r="AZ380" s="59">
        <v>0.37571428571428572</v>
      </c>
      <c r="BA380" s="59">
        <v>0.32857142857142857</v>
      </c>
      <c r="BB380" s="77">
        <v>86.130033714641598</v>
      </c>
      <c r="BC380" s="49">
        <v>57.8734858681023</v>
      </c>
      <c r="BD380" s="90" t="s">
        <v>83</v>
      </c>
      <c r="BE380" s="90" t="s">
        <v>83</v>
      </c>
      <c r="BF380" s="49">
        <v>36</v>
      </c>
      <c r="BG380" s="49">
        <v>20.100000000000001</v>
      </c>
      <c r="BH380" s="49">
        <v>8.6</v>
      </c>
      <c r="BI380" s="49">
        <v>0</v>
      </c>
      <c r="BJ380" s="49">
        <v>17.3</v>
      </c>
      <c r="BK380" s="126">
        <v>13370</v>
      </c>
      <c r="BL380" s="126">
        <v>52619</v>
      </c>
      <c r="BM380" s="126">
        <v>54463</v>
      </c>
      <c r="BN380" s="126">
        <v>45395</v>
      </c>
      <c r="BO380" s="59">
        <v>2.6200000000000001E-2</v>
      </c>
      <c r="BP380" s="59">
        <v>0.30830000000000002</v>
      </c>
      <c r="BQ380" s="59">
        <v>0.21790000000000001</v>
      </c>
      <c r="BR380" s="59">
        <v>0</v>
      </c>
      <c r="BS380" s="59">
        <v>0</v>
      </c>
      <c r="BT380" s="49">
        <v>14.4</v>
      </c>
      <c r="BU380" s="59">
        <f t="shared" si="26"/>
        <v>0.5524</v>
      </c>
      <c r="BV380" s="59">
        <v>5.62E-2</v>
      </c>
      <c r="BW380" s="59">
        <v>0</v>
      </c>
      <c r="BX380" s="59">
        <v>3.95E-2</v>
      </c>
      <c r="BY380" s="59">
        <v>0</v>
      </c>
      <c r="BZ380" s="59">
        <v>0</v>
      </c>
      <c r="CA380" s="49">
        <v>15.5</v>
      </c>
      <c r="CB380" s="59">
        <f t="shared" si="27"/>
        <v>9.5700000000000007E-2</v>
      </c>
      <c r="CC380" s="59">
        <v>0.3175</v>
      </c>
      <c r="CD380" s="59">
        <v>0.35270000000000001</v>
      </c>
      <c r="CE380" s="59">
        <v>0.32300000000000001</v>
      </c>
      <c r="CF380" s="59">
        <v>6.7000000000000002E-3</v>
      </c>
      <c r="CG380" s="59">
        <v>0</v>
      </c>
      <c r="CH380" s="49">
        <v>13.4</v>
      </c>
      <c r="CI380" s="39" t="s">
        <v>149</v>
      </c>
      <c r="CJ380" s="18" t="s">
        <v>479</v>
      </c>
      <c r="CK380" s="20"/>
    </row>
    <row r="381" spans="1:89" x14ac:dyDescent="0.25">
      <c r="A381" s="18" t="s">
        <v>479</v>
      </c>
      <c r="B381" s="39" t="s">
        <v>139</v>
      </c>
      <c r="C381" s="39" t="s">
        <v>150</v>
      </c>
      <c r="D381" s="40">
        <v>11</v>
      </c>
      <c r="E381" s="40" t="s">
        <v>83</v>
      </c>
      <c r="F381" s="40">
        <v>11</v>
      </c>
      <c r="G381" s="162" t="s">
        <v>83</v>
      </c>
      <c r="H381" s="162" t="s">
        <v>83</v>
      </c>
      <c r="I381" s="163">
        <v>0</v>
      </c>
      <c r="J381" s="163">
        <v>3</v>
      </c>
      <c r="K381" s="163">
        <v>0</v>
      </c>
      <c r="L381" s="163">
        <v>3</v>
      </c>
      <c r="M381" s="163">
        <v>5</v>
      </c>
      <c r="N381" s="115">
        <v>1.8272425249169399E-2</v>
      </c>
      <c r="O381" s="115">
        <v>1.8272425249169399E-2</v>
      </c>
      <c r="P381" s="116" t="s">
        <v>83</v>
      </c>
      <c r="Q381" s="116" t="s">
        <v>83</v>
      </c>
      <c r="R381" s="115">
        <v>0</v>
      </c>
      <c r="S381" s="115">
        <v>1.6949152542372899E-2</v>
      </c>
      <c r="T381" s="115">
        <v>0</v>
      </c>
      <c r="U381" s="115">
        <v>2.1428571428571401E-2</v>
      </c>
      <c r="V381" s="115">
        <v>3.9682539682539701E-2</v>
      </c>
      <c r="W381" s="40">
        <v>566</v>
      </c>
      <c r="X381" s="40">
        <f t="shared" si="28"/>
        <v>566</v>
      </c>
      <c r="Y381" s="40">
        <f t="shared" si="29"/>
        <v>566</v>
      </c>
      <c r="Z381" s="105">
        <v>0.46819787985865702</v>
      </c>
      <c r="AA381" s="105">
        <v>0.53180212014134298</v>
      </c>
      <c r="AB381" s="106">
        <f>1/566</f>
        <v>1.7667844522968198E-3</v>
      </c>
      <c r="AC381" s="106">
        <v>0</v>
      </c>
      <c r="AD381" s="106">
        <f>141/566</f>
        <v>0.24911660777385158</v>
      </c>
      <c r="AE381" s="106">
        <f>16/566</f>
        <v>2.8268551236749116E-2</v>
      </c>
      <c r="AF381" s="106">
        <v>0</v>
      </c>
      <c r="AG381" s="106">
        <f>404/566</f>
        <v>0.71378091872791516</v>
      </c>
      <c r="AH381" s="106">
        <f>4/566</f>
        <v>7.0671378091872791E-3</v>
      </c>
      <c r="AI381" s="106">
        <f>162/566</f>
        <v>0.28621908127208479</v>
      </c>
      <c r="AJ381" s="105">
        <v>0.53180212014134276</v>
      </c>
      <c r="AK381" s="105">
        <v>3.53356890459364E-3</v>
      </c>
      <c r="AL381" s="12">
        <v>0</v>
      </c>
      <c r="AM381" s="12">
        <v>0</v>
      </c>
      <c r="AN381" s="12">
        <v>2</v>
      </c>
      <c r="AO381" s="12">
        <v>167</v>
      </c>
      <c r="AP381" s="12">
        <v>150</v>
      </c>
      <c r="AQ381" s="12">
        <v>131</v>
      </c>
      <c r="AR381" s="12">
        <v>116</v>
      </c>
      <c r="AS381" s="59">
        <v>1.1834319526627219E-2</v>
      </c>
      <c r="AT381" s="3">
        <v>9</v>
      </c>
      <c r="AU381" s="3">
        <v>6</v>
      </c>
      <c r="AV381" s="52">
        <v>72.8</v>
      </c>
      <c r="AW381" s="52">
        <v>18.399999999999999</v>
      </c>
      <c r="AX381" s="52">
        <v>8.5</v>
      </c>
      <c r="AY381" s="71">
        <v>0.3</v>
      </c>
      <c r="AZ381" s="59">
        <v>0.18487394957983194</v>
      </c>
      <c r="BA381" s="59">
        <v>0.10588235294117647</v>
      </c>
      <c r="BB381" s="78">
        <v>92.607452890112199</v>
      </c>
      <c r="BC381" s="49">
        <v>47.107438016528903</v>
      </c>
      <c r="BD381" s="90" t="s">
        <v>83</v>
      </c>
      <c r="BE381" s="90" t="s">
        <v>83</v>
      </c>
      <c r="BF381" s="49">
        <v>4.7</v>
      </c>
      <c r="BG381" s="49">
        <v>0.7</v>
      </c>
      <c r="BH381" s="49">
        <v>0</v>
      </c>
      <c r="BI381" s="49">
        <v>0</v>
      </c>
      <c r="BJ381" s="49">
        <v>19.5</v>
      </c>
      <c r="BK381" s="126">
        <v>11527</v>
      </c>
      <c r="BL381" s="126">
        <v>52650</v>
      </c>
      <c r="BM381" s="126">
        <v>49625</v>
      </c>
      <c r="BN381" s="126">
        <v>47342</v>
      </c>
      <c r="BO381" s="59">
        <v>4.8099999999999997E-2</v>
      </c>
      <c r="BP381" s="59">
        <v>0.50180000000000002</v>
      </c>
      <c r="BQ381" s="59">
        <v>8.3299999999999999E-2</v>
      </c>
      <c r="BR381" s="59">
        <v>0</v>
      </c>
      <c r="BS381" s="59">
        <v>1.5699999999999999E-2</v>
      </c>
      <c r="BT381" s="49">
        <v>12.1</v>
      </c>
      <c r="BU381" s="59">
        <f t="shared" si="26"/>
        <v>0.64890000000000014</v>
      </c>
      <c r="BV381" s="59">
        <v>5.6800000000000003E-2</v>
      </c>
      <c r="BW381" s="59">
        <v>0</v>
      </c>
      <c r="BX381" s="59">
        <v>3.2099999999999997E-2</v>
      </c>
      <c r="BY381" s="59">
        <v>7.4999999999999997E-3</v>
      </c>
      <c r="BZ381" s="59">
        <v>1.6E-2</v>
      </c>
      <c r="CA381" s="49">
        <v>19.399999999999999</v>
      </c>
      <c r="CB381" s="59">
        <f t="shared" si="27"/>
        <v>0.11240000000000001</v>
      </c>
      <c r="CC381" s="59">
        <v>0.27700000000000002</v>
      </c>
      <c r="CD381" s="59">
        <v>0.54949999999999999</v>
      </c>
      <c r="CE381" s="59">
        <v>0.1341</v>
      </c>
      <c r="CF381" s="59">
        <v>7.4999999999999997E-3</v>
      </c>
      <c r="CG381" s="59">
        <v>3.1699999999999999E-2</v>
      </c>
      <c r="CH381" s="49">
        <v>12.5</v>
      </c>
      <c r="CI381" s="39" t="s">
        <v>150</v>
      </c>
      <c r="CJ381" s="18" t="s">
        <v>479</v>
      </c>
      <c r="CK381" s="20"/>
    </row>
    <row r="382" spans="1:89" x14ac:dyDescent="0.25">
      <c r="A382" s="18" t="s">
        <v>479</v>
      </c>
      <c r="B382" s="39" t="s">
        <v>151</v>
      </c>
      <c r="C382" s="39" t="s">
        <v>152</v>
      </c>
      <c r="D382" s="40">
        <v>0</v>
      </c>
      <c r="E382" s="40" t="s">
        <v>83</v>
      </c>
      <c r="F382" s="40">
        <v>0</v>
      </c>
      <c r="G382" s="162" t="s">
        <v>83</v>
      </c>
      <c r="H382" s="162" t="s">
        <v>83</v>
      </c>
      <c r="I382" s="163">
        <v>0</v>
      </c>
      <c r="J382" s="163">
        <v>0</v>
      </c>
      <c r="K382" s="163">
        <v>0</v>
      </c>
      <c r="L382" s="163">
        <v>0</v>
      </c>
      <c r="M382" s="163">
        <v>0</v>
      </c>
      <c r="N382" s="115">
        <v>0</v>
      </c>
      <c r="O382" s="115">
        <v>0</v>
      </c>
      <c r="P382" s="116" t="s">
        <v>83</v>
      </c>
      <c r="Q382" s="116" t="s">
        <v>83</v>
      </c>
      <c r="R382" s="115">
        <v>0</v>
      </c>
      <c r="S382" s="115">
        <v>0</v>
      </c>
      <c r="T382" s="115">
        <v>0</v>
      </c>
      <c r="U382" s="115">
        <v>0</v>
      </c>
      <c r="V382" s="115">
        <v>0</v>
      </c>
      <c r="W382" s="40">
        <v>428</v>
      </c>
      <c r="X382" s="40">
        <f t="shared" si="28"/>
        <v>428</v>
      </c>
      <c r="Y382" s="40">
        <f t="shared" si="29"/>
        <v>428</v>
      </c>
      <c r="Z382" s="105">
        <v>0.48831775700934599</v>
      </c>
      <c r="AA382" s="105">
        <v>0.51168224299065401</v>
      </c>
      <c r="AB382" s="106">
        <v>0</v>
      </c>
      <c r="AC382" s="106">
        <f>3/428</f>
        <v>7.0093457943925233E-3</v>
      </c>
      <c r="AD382" s="106">
        <f>78/428</f>
        <v>0.1822429906542056</v>
      </c>
      <c r="AE382" s="106">
        <f>11/428</f>
        <v>2.5700934579439252E-2</v>
      </c>
      <c r="AF382" s="106">
        <f>1/428</f>
        <v>2.3364485981308409E-3</v>
      </c>
      <c r="AG382" s="106">
        <f>331/428</f>
        <v>0.77336448598130836</v>
      </c>
      <c r="AH382" s="106">
        <f>4/428</f>
        <v>9.3457943925233638E-3</v>
      </c>
      <c r="AI382" s="106">
        <f>97/428</f>
        <v>0.22663551401869159</v>
      </c>
      <c r="AJ382" s="105">
        <v>0.60747663551401865</v>
      </c>
      <c r="AK382" s="105">
        <v>2.3364485981308401E-3</v>
      </c>
      <c r="AL382" s="12">
        <v>0</v>
      </c>
      <c r="AM382" s="12">
        <v>0</v>
      </c>
      <c r="AN382" s="12">
        <v>10</v>
      </c>
      <c r="AO382" s="12">
        <v>126</v>
      </c>
      <c r="AP382" s="12">
        <v>126</v>
      </c>
      <c r="AQ382" s="12">
        <v>83</v>
      </c>
      <c r="AR382" s="12">
        <v>83</v>
      </c>
      <c r="AS382" s="59">
        <v>7.3529411764705885E-2</v>
      </c>
      <c r="AT382" s="3">
        <v>9</v>
      </c>
      <c r="AU382" s="3">
        <v>6</v>
      </c>
      <c r="AV382" s="52">
        <v>83.3</v>
      </c>
      <c r="AW382" s="52">
        <v>15.6</v>
      </c>
      <c r="AX382" s="52">
        <v>1.1000000000000001</v>
      </c>
      <c r="AY382" s="70">
        <v>0</v>
      </c>
      <c r="AZ382" s="59">
        <v>0.20132743362831859</v>
      </c>
      <c r="BA382" s="59">
        <v>6.6371681415929203E-3</v>
      </c>
      <c r="BB382" s="78">
        <v>94.304060685708606</v>
      </c>
      <c r="BC382" s="49">
        <v>13.0530973451327</v>
      </c>
      <c r="BD382" s="90" t="s">
        <v>83</v>
      </c>
      <c r="BE382" s="90" t="s">
        <v>83</v>
      </c>
      <c r="BF382" s="49">
        <v>10.6</v>
      </c>
      <c r="BG382" s="49">
        <v>2.6</v>
      </c>
      <c r="BH382" s="49">
        <v>2.6</v>
      </c>
      <c r="BI382" s="49">
        <v>1.3</v>
      </c>
      <c r="BJ382" s="49">
        <v>19.3</v>
      </c>
      <c r="BK382" s="126">
        <v>13260</v>
      </c>
      <c r="BL382" s="126">
        <v>46289</v>
      </c>
      <c r="BM382" s="126">
        <v>44485</v>
      </c>
      <c r="BN382" s="126">
        <v>40009</v>
      </c>
      <c r="BO382" s="59">
        <v>0</v>
      </c>
      <c r="BP382" s="59">
        <v>0.33639999999999998</v>
      </c>
      <c r="BQ382" s="59">
        <v>0.2571</v>
      </c>
      <c r="BR382" s="59">
        <v>0</v>
      </c>
      <c r="BS382" s="59">
        <v>0</v>
      </c>
      <c r="BT382" s="49">
        <v>13.8</v>
      </c>
      <c r="BU382" s="59">
        <f t="shared" si="26"/>
        <v>0.59349999999999992</v>
      </c>
      <c r="BV382" s="59">
        <v>3.2800000000000003E-2</v>
      </c>
      <c r="BW382" s="59">
        <v>0</v>
      </c>
      <c r="BX382" s="59">
        <v>3.2800000000000003E-2</v>
      </c>
      <c r="BY382" s="59">
        <v>0</v>
      </c>
      <c r="BZ382" s="59">
        <v>0</v>
      </c>
      <c r="CA382" s="49">
        <v>13.3</v>
      </c>
      <c r="CB382" s="59">
        <f t="shared" si="27"/>
        <v>6.5600000000000006E-2</v>
      </c>
      <c r="CC382" s="59">
        <v>0.26440000000000002</v>
      </c>
      <c r="CD382" s="59">
        <v>0.36820000000000003</v>
      </c>
      <c r="CE382" s="59">
        <v>0.3674</v>
      </c>
      <c r="CF382" s="59">
        <v>0</v>
      </c>
      <c r="CG382" s="59">
        <v>0</v>
      </c>
      <c r="CH382" s="49">
        <v>12.9</v>
      </c>
      <c r="CI382" s="39" t="s">
        <v>152</v>
      </c>
      <c r="CJ382" s="18" t="s">
        <v>479</v>
      </c>
      <c r="CK382" s="20"/>
    </row>
    <row r="383" spans="1:89" x14ac:dyDescent="0.25">
      <c r="A383" s="18" t="s">
        <v>479</v>
      </c>
      <c r="B383" s="39" t="s">
        <v>153</v>
      </c>
      <c r="C383" s="39" t="s">
        <v>154</v>
      </c>
      <c r="D383" s="40">
        <v>3</v>
      </c>
      <c r="E383" s="40">
        <v>0</v>
      </c>
      <c r="F383" s="40">
        <v>3</v>
      </c>
      <c r="G383" s="163">
        <v>0</v>
      </c>
      <c r="H383" s="163">
        <v>0</v>
      </c>
      <c r="I383" s="162" t="s">
        <v>83</v>
      </c>
      <c r="J383" s="163">
        <v>0</v>
      </c>
      <c r="K383" s="163">
        <v>1</v>
      </c>
      <c r="L383" s="163">
        <v>2</v>
      </c>
      <c r="M383" s="163">
        <v>0</v>
      </c>
      <c r="N383" s="115">
        <v>8.7719298245613996E-3</v>
      </c>
      <c r="O383" s="115">
        <v>1.4018691588785E-2</v>
      </c>
      <c r="P383" s="115">
        <v>0</v>
      </c>
      <c r="Q383" s="115">
        <v>0</v>
      </c>
      <c r="R383" s="116" t="s">
        <v>83</v>
      </c>
      <c r="S383" s="115">
        <v>0</v>
      </c>
      <c r="T383" s="115">
        <v>1.58730158730159E-2</v>
      </c>
      <c r="U383" s="115">
        <v>4.2553191489361701E-2</v>
      </c>
      <c r="V383" s="115">
        <v>0</v>
      </c>
      <c r="W383" s="40">
        <v>722</v>
      </c>
      <c r="X383" s="40">
        <f t="shared" si="28"/>
        <v>196</v>
      </c>
      <c r="Y383" s="40">
        <f t="shared" si="29"/>
        <v>314</v>
      </c>
      <c r="Z383" s="105">
        <v>0.48337950138504199</v>
      </c>
      <c r="AA383" s="105">
        <v>0.51662049861495796</v>
      </c>
      <c r="AB383" s="106">
        <f>2/722</f>
        <v>2.7700831024930748E-3</v>
      </c>
      <c r="AC383" s="106">
        <f>3/722</f>
        <v>4.1551246537396124E-3</v>
      </c>
      <c r="AD383" s="106">
        <f>5/722</f>
        <v>6.9252077562326868E-3</v>
      </c>
      <c r="AE383" s="106">
        <f>61/722</f>
        <v>8.4487534626038779E-2</v>
      </c>
      <c r="AF383" s="106">
        <v>0</v>
      </c>
      <c r="AG383" s="106">
        <f>640/722</f>
        <v>0.88642659279778391</v>
      </c>
      <c r="AH383" s="106">
        <f>11/722</f>
        <v>1.5235457063711912E-2</v>
      </c>
      <c r="AI383" s="106">
        <f>82/722</f>
        <v>0.11357340720221606</v>
      </c>
      <c r="AJ383" s="105">
        <v>0.48337950138504154</v>
      </c>
      <c r="AK383" s="105">
        <v>4.98614958448753E-2</v>
      </c>
      <c r="AL383" s="12">
        <v>65</v>
      </c>
      <c r="AM383" s="12">
        <v>53</v>
      </c>
      <c r="AN383" s="12">
        <v>0</v>
      </c>
      <c r="AO383" s="12">
        <v>52</v>
      </c>
      <c r="AP383" s="12">
        <v>55</v>
      </c>
      <c r="AQ383" s="12">
        <v>44</v>
      </c>
      <c r="AR383" s="12">
        <v>45</v>
      </c>
      <c r="AS383" s="59">
        <v>0</v>
      </c>
      <c r="AT383" s="3">
        <v>1</v>
      </c>
      <c r="AU383" s="3">
        <v>6</v>
      </c>
      <c r="AV383" s="52">
        <v>89.2</v>
      </c>
      <c r="AW383" s="52">
        <v>8.6999999999999993</v>
      </c>
      <c r="AX383" s="52">
        <v>1.6</v>
      </c>
      <c r="AY383" s="71">
        <v>0.5</v>
      </c>
      <c r="AZ383" s="59">
        <v>1.9900497512437811E-2</v>
      </c>
      <c r="BA383" s="59">
        <v>1.4925373134328358E-2</v>
      </c>
      <c r="BB383" s="77">
        <v>95.554290824830304</v>
      </c>
      <c r="BC383" s="49">
        <v>16.512549537648599</v>
      </c>
      <c r="BD383" s="49">
        <v>6.2</v>
      </c>
      <c r="BE383" s="49">
        <v>0</v>
      </c>
      <c r="BF383" s="49">
        <v>1.9</v>
      </c>
      <c r="BG383" s="49">
        <v>0</v>
      </c>
      <c r="BH383" s="49">
        <v>2.6</v>
      </c>
      <c r="BI383" s="49">
        <v>2.4</v>
      </c>
      <c r="BJ383" s="49">
        <v>21.1</v>
      </c>
      <c r="BK383" s="126">
        <v>15738</v>
      </c>
      <c r="BL383" s="126">
        <v>47267</v>
      </c>
      <c r="BM383" s="126">
        <v>44690</v>
      </c>
      <c r="BN383" s="126">
        <v>39351</v>
      </c>
      <c r="BO383" s="59">
        <v>0</v>
      </c>
      <c r="BP383" s="59">
        <v>0.41349999999999998</v>
      </c>
      <c r="BQ383" s="59">
        <v>0.1129</v>
      </c>
      <c r="BR383" s="59">
        <v>0</v>
      </c>
      <c r="BS383" s="59">
        <v>2.3E-3</v>
      </c>
      <c r="BT383" s="49">
        <v>13.1</v>
      </c>
      <c r="BU383" s="59">
        <f t="shared" si="26"/>
        <v>0.52869999999999995</v>
      </c>
      <c r="BV383" s="59">
        <v>3.6700000000000003E-2</v>
      </c>
      <c r="BW383" s="59">
        <v>0</v>
      </c>
      <c r="BX383" s="59">
        <v>2.64E-2</v>
      </c>
      <c r="BY383" s="59">
        <v>0</v>
      </c>
      <c r="BZ383" s="59">
        <v>9.1999999999999998E-3</v>
      </c>
      <c r="CA383" s="49">
        <v>15.9</v>
      </c>
      <c r="CB383" s="59">
        <f t="shared" si="27"/>
        <v>7.2300000000000003E-2</v>
      </c>
      <c r="CC383" s="59">
        <v>0.37430000000000002</v>
      </c>
      <c r="CD383" s="59">
        <v>0.43519999999999998</v>
      </c>
      <c r="CE383" s="59">
        <v>0.17899999999999999</v>
      </c>
      <c r="CF383" s="59">
        <v>0</v>
      </c>
      <c r="CG383" s="59">
        <v>1.15E-2</v>
      </c>
      <c r="CH383" s="49">
        <v>13.1</v>
      </c>
      <c r="CI383" s="39" t="s">
        <v>154</v>
      </c>
      <c r="CJ383" s="18" t="s">
        <v>479</v>
      </c>
      <c r="CK383" s="20"/>
    </row>
    <row r="384" spans="1:89" x14ac:dyDescent="0.25">
      <c r="A384" s="18" t="s">
        <v>479</v>
      </c>
      <c r="B384" s="39" t="s">
        <v>153</v>
      </c>
      <c r="C384" s="39" t="s">
        <v>155</v>
      </c>
      <c r="D384" s="40">
        <v>1</v>
      </c>
      <c r="E384" s="40">
        <v>1</v>
      </c>
      <c r="F384" s="40">
        <v>0</v>
      </c>
      <c r="G384" s="163">
        <v>0</v>
      </c>
      <c r="H384" s="163">
        <v>1</v>
      </c>
      <c r="I384" s="162" t="s">
        <v>83</v>
      </c>
      <c r="J384" s="163">
        <v>0</v>
      </c>
      <c r="K384" s="163">
        <v>0</v>
      </c>
      <c r="L384" s="163">
        <v>0</v>
      </c>
      <c r="M384" s="163">
        <v>0</v>
      </c>
      <c r="N384" s="115">
        <v>8.6206896551724102E-3</v>
      </c>
      <c r="O384" s="115">
        <v>0</v>
      </c>
      <c r="P384" s="115">
        <v>0</v>
      </c>
      <c r="Q384" s="115">
        <v>5.8823529411764698E-2</v>
      </c>
      <c r="R384" s="116" t="s">
        <v>83</v>
      </c>
      <c r="S384" s="115">
        <v>0</v>
      </c>
      <c r="T384" s="115">
        <v>0</v>
      </c>
      <c r="U384" s="115">
        <v>0</v>
      </c>
      <c r="V384" s="115">
        <v>0</v>
      </c>
      <c r="W384" s="40">
        <v>222</v>
      </c>
      <c r="X384" s="40">
        <f t="shared" si="28"/>
        <v>83</v>
      </c>
      <c r="Y384" s="40">
        <f t="shared" si="29"/>
        <v>108</v>
      </c>
      <c r="Z384" s="105">
        <v>0.43693693693693703</v>
      </c>
      <c r="AA384" s="105">
        <v>0.56306306306306297</v>
      </c>
      <c r="AB384" s="106">
        <f>1/222</f>
        <v>4.5045045045045045E-3</v>
      </c>
      <c r="AC384" s="106">
        <v>0</v>
      </c>
      <c r="AD384" s="106">
        <f>1/222</f>
        <v>4.5045045045045045E-3</v>
      </c>
      <c r="AE384" s="106">
        <v>0</v>
      </c>
      <c r="AF384" s="106">
        <v>0</v>
      </c>
      <c r="AG384" s="106">
        <f>220/222</f>
        <v>0.99099099099099097</v>
      </c>
      <c r="AH384" s="106">
        <v>0</v>
      </c>
      <c r="AI384" s="106">
        <f>2/222</f>
        <v>9.0090090090090089E-3</v>
      </c>
      <c r="AJ384" s="105">
        <v>0.54504504504504503</v>
      </c>
      <c r="AK384" s="105">
        <v>0</v>
      </c>
      <c r="AL384" s="12">
        <v>10</v>
      </c>
      <c r="AM384" s="12">
        <v>15</v>
      </c>
      <c r="AN384" s="12">
        <v>0</v>
      </c>
      <c r="AO384" s="12">
        <v>25</v>
      </c>
      <c r="AP384" s="12">
        <v>14</v>
      </c>
      <c r="AQ384" s="12">
        <v>22</v>
      </c>
      <c r="AR384" s="12">
        <v>22</v>
      </c>
      <c r="AS384" s="59">
        <v>0</v>
      </c>
      <c r="AT384" s="3">
        <v>1</v>
      </c>
      <c r="AU384" s="3">
        <v>6</v>
      </c>
      <c r="AV384" s="52">
        <v>95.7</v>
      </c>
      <c r="AW384" s="52">
        <v>4.3</v>
      </c>
      <c r="AX384" s="53">
        <v>0</v>
      </c>
      <c r="AY384" s="70">
        <v>0</v>
      </c>
      <c r="AZ384" s="59">
        <v>4.4534412955465584E-2</v>
      </c>
      <c r="BA384" s="59">
        <v>4.048582995951417E-2</v>
      </c>
      <c r="BB384" s="78">
        <v>94.364344861178793</v>
      </c>
      <c r="BC384" s="49">
        <v>28.879310344827601</v>
      </c>
      <c r="BD384" s="49">
        <v>8.3000000000000007</v>
      </c>
      <c r="BE384" s="49">
        <v>0</v>
      </c>
      <c r="BF384" s="49">
        <v>4.2</v>
      </c>
      <c r="BG384" s="49">
        <v>0</v>
      </c>
      <c r="BH384" s="49">
        <v>0</v>
      </c>
      <c r="BI384" s="49">
        <v>0</v>
      </c>
      <c r="BJ384" s="49">
        <v>19.600000000000001</v>
      </c>
      <c r="BK384" s="126">
        <v>19547</v>
      </c>
      <c r="BL384" s="126">
        <v>49200</v>
      </c>
      <c r="BM384" s="126">
        <v>52804</v>
      </c>
      <c r="BN384" s="126">
        <v>42036</v>
      </c>
      <c r="BO384" s="59">
        <v>0</v>
      </c>
      <c r="BP384" s="59">
        <v>0.46500000000000002</v>
      </c>
      <c r="BQ384" s="59">
        <v>9.5399999999999999E-2</v>
      </c>
      <c r="BR384" s="59">
        <v>0</v>
      </c>
      <c r="BS384" s="59">
        <v>0</v>
      </c>
      <c r="BT384" s="49">
        <v>16.3</v>
      </c>
      <c r="BU384" s="59">
        <f t="shared" si="26"/>
        <v>0.56040000000000001</v>
      </c>
      <c r="BV384" s="59">
        <v>2.2200000000000001E-2</v>
      </c>
      <c r="BW384" s="59">
        <v>0</v>
      </c>
      <c r="BX384" s="59">
        <v>4.5900000000000003E-2</v>
      </c>
      <c r="BY384" s="59">
        <v>0</v>
      </c>
      <c r="BZ384" s="59">
        <v>0</v>
      </c>
      <c r="CA384" s="49">
        <v>23.5</v>
      </c>
      <c r="CB384" s="59">
        <f t="shared" si="27"/>
        <v>6.8100000000000008E-2</v>
      </c>
      <c r="CC384" s="59">
        <v>0.30009999999999998</v>
      </c>
      <c r="CD384" s="59">
        <v>0.52980000000000005</v>
      </c>
      <c r="CE384" s="59">
        <v>0.1479</v>
      </c>
      <c r="CF384" s="59">
        <v>2.23E-2</v>
      </c>
      <c r="CG384" s="59">
        <v>0</v>
      </c>
      <c r="CH384" s="49">
        <v>17.399999999999999</v>
      </c>
      <c r="CI384" s="39" t="s">
        <v>155</v>
      </c>
      <c r="CJ384" s="18" t="s">
        <v>479</v>
      </c>
      <c r="CK384" s="20"/>
    </row>
    <row r="385" spans="1:99" x14ac:dyDescent="0.25">
      <c r="A385" s="18" t="s">
        <v>479</v>
      </c>
      <c r="B385" s="39" t="s">
        <v>153</v>
      </c>
      <c r="C385" s="39" t="s">
        <v>156</v>
      </c>
      <c r="D385" s="40">
        <v>0</v>
      </c>
      <c r="E385" s="40">
        <v>0</v>
      </c>
      <c r="F385" s="40">
        <v>0</v>
      </c>
      <c r="G385" s="163">
        <v>0</v>
      </c>
      <c r="H385" s="163">
        <v>0</v>
      </c>
      <c r="I385" s="162" t="s">
        <v>83</v>
      </c>
      <c r="J385" s="163">
        <v>0</v>
      </c>
      <c r="K385" s="163">
        <v>0</v>
      </c>
      <c r="L385" s="163">
        <v>0</v>
      </c>
      <c r="M385" s="163">
        <v>0</v>
      </c>
      <c r="N385" s="115">
        <v>0</v>
      </c>
      <c r="O385" s="115">
        <v>0</v>
      </c>
      <c r="P385" s="115">
        <v>0</v>
      </c>
      <c r="Q385" s="115">
        <v>0</v>
      </c>
      <c r="R385" s="116" t="s">
        <v>83</v>
      </c>
      <c r="S385" s="115">
        <v>0</v>
      </c>
      <c r="T385" s="115">
        <v>0</v>
      </c>
      <c r="U385" s="115">
        <v>0</v>
      </c>
      <c r="V385" s="115">
        <v>0</v>
      </c>
      <c r="W385" s="40">
        <v>101</v>
      </c>
      <c r="X385" s="40">
        <f t="shared" si="28"/>
        <v>23</v>
      </c>
      <c r="Y385" s="40">
        <f t="shared" si="29"/>
        <v>39</v>
      </c>
      <c r="Z385" s="105">
        <v>0.42574257425742601</v>
      </c>
      <c r="AA385" s="105">
        <v>0.57425742574257399</v>
      </c>
      <c r="AB385" s="106">
        <f>1/101</f>
        <v>9.9009900990099011E-3</v>
      </c>
      <c r="AC385" s="106">
        <v>0</v>
      </c>
      <c r="AD385" s="106">
        <f>1/101</f>
        <v>9.9009900990099011E-3</v>
      </c>
      <c r="AE385" s="106">
        <f>7/101</f>
        <v>6.9306930693069313E-2</v>
      </c>
      <c r="AF385" s="106">
        <v>0</v>
      </c>
      <c r="AG385" s="106">
        <f>86/101</f>
        <v>0.85148514851485146</v>
      </c>
      <c r="AH385" s="106">
        <f>6/101</f>
        <v>5.9405940594059403E-2</v>
      </c>
      <c r="AI385" s="106">
        <f>15/101</f>
        <v>0.14851485148514851</v>
      </c>
      <c r="AJ385" s="105">
        <v>0.28712871287128711</v>
      </c>
      <c r="AK385" s="105">
        <v>0</v>
      </c>
      <c r="AL385" s="12">
        <v>9</v>
      </c>
      <c r="AM385" s="12">
        <v>7</v>
      </c>
      <c r="AN385" s="12">
        <v>0</v>
      </c>
      <c r="AO385" s="12">
        <v>7</v>
      </c>
      <c r="AP385" s="12">
        <v>7</v>
      </c>
      <c r="AQ385" s="12">
        <v>5</v>
      </c>
      <c r="AR385" s="12">
        <v>4</v>
      </c>
      <c r="AS385" s="59">
        <v>0</v>
      </c>
      <c r="AT385" s="3">
        <v>1</v>
      </c>
      <c r="AU385" s="3">
        <v>6</v>
      </c>
      <c r="AV385" s="52">
        <v>100</v>
      </c>
      <c r="AW385" s="53">
        <v>0</v>
      </c>
      <c r="AX385" s="53">
        <v>0</v>
      </c>
      <c r="AY385" s="70">
        <v>0</v>
      </c>
      <c r="AZ385" s="59">
        <v>9.2436974789915971E-2</v>
      </c>
      <c r="BA385" s="59">
        <v>8.4033613445378148E-3</v>
      </c>
      <c r="BB385" s="77">
        <v>94.586366181410995</v>
      </c>
      <c r="BC385" s="49">
        <v>34.259259259259302</v>
      </c>
      <c r="BD385" s="49">
        <v>0</v>
      </c>
      <c r="BE385" s="49">
        <v>0</v>
      </c>
      <c r="BF385" s="49">
        <v>0</v>
      </c>
      <c r="BG385" s="49">
        <v>0</v>
      </c>
      <c r="BH385" s="49">
        <v>0</v>
      </c>
      <c r="BI385" s="49">
        <v>0</v>
      </c>
      <c r="BJ385" s="85"/>
      <c r="BK385" s="126">
        <v>29936</v>
      </c>
      <c r="BL385" s="126">
        <v>45672</v>
      </c>
      <c r="BM385" s="126">
        <v>59046</v>
      </c>
      <c r="BN385" s="126">
        <v>41017</v>
      </c>
      <c r="BO385" s="59">
        <v>0</v>
      </c>
      <c r="BP385" s="125">
        <v>0.43709999999999999</v>
      </c>
      <c r="BQ385" s="125">
        <v>0.15340000000000001</v>
      </c>
      <c r="BR385" s="125">
        <v>0</v>
      </c>
      <c r="BS385" s="125">
        <v>0</v>
      </c>
      <c r="BT385" s="85">
        <v>17</v>
      </c>
      <c r="BU385" s="59">
        <f t="shared" si="26"/>
        <v>0.59050000000000002</v>
      </c>
      <c r="BV385" s="59">
        <v>2.63E-2</v>
      </c>
      <c r="BW385" s="125">
        <v>0</v>
      </c>
      <c r="BX385" s="125">
        <v>5.11E-2</v>
      </c>
      <c r="BY385" s="125">
        <v>0</v>
      </c>
      <c r="BZ385" s="125">
        <v>0</v>
      </c>
      <c r="CA385" s="85">
        <v>29.7</v>
      </c>
      <c r="CB385" s="59">
        <f t="shared" si="27"/>
        <v>7.7399999999999997E-2</v>
      </c>
      <c r="CC385" s="59">
        <v>0.26200000000000001</v>
      </c>
      <c r="CD385" s="125">
        <v>0.47460000000000002</v>
      </c>
      <c r="CE385" s="125">
        <v>0.23549999999999999</v>
      </c>
      <c r="CF385" s="125">
        <v>2.7900000000000001E-2</v>
      </c>
      <c r="CG385" s="125">
        <v>0</v>
      </c>
      <c r="CH385" s="85">
        <v>17</v>
      </c>
      <c r="CI385" s="39" t="s">
        <v>156</v>
      </c>
      <c r="CJ385" s="18" t="s">
        <v>479</v>
      </c>
      <c r="CK385" s="20"/>
    </row>
    <row r="386" spans="1:99" x14ac:dyDescent="0.25">
      <c r="A386" s="18" t="s">
        <v>479</v>
      </c>
      <c r="B386" s="39" t="s">
        <v>153</v>
      </c>
      <c r="C386" s="39" t="s">
        <v>157</v>
      </c>
      <c r="D386" s="40">
        <v>0</v>
      </c>
      <c r="E386" s="40">
        <v>0</v>
      </c>
      <c r="F386" s="40">
        <v>0</v>
      </c>
      <c r="G386" s="163">
        <v>0</v>
      </c>
      <c r="H386" s="163">
        <v>0</v>
      </c>
      <c r="I386" s="162" t="s">
        <v>83</v>
      </c>
      <c r="J386" s="163">
        <v>0</v>
      </c>
      <c r="K386" s="163">
        <v>0</v>
      </c>
      <c r="L386" s="163">
        <v>0</v>
      </c>
      <c r="M386" s="163">
        <v>0</v>
      </c>
      <c r="N386" s="115">
        <v>0</v>
      </c>
      <c r="O386" s="115">
        <v>0</v>
      </c>
      <c r="P386" s="115">
        <v>0</v>
      </c>
      <c r="Q386" s="115">
        <v>0</v>
      </c>
      <c r="R386" s="116" t="s">
        <v>83</v>
      </c>
      <c r="S386" s="115">
        <v>0</v>
      </c>
      <c r="T386" s="115">
        <v>0</v>
      </c>
      <c r="U386" s="115">
        <v>0</v>
      </c>
      <c r="V386" s="115">
        <v>0</v>
      </c>
      <c r="W386" s="40">
        <v>288</v>
      </c>
      <c r="X386" s="40">
        <f t="shared" si="28"/>
        <v>113</v>
      </c>
      <c r="Y386" s="40">
        <f t="shared" si="29"/>
        <v>145</v>
      </c>
      <c r="Z386" s="105">
        <v>0.48611111111111099</v>
      </c>
      <c r="AA386" s="105">
        <v>0.51388888888888895</v>
      </c>
      <c r="AB386" s="106">
        <f>1/288</f>
        <v>3.472222222222222E-3</v>
      </c>
      <c r="AC386" s="106">
        <v>0</v>
      </c>
      <c r="AD386" s="106">
        <f>9/288</f>
        <v>3.125E-2</v>
      </c>
      <c r="AE386" s="106">
        <f>18/288</f>
        <v>6.25E-2</v>
      </c>
      <c r="AF386" s="106">
        <v>0</v>
      </c>
      <c r="AG386" s="106">
        <f>255/288</f>
        <v>0.88541666666666663</v>
      </c>
      <c r="AH386" s="106">
        <f>5/288</f>
        <v>1.7361111111111112E-2</v>
      </c>
      <c r="AI386" s="106">
        <f>33/288</f>
        <v>0.11458333333333333</v>
      </c>
      <c r="AJ386" s="105">
        <v>0.4826388888888889</v>
      </c>
      <c r="AK386" s="105">
        <v>2.7777777777777801E-2</v>
      </c>
      <c r="AL386" s="12">
        <v>11</v>
      </c>
      <c r="AM386" s="12">
        <v>21</v>
      </c>
      <c r="AN386" s="12">
        <v>0</v>
      </c>
      <c r="AO386" s="12">
        <v>35</v>
      </c>
      <c r="AP386" s="12">
        <v>22</v>
      </c>
      <c r="AQ386" s="12">
        <v>25</v>
      </c>
      <c r="AR386" s="12">
        <v>31</v>
      </c>
      <c r="AS386" s="59">
        <v>0</v>
      </c>
      <c r="AT386" s="3">
        <v>1</v>
      </c>
      <c r="AU386" s="3">
        <v>6</v>
      </c>
      <c r="AV386" s="52">
        <v>91</v>
      </c>
      <c r="AW386" s="52">
        <v>8.5</v>
      </c>
      <c r="AX386" s="52">
        <v>0.5</v>
      </c>
      <c r="AY386" s="70">
        <v>0</v>
      </c>
      <c r="AZ386" s="59">
        <v>4.9180327868852458E-2</v>
      </c>
      <c r="BA386" s="59">
        <v>2.2950819672131147E-2</v>
      </c>
      <c r="BB386" s="78">
        <v>93.7920459042343</v>
      </c>
      <c r="BC386" s="49">
        <v>21.299638989169701</v>
      </c>
      <c r="BD386" s="49">
        <v>0</v>
      </c>
      <c r="BE386" s="49">
        <v>0</v>
      </c>
      <c r="BF386" s="49">
        <v>5.9</v>
      </c>
      <c r="BG386" s="49">
        <v>5</v>
      </c>
      <c r="BH386" s="49">
        <v>0</v>
      </c>
      <c r="BI386" s="49">
        <v>0</v>
      </c>
      <c r="BJ386" s="49">
        <v>17.5</v>
      </c>
      <c r="BK386" s="126">
        <v>20158</v>
      </c>
      <c r="BL386" s="126">
        <v>49602</v>
      </c>
      <c r="BM386" s="126">
        <v>50039</v>
      </c>
      <c r="BN386" s="126">
        <v>39537</v>
      </c>
      <c r="BO386" s="59">
        <v>0</v>
      </c>
      <c r="BP386" s="59">
        <v>0.37659999999999999</v>
      </c>
      <c r="BQ386" s="59">
        <v>0.13400000000000001</v>
      </c>
      <c r="BR386" s="59">
        <v>0</v>
      </c>
      <c r="BS386" s="59">
        <v>4.1000000000000003E-3</v>
      </c>
      <c r="BT386" s="49">
        <v>17.3</v>
      </c>
      <c r="BU386" s="59">
        <f t="shared" si="26"/>
        <v>0.51469999999999994</v>
      </c>
      <c r="BV386" s="59">
        <v>3.15E-2</v>
      </c>
      <c r="BW386" s="59">
        <v>0</v>
      </c>
      <c r="BX386" s="59">
        <v>3.0800000000000001E-2</v>
      </c>
      <c r="BY386" s="59">
        <v>0</v>
      </c>
      <c r="BZ386" s="59">
        <v>0</v>
      </c>
      <c r="CA386" s="49">
        <v>21.8</v>
      </c>
      <c r="CB386" s="59">
        <f t="shared" si="27"/>
        <v>6.2300000000000001E-2</v>
      </c>
      <c r="CC386" s="59">
        <v>0.37830000000000003</v>
      </c>
      <c r="CD386" s="59">
        <v>0.4259</v>
      </c>
      <c r="CE386" s="59">
        <v>0.19170000000000001</v>
      </c>
      <c r="CF386" s="59">
        <v>0</v>
      </c>
      <c r="CG386" s="59">
        <v>4.1000000000000003E-3</v>
      </c>
      <c r="CH386" s="49">
        <v>17.399999999999999</v>
      </c>
      <c r="CI386" s="39" t="s">
        <v>157</v>
      </c>
      <c r="CJ386" s="18" t="s">
        <v>479</v>
      </c>
      <c r="CK386" s="20"/>
    </row>
    <row r="387" spans="1:99" x14ac:dyDescent="0.25">
      <c r="A387" s="18" t="s">
        <v>479</v>
      </c>
      <c r="B387" s="39" t="s">
        <v>158</v>
      </c>
      <c r="C387" s="39" t="s">
        <v>159</v>
      </c>
      <c r="D387" s="40">
        <v>11</v>
      </c>
      <c r="E387" s="40">
        <v>4</v>
      </c>
      <c r="F387" s="40">
        <v>7</v>
      </c>
      <c r="G387" s="162" t="s">
        <v>83</v>
      </c>
      <c r="H387" s="163">
        <v>4</v>
      </c>
      <c r="I387" s="162" t="s">
        <v>83</v>
      </c>
      <c r="J387" s="163">
        <v>1</v>
      </c>
      <c r="K387" s="163">
        <v>2</v>
      </c>
      <c r="L387" s="163">
        <v>3</v>
      </c>
      <c r="M387" s="163">
        <v>1</v>
      </c>
      <c r="N387" s="115">
        <v>3.69127516778524E-2</v>
      </c>
      <c r="O387" s="115">
        <v>3.0434782608695699E-2</v>
      </c>
      <c r="P387" s="116" t="s">
        <v>83</v>
      </c>
      <c r="Q387" s="115">
        <v>5.8823529411764698E-2</v>
      </c>
      <c r="R387" s="116" t="s">
        <v>83</v>
      </c>
      <c r="S387" s="115">
        <v>1.58730158730159E-2</v>
      </c>
      <c r="T387" s="115">
        <v>3.4482758620689703E-2</v>
      </c>
      <c r="U387" s="115">
        <v>5.2631578947368397E-2</v>
      </c>
      <c r="V387" s="115">
        <v>1.9230769230769201E-2</v>
      </c>
      <c r="W387" s="40">
        <v>272</v>
      </c>
      <c r="X387" s="40">
        <f t="shared" si="28"/>
        <v>212</v>
      </c>
      <c r="Y387" s="40">
        <f t="shared" si="29"/>
        <v>272</v>
      </c>
      <c r="Z387" s="105">
        <v>0.50367647058823495</v>
      </c>
      <c r="AA387" s="105">
        <v>0.496323529411765</v>
      </c>
      <c r="AB387" s="106">
        <v>0</v>
      </c>
      <c r="AC387" s="106">
        <f>4/272</f>
        <v>1.4705882352941176E-2</v>
      </c>
      <c r="AD387" s="106">
        <f>151/272</f>
        <v>0.55514705882352944</v>
      </c>
      <c r="AE387" s="106">
        <f>3/272</f>
        <v>1.1029411764705883E-2</v>
      </c>
      <c r="AF387" s="106">
        <v>0</v>
      </c>
      <c r="AG387" s="106">
        <f>114/272</f>
        <v>0.41911764705882354</v>
      </c>
      <c r="AH387" s="106">
        <v>0</v>
      </c>
      <c r="AI387" s="106">
        <f>158/272</f>
        <v>0.58088235294117652</v>
      </c>
      <c r="AJ387" s="105">
        <v>0.7904411764705882</v>
      </c>
      <c r="AK387" s="105">
        <v>0</v>
      </c>
      <c r="AL387" s="12">
        <v>0</v>
      </c>
      <c r="AM387" s="12">
        <v>60</v>
      </c>
      <c r="AN387" s="12">
        <v>0</v>
      </c>
      <c r="AO387" s="12">
        <v>61</v>
      </c>
      <c r="AP387" s="12">
        <v>52</v>
      </c>
      <c r="AQ387" s="12">
        <v>51</v>
      </c>
      <c r="AR387" s="12">
        <v>48</v>
      </c>
      <c r="AS387" s="59">
        <v>0</v>
      </c>
      <c r="AT387" s="3">
        <v>8</v>
      </c>
      <c r="AU387" s="3">
        <v>6</v>
      </c>
      <c r="AV387" s="52">
        <v>93.1</v>
      </c>
      <c r="AW387" s="52">
        <v>6.4</v>
      </c>
      <c r="AX387" s="52">
        <v>0.5</v>
      </c>
      <c r="AY387" s="70">
        <v>0</v>
      </c>
      <c r="AZ387" s="59">
        <v>4.7945205479452052E-2</v>
      </c>
      <c r="BA387" s="59">
        <v>0.40068493150684931</v>
      </c>
      <c r="BB387" s="77">
        <v>88.883083091622595</v>
      </c>
      <c r="BC387" s="49">
        <v>55.704697986577202</v>
      </c>
      <c r="BD387" s="90" t="s">
        <v>83</v>
      </c>
      <c r="BE387" s="49">
        <v>5.7</v>
      </c>
      <c r="BF387" s="49">
        <v>3.6</v>
      </c>
      <c r="BG387" s="49">
        <v>4.0999999999999996</v>
      </c>
      <c r="BH387" s="49">
        <v>0</v>
      </c>
      <c r="BI387" s="49">
        <v>0</v>
      </c>
      <c r="BJ387" s="49">
        <v>18.5</v>
      </c>
      <c r="BK387" s="126">
        <v>11914</v>
      </c>
      <c r="BL387" s="126">
        <v>42289</v>
      </c>
      <c r="BM387" s="126">
        <v>42338</v>
      </c>
      <c r="BN387" s="126">
        <v>33547</v>
      </c>
      <c r="BO387" s="59">
        <v>0</v>
      </c>
      <c r="BP387" s="59">
        <v>0.45550000000000002</v>
      </c>
      <c r="BQ387" s="59">
        <v>9.2399999999999996E-2</v>
      </c>
      <c r="BR387" s="59">
        <v>0</v>
      </c>
      <c r="BS387" s="59">
        <v>1.5100000000000001E-2</v>
      </c>
      <c r="BT387" s="49">
        <v>15.1</v>
      </c>
      <c r="BU387" s="59">
        <f t="shared" ref="BU387:BU450" si="30">SUM(BO387:BS387)</f>
        <v>0.56300000000000006</v>
      </c>
      <c r="BV387" s="59">
        <v>2.7199999999999998E-2</v>
      </c>
      <c r="BW387" s="59">
        <v>0</v>
      </c>
      <c r="BX387" s="59">
        <v>2.0799999999999999E-2</v>
      </c>
      <c r="BY387" s="59">
        <v>0</v>
      </c>
      <c r="BZ387" s="59">
        <v>1.2E-2</v>
      </c>
      <c r="CA387" s="49">
        <v>11.9</v>
      </c>
      <c r="CB387" s="59">
        <f t="shared" ref="CB387:CB450" si="31">SUM(BV387:BZ387)</f>
        <v>0.06</v>
      </c>
      <c r="CC387" s="59">
        <v>0.3226</v>
      </c>
      <c r="CD387" s="59">
        <v>0.50990000000000002</v>
      </c>
      <c r="CE387" s="59">
        <v>0.1404</v>
      </c>
      <c r="CF387" s="59">
        <v>0</v>
      </c>
      <c r="CG387" s="59">
        <v>2.7199999999999998E-2</v>
      </c>
      <c r="CH387" s="49">
        <v>10.8</v>
      </c>
      <c r="CI387" s="39" t="s">
        <v>159</v>
      </c>
      <c r="CJ387" s="18" t="s">
        <v>479</v>
      </c>
      <c r="CK387" s="20"/>
    </row>
    <row r="388" spans="1:99" x14ac:dyDescent="0.25">
      <c r="A388" s="18" t="s">
        <v>479</v>
      </c>
      <c r="B388" s="39" t="s">
        <v>158</v>
      </c>
      <c r="C388" s="39" t="s">
        <v>160</v>
      </c>
      <c r="D388" s="40">
        <v>1</v>
      </c>
      <c r="E388" s="40">
        <v>0</v>
      </c>
      <c r="F388" s="40">
        <v>1</v>
      </c>
      <c r="G388" s="163">
        <v>0</v>
      </c>
      <c r="H388" s="163">
        <v>0</v>
      </c>
      <c r="I388" s="162" t="s">
        <v>83</v>
      </c>
      <c r="J388" s="163">
        <v>0</v>
      </c>
      <c r="K388" s="163">
        <v>1</v>
      </c>
      <c r="L388" s="163">
        <v>0</v>
      </c>
      <c r="M388" s="163">
        <v>0</v>
      </c>
      <c r="N388" s="115">
        <v>2.6315789473684199E-2</v>
      </c>
      <c r="O388" s="115">
        <v>0.05</v>
      </c>
      <c r="P388" s="115">
        <v>0</v>
      </c>
      <c r="Q388" s="115">
        <v>0</v>
      </c>
      <c r="R388" s="116" t="s">
        <v>83</v>
      </c>
      <c r="S388" s="115">
        <v>0</v>
      </c>
      <c r="T388" s="115">
        <v>0.1</v>
      </c>
      <c r="U388" s="115">
        <v>0</v>
      </c>
      <c r="V388" s="115">
        <v>0</v>
      </c>
      <c r="W388" s="40">
        <v>94</v>
      </c>
      <c r="X388" s="40">
        <f t="shared" si="28"/>
        <v>16</v>
      </c>
      <c r="Y388" s="40">
        <f t="shared" si="29"/>
        <v>33</v>
      </c>
      <c r="Z388" s="105">
        <v>0.48936170212766</v>
      </c>
      <c r="AA388" s="105">
        <v>0.51063829787234005</v>
      </c>
      <c r="AB388" s="106">
        <v>0</v>
      </c>
      <c r="AC388" s="106">
        <v>0</v>
      </c>
      <c r="AD388" s="106">
        <f>2/94</f>
        <v>2.1276595744680851E-2</v>
      </c>
      <c r="AE388" s="106">
        <v>0</v>
      </c>
      <c r="AF388" s="106">
        <v>0</v>
      </c>
      <c r="AG388" s="106">
        <f>90/94</f>
        <v>0.95744680851063835</v>
      </c>
      <c r="AH388" s="106">
        <f>2/94</f>
        <v>2.1276595744680851E-2</v>
      </c>
      <c r="AI388" s="106">
        <f>4/94</f>
        <v>4.2553191489361701E-2</v>
      </c>
      <c r="AJ388" s="105">
        <v>0.65957446808510634</v>
      </c>
      <c r="AK388" s="105">
        <v>0</v>
      </c>
      <c r="AL388" s="12">
        <v>9</v>
      </c>
      <c r="AM388" s="12">
        <v>8</v>
      </c>
      <c r="AN388" s="12">
        <v>0</v>
      </c>
      <c r="AO388" s="12">
        <v>1</v>
      </c>
      <c r="AP388" s="12">
        <v>8</v>
      </c>
      <c r="AQ388" s="12">
        <v>2</v>
      </c>
      <c r="AR388" s="12">
        <v>5</v>
      </c>
      <c r="AS388" s="59">
        <v>0</v>
      </c>
      <c r="AT388" s="3">
        <v>1</v>
      </c>
      <c r="AU388" s="3">
        <v>6</v>
      </c>
      <c r="AV388" s="52">
        <v>100</v>
      </c>
      <c r="AW388" s="53">
        <v>0</v>
      </c>
      <c r="AX388" s="53">
        <v>0</v>
      </c>
      <c r="AY388" s="70">
        <v>0</v>
      </c>
      <c r="AZ388" s="59">
        <v>9.9009900990099011E-3</v>
      </c>
      <c r="BA388" s="59">
        <v>4.9504950495049507E-2</v>
      </c>
      <c r="BB388" s="78">
        <v>90.554276946681995</v>
      </c>
      <c r="BC388" s="49">
        <v>43.564356435643603</v>
      </c>
      <c r="BD388" s="49">
        <v>11.1</v>
      </c>
      <c r="BE388" s="49">
        <v>0</v>
      </c>
      <c r="BF388" s="49">
        <v>0</v>
      </c>
      <c r="BG388" s="49">
        <v>0</v>
      </c>
      <c r="BH388" s="49">
        <v>0</v>
      </c>
      <c r="BI388" s="49">
        <v>0</v>
      </c>
      <c r="BJ388" s="85"/>
      <c r="BK388" s="126">
        <v>14443</v>
      </c>
      <c r="BL388" s="126">
        <v>43229</v>
      </c>
      <c r="BM388" s="126">
        <v>35383</v>
      </c>
      <c r="BN388" s="126">
        <v>35375</v>
      </c>
      <c r="BO388" s="59">
        <v>0</v>
      </c>
      <c r="BP388" s="125">
        <v>0.51910000000000001</v>
      </c>
      <c r="BQ388" s="125">
        <v>9.4899999999999998E-2</v>
      </c>
      <c r="BR388" s="125">
        <v>0</v>
      </c>
      <c r="BS388" s="125">
        <v>0</v>
      </c>
      <c r="BT388" s="85">
        <v>23.4</v>
      </c>
      <c r="BU388" s="59">
        <f t="shared" si="30"/>
        <v>0.61399999999999999</v>
      </c>
      <c r="BV388" s="59">
        <v>4.2599999999999999E-2</v>
      </c>
      <c r="BW388" s="125">
        <v>0</v>
      </c>
      <c r="BX388" s="125">
        <v>3.4799999999999998E-2</v>
      </c>
      <c r="BY388" s="125">
        <v>0</v>
      </c>
      <c r="BZ388" s="125">
        <v>0</v>
      </c>
      <c r="CA388" s="85">
        <v>8.6</v>
      </c>
      <c r="CB388" s="59">
        <f t="shared" si="31"/>
        <v>7.7399999999999997E-2</v>
      </c>
      <c r="CC388" s="59">
        <v>0.35120000000000001</v>
      </c>
      <c r="CD388" s="125">
        <v>0.51910000000000001</v>
      </c>
      <c r="CE388" s="125">
        <v>0.1298</v>
      </c>
      <c r="CF388" s="125">
        <v>0</v>
      </c>
      <c r="CG388" s="125">
        <v>0</v>
      </c>
      <c r="CH388" s="85">
        <v>15.5</v>
      </c>
      <c r="CI388" s="39" t="s">
        <v>160</v>
      </c>
      <c r="CJ388" s="18" t="s">
        <v>479</v>
      </c>
      <c r="CK388" s="20"/>
    </row>
    <row r="389" spans="1:99" x14ac:dyDescent="0.25">
      <c r="A389" s="18" t="s">
        <v>479</v>
      </c>
      <c r="B389" s="39" t="s">
        <v>158</v>
      </c>
      <c r="C389" s="39" t="s">
        <v>161</v>
      </c>
      <c r="D389" s="40">
        <v>3</v>
      </c>
      <c r="E389" s="40">
        <v>1</v>
      </c>
      <c r="F389" s="40">
        <v>2</v>
      </c>
      <c r="G389" s="163">
        <v>0</v>
      </c>
      <c r="H389" s="163">
        <v>1</v>
      </c>
      <c r="I389" s="162" t="s">
        <v>83</v>
      </c>
      <c r="J389" s="163">
        <v>1</v>
      </c>
      <c r="K389" s="163">
        <v>1</v>
      </c>
      <c r="L389" s="163">
        <v>0</v>
      </c>
      <c r="M389" s="163">
        <v>0</v>
      </c>
      <c r="N389" s="115">
        <v>2.0833333333333301E-2</v>
      </c>
      <c r="O389" s="115">
        <v>2.0833333333333301E-2</v>
      </c>
      <c r="P389" s="115">
        <v>0</v>
      </c>
      <c r="Q389" s="115">
        <v>3.4482758620689703E-2</v>
      </c>
      <c r="R389" s="116" t="s">
        <v>83</v>
      </c>
      <c r="S389" s="115">
        <v>3.3333333333333298E-2</v>
      </c>
      <c r="T389" s="115">
        <v>0.04</v>
      </c>
      <c r="U389" s="115">
        <v>0</v>
      </c>
      <c r="V389" s="115">
        <v>0</v>
      </c>
      <c r="W389" s="40">
        <v>300</v>
      </c>
      <c r="X389" s="40">
        <f t="shared" si="28"/>
        <v>93</v>
      </c>
      <c r="Y389" s="40">
        <f t="shared" si="29"/>
        <v>137</v>
      </c>
      <c r="Z389" s="105">
        <v>0.50333333333333297</v>
      </c>
      <c r="AA389" s="105">
        <v>0.49666666666666698</v>
      </c>
      <c r="AB389" s="106">
        <v>0</v>
      </c>
      <c r="AC389" s="106">
        <f>2/300</f>
        <v>6.6666666666666671E-3</v>
      </c>
      <c r="AD389" s="106">
        <f>30/300</f>
        <v>0.1</v>
      </c>
      <c r="AE389" s="106">
        <f>7/300</f>
        <v>2.3333333333333334E-2</v>
      </c>
      <c r="AF389" s="106">
        <v>0</v>
      </c>
      <c r="AG389" s="106">
        <f>257/300</f>
        <v>0.85666666666666669</v>
      </c>
      <c r="AH389" s="106">
        <f>4/300</f>
        <v>1.3333333333333334E-2</v>
      </c>
      <c r="AI389" s="106">
        <f>43/300</f>
        <v>0.14333333333333334</v>
      </c>
      <c r="AJ389" s="105">
        <v>0.52333333333333332</v>
      </c>
      <c r="AK389" s="105">
        <v>0</v>
      </c>
      <c r="AL389" s="12">
        <v>18</v>
      </c>
      <c r="AM389" s="12">
        <v>26</v>
      </c>
      <c r="AN389" s="12">
        <v>0</v>
      </c>
      <c r="AO389" s="12">
        <v>27</v>
      </c>
      <c r="AP389" s="12">
        <v>25</v>
      </c>
      <c r="AQ389" s="12">
        <v>16</v>
      </c>
      <c r="AR389" s="12">
        <v>25</v>
      </c>
      <c r="AS389" s="59">
        <v>0</v>
      </c>
      <c r="AT389" s="3">
        <v>1</v>
      </c>
      <c r="AU389" s="3">
        <v>6</v>
      </c>
      <c r="AV389" s="52">
        <v>73.400000000000006</v>
      </c>
      <c r="AW389" s="52">
        <v>23</v>
      </c>
      <c r="AX389" s="52">
        <v>3.6</v>
      </c>
      <c r="AY389" s="70">
        <v>0</v>
      </c>
      <c r="AZ389" s="59">
        <v>3.0395136778115502E-2</v>
      </c>
      <c r="BA389" s="59">
        <v>8.2066869300911852E-2</v>
      </c>
      <c r="BB389" s="77">
        <v>93.254408445855503</v>
      </c>
      <c r="BC389" s="49">
        <v>38.181818181818201</v>
      </c>
      <c r="BD389" s="49">
        <v>0</v>
      </c>
      <c r="BE389" s="49">
        <v>0</v>
      </c>
      <c r="BF389" s="49">
        <v>0</v>
      </c>
      <c r="BG389" s="49">
        <v>0</v>
      </c>
      <c r="BH389" s="49">
        <v>0</v>
      </c>
      <c r="BI389" s="49">
        <v>0</v>
      </c>
      <c r="BJ389" s="49">
        <v>21</v>
      </c>
      <c r="BK389" s="126">
        <v>11020</v>
      </c>
      <c r="BL389" s="126">
        <v>40801</v>
      </c>
      <c r="BM389" s="126">
        <v>39150</v>
      </c>
      <c r="BN389" s="126">
        <v>30273</v>
      </c>
      <c r="BO389" s="59">
        <v>0</v>
      </c>
      <c r="BP389" s="59">
        <v>0.39400000000000002</v>
      </c>
      <c r="BQ389" s="59">
        <v>0.13689999999999999</v>
      </c>
      <c r="BR389" s="59">
        <v>0</v>
      </c>
      <c r="BS389" s="59">
        <v>0</v>
      </c>
      <c r="BT389" s="49">
        <v>16</v>
      </c>
      <c r="BU389" s="59">
        <f t="shared" si="30"/>
        <v>0.53090000000000004</v>
      </c>
      <c r="BV389" s="59">
        <v>3.4500000000000003E-2</v>
      </c>
      <c r="BW389" s="59">
        <v>0</v>
      </c>
      <c r="BX389" s="59">
        <v>3.6999999999999998E-2</v>
      </c>
      <c r="BY389" s="59">
        <v>0</v>
      </c>
      <c r="BZ389" s="59">
        <v>0</v>
      </c>
      <c r="CA389" s="49">
        <v>15.3</v>
      </c>
      <c r="CB389" s="59">
        <f t="shared" si="31"/>
        <v>7.1500000000000008E-2</v>
      </c>
      <c r="CC389" s="59">
        <v>0.42509999999999998</v>
      </c>
      <c r="CD389" s="59">
        <v>0.39400000000000002</v>
      </c>
      <c r="CE389" s="59">
        <v>0.18090000000000001</v>
      </c>
      <c r="CF389" s="59">
        <v>0</v>
      </c>
      <c r="CG389" s="59">
        <v>0</v>
      </c>
      <c r="CH389" s="49">
        <v>10.1</v>
      </c>
      <c r="CI389" s="39" t="s">
        <v>161</v>
      </c>
      <c r="CJ389" s="18" t="s">
        <v>479</v>
      </c>
      <c r="CK389" s="20"/>
    </row>
    <row r="390" spans="1:99" x14ac:dyDescent="0.25">
      <c r="A390" s="18" t="s">
        <v>479</v>
      </c>
      <c r="B390" s="39" t="s">
        <v>158</v>
      </c>
      <c r="C390" s="39" t="s">
        <v>162</v>
      </c>
      <c r="D390" s="40">
        <v>3</v>
      </c>
      <c r="E390" s="40">
        <v>1</v>
      </c>
      <c r="F390" s="40">
        <v>2</v>
      </c>
      <c r="G390" s="163">
        <v>1</v>
      </c>
      <c r="H390" s="163">
        <v>0</v>
      </c>
      <c r="I390" s="162" t="s">
        <v>83</v>
      </c>
      <c r="J390" s="163">
        <v>1</v>
      </c>
      <c r="K390" s="163">
        <v>1</v>
      </c>
      <c r="L390" s="163">
        <v>0</v>
      </c>
      <c r="M390" s="163">
        <v>0</v>
      </c>
      <c r="N390" s="115">
        <v>2.80373831775701E-2</v>
      </c>
      <c r="O390" s="115">
        <v>2.7027027027027001E-2</v>
      </c>
      <c r="P390" s="115">
        <v>6.6666666666666693E-2</v>
      </c>
      <c r="Q390" s="115">
        <v>0</v>
      </c>
      <c r="R390" s="116" t="s">
        <v>83</v>
      </c>
      <c r="S390" s="115">
        <v>4.3478260869565202E-2</v>
      </c>
      <c r="T390" s="115">
        <v>5.2631578947368397E-2</v>
      </c>
      <c r="U390" s="115">
        <v>0</v>
      </c>
      <c r="V390" s="115">
        <v>0</v>
      </c>
      <c r="W390" s="40">
        <v>274</v>
      </c>
      <c r="X390" s="40">
        <f t="shared" si="28"/>
        <v>66</v>
      </c>
      <c r="Y390" s="40">
        <f t="shared" si="29"/>
        <v>97</v>
      </c>
      <c r="Z390" s="105">
        <v>0.44890510948905099</v>
      </c>
      <c r="AA390" s="105">
        <v>0.55109489051094895</v>
      </c>
      <c r="AB390" s="106">
        <v>0</v>
      </c>
      <c r="AC390" s="106">
        <v>0</v>
      </c>
      <c r="AD390" s="106">
        <f>137/274</f>
        <v>0.5</v>
      </c>
      <c r="AE390" s="106">
        <f>7/274</f>
        <v>2.5547445255474453E-2</v>
      </c>
      <c r="AF390" s="106">
        <v>0</v>
      </c>
      <c r="AG390" s="106">
        <f>128/274</f>
        <v>0.46715328467153283</v>
      </c>
      <c r="AH390" s="106">
        <f>2/274</f>
        <v>7.2992700729927005E-3</v>
      </c>
      <c r="AI390" s="106">
        <f>146/274</f>
        <v>0.53284671532846717</v>
      </c>
      <c r="AJ390" s="105">
        <v>0.87226277372262773</v>
      </c>
      <c r="AK390" s="105">
        <v>0</v>
      </c>
      <c r="AL390" s="12">
        <v>14</v>
      </c>
      <c r="AM390" s="12">
        <v>17</v>
      </c>
      <c r="AN390" s="12">
        <v>0</v>
      </c>
      <c r="AO390" s="12">
        <v>21</v>
      </c>
      <c r="AP390" s="12">
        <v>17</v>
      </c>
      <c r="AQ390" s="12">
        <v>17</v>
      </c>
      <c r="AR390" s="12">
        <v>11</v>
      </c>
      <c r="AS390" s="59">
        <v>0</v>
      </c>
      <c r="AT390" s="3">
        <v>1</v>
      </c>
      <c r="AU390" s="3">
        <v>6</v>
      </c>
      <c r="AV390" s="52">
        <v>83.3</v>
      </c>
      <c r="AW390" s="52">
        <v>12.3</v>
      </c>
      <c r="AX390" s="52">
        <v>4.3</v>
      </c>
      <c r="AY390" s="70">
        <v>0</v>
      </c>
      <c r="AZ390" s="59">
        <v>0</v>
      </c>
      <c r="BA390" s="59">
        <v>0.11897106109324759</v>
      </c>
      <c r="BB390" s="78">
        <v>93.7918223243976</v>
      </c>
      <c r="BC390" s="49">
        <v>43.243243243243199</v>
      </c>
      <c r="BD390" s="49">
        <v>0</v>
      </c>
      <c r="BE390" s="49">
        <v>0</v>
      </c>
      <c r="BF390" s="49">
        <v>0</v>
      </c>
      <c r="BG390" s="49">
        <v>0</v>
      </c>
      <c r="BH390" s="49">
        <v>0</v>
      </c>
      <c r="BI390" s="49">
        <v>0</v>
      </c>
      <c r="BJ390" s="49">
        <v>18.5</v>
      </c>
      <c r="BK390" s="126">
        <v>12546</v>
      </c>
      <c r="BL390" s="126">
        <v>43060</v>
      </c>
      <c r="BM390" s="126">
        <v>31169</v>
      </c>
      <c r="BN390" s="126">
        <v>29787</v>
      </c>
      <c r="BO390" s="59">
        <v>0</v>
      </c>
      <c r="BP390" s="59">
        <v>0.3453</v>
      </c>
      <c r="BQ390" s="59">
        <v>0.13789999999999999</v>
      </c>
      <c r="BR390" s="59">
        <v>0</v>
      </c>
      <c r="BS390" s="59">
        <v>0</v>
      </c>
      <c r="BT390" s="49">
        <v>19.100000000000001</v>
      </c>
      <c r="BU390" s="59">
        <f t="shared" si="30"/>
        <v>0.48319999999999996</v>
      </c>
      <c r="BV390" s="59">
        <v>3.6600000000000001E-2</v>
      </c>
      <c r="BW390" s="59">
        <v>0</v>
      </c>
      <c r="BX390" s="59">
        <v>1.8499999999999999E-2</v>
      </c>
      <c r="BY390" s="59">
        <v>0</v>
      </c>
      <c r="BZ390" s="59">
        <v>0</v>
      </c>
      <c r="CA390" s="49">
        <v>10.6</v>
      </c>
      <c r="CB390" s="59">
        <f t="shared" si="31"/>
        <v>5.5099999999999996E-2</v>
      </c>
      <c r="CC390" s="59">
        <v>0.45500000000000002</v>
      </c>
      <c r="CD390" s="59">
        <v>0.36599999999999999</v>
      </c>
      <c r="CE390" s="59">
        <v>0.1789</v>
      </c>
      <c r="CF390" s="59">
        <v>0</v>
      </c>
      <c r="CG390" s="59">
        <v>0</v>
      </c>
      <c r="CH390" s="49">
        <v>10.5</v>
      </c>
      <c r="CI390" s="39" t="s">
        <v>162</v>
      </c>
      <c r="CJ390" s="18" t="s">
        <v>479</v>
      </c>
      <c r="CK390" s="20"/>
    </row>
    <row r="391" spans="1:99" x14ac:dyDescent="0.25">
      <c r="A391" s="18" t="s">
        <v>479</v>
      </c>
      <c r="B391" s="39" t="s">
        <v>163</v>
      </c>
      <c r="C391" s="39" t="s">
        <v>164</v>
      </c>
      <c r="D391" s="40">
        <v>0</v>
      </c>
      <c r="E391" s="40">
        <v>0</v>
      </c>
      <c r="F391" s="40">
        <v>0</v>
      </c>
      <c r="G391" s="163">
        <v>0</v>
      </c>
      <c r="H391" s="163">
        <v>0</v>
      </c>
      <c r="I391" s="162" t="s">
        <v>83</v>
      </c>
      <c r="J391" s="163">
        <v>0</v>
      </c>
      <c r="K391" s="163">
        <v>0</v>
      </c>
      <c r="L391" s="163">
        <v>0</v>
      </c>
      <c r="M391" s="163">
        <v>0</v>
      </c>
      <c r="N391" s="115">
        <v>0</v>
      </c>
      <c r="O391" s="115">
        <v>0</v>
      </c>
      <c r="P391" s="115">
        <v>0</v>
      </c>
      <c r="Q391" s="115">
        <v>0</v>
      </c>
      <c r="R391" s="116" t="s">
        <v>83</v>
      </c>
      <c r="S391" s="115">
        <v>0</v>
      </c>
      <c r="T391" s="115">
        <v>0</v>
      </c>
      <c r="U391" s="115">
        <v>0</v>
      </c>
      <c r="V391" s="115">
        <v>0</v>
      </c>
      <c r="W391" s="40">
        <v>343</v>
      </c>
      <c r="X391" s="40">
        <f t="shared" si="28"/>
        <v>198</v>
      </c>
      <c r="Y391" s="40">
        <f t="shared" si="29"/>
        <v>273</v>
      </c>
      <c r="Z391" s="105">
        <v>0.49562682215743398</v>
      </c>
      <c r="AA391" s="105">
        <v>0.50437317784256597</v>
      </c>
      <c r="AB391" s="106">
        <v>0</v>
      </c>
      <c r="AC391" s="106">
        <v>0</v>
      </c>
      <c r="AD391" s="106">
        <f>219/343</f>
        <v>0.63848396501457727</v>
      </c>
      <c r="AE391" s="106">
        <f>6/343</f>
        <v>1.7492711370262391E-2</v>
      </c>
      <c r="AF391" s="106">
        <v>0</v>
      </c>
      <c r="AG391" s="106">
        <f>116/343</f>
        <v>0.33819241982507287</v>
      </c>
      <c r="AH391" s="106">
        <f>2/343</f>
        <v>5.8309037900874635E-3</v>
      </c>
      <c r="AI391" s="106">
        <f>227/343</f>
        <v>0.66180758017492713</v>
      </c>
      <c r="AJ391" s="105">
        <v>0.77842565597667635</v>
      </c>
      <c r="AK391" s="105">
        <v>0</v>
      </c>
      <c r="AL391" s="12">
        <v>31</v>
      </c>
      <c r="AM391" s="12">
        <v>44</v>
      </c>
      <c r="AN391" s="12">
        <v>0</v>
      </c>
      <c r="AO391" s="12">
        <v>55</v>
      </c>
      <c r="AP391" s="12">
        <v>52</v>
      </c>
      <c r="AQ391" s="12">
        <v>55</v>
      </c>
      <c r="AR391" s="12">
        <v>36</v>
      </c>
      <c r="AS391" s="59">
        <v>0</v>
      </c>
      <c r="AT391" s="3">
        <v>5</v>
      </c>
      <c r="AU391" s="3">
        <v>6</v>
      </c>
      <c r="AV391" s="52">
        <v>78.3</v>
      </c>
      <c r="AW391" s="52">
        <v>17.2</v>
      </c>
      <c r="AX391" s="52">
        <v>3</v>
      </c>
      <c r="AY391" s="71">
        <v>1.5</v>
      </c>
      <c r="AZ391" s="59">
        <v>0.19436619718309858</v>
      </c>
      <c r="BA391" s="59">
        <v>0.19154929577464788</v>
      </c>
      <c r="BB391" s="77">
        <v>93.425542728526807</v>
      </c>
      <c r="BC391" s="49">
        <v>42.4157303370786</v>
      </c>
      <c r="BD391" s="49">
        <v>7.1</v>
      </c>
      <c r="BE391" s="49">
        <v>2.4</v>
      </c>
      <c r="BF391" s="49">
        <v>1.9</v>
      </c>
      <c r="BG391" s="49">
        <v>2.2000000000000002</v>
      </c>
      <c r="BH391" s="49">
        <v>1.9</v>
      </c>
      <c r="BI391" s="49">
        <v>5.7</v>
      </c>
      <c r="BJ391" s="49">
        <v>17.7</v>
      </c>
      <c r="BK391" s="126">
        <v>10771</v>
      </c>
      <c r="BL391" s="126">
        <v>46462</v>
      </c>
      <c r="BM391" s="126">
        <v>47758</v>
      </c>
      <c r="BN391" s="126">
        <v>37434</v>
      </c>
      <c r="BO391" s="59">
        <v>0</v>
      </c>
      <c r="BP391" s="59">
        <v>0.28050000000000003</v>
      </c>
      <c r="BQ391" s="59">
        <v>0.22950000000000001</v>
      </c>
      <c r="BR391" s="59">
        <v>0</v>
      </c>
      <c r="BS391" s="59">
        <v>0</v>
      </c>
      <c r="BT391" s="49">
        <v>15</v>
      </c>
      <c r="BU391" s="59">
        <f t="shared" si="30"/>
        <v>0.51</v>
      </c>
      <c r="BV391" s="59">
        <v>5.0999999999999997E-2</v>
      </c>
      <c r="BW391" s="59">
        <v>0</v>
      </c>
      <c r="BX391" s="59">
        <v>5.0999999999999997E-2</v>
      </c>
      <c r="BY391" s="59">
        <v>0</v>
      </c>
      <c r="BZ391" s="59">
        <v>0</v>
      </c>
      <c r="CA391" s="49">
        <v>18.8</v>
      </c>
      <c r="CB391" s="59">
        <f t="shared" si="31"/>
        <v>0.10199999999999999</v>
      </c>
      <c r="CC391" s="59">
        <v>0.3881</v>
      </c>
      <c r="CD391" s="59">
        <v>0.28050000000000003</v>
      </c>
      <c r="CE391" s="59">
        <v>0.33139999999999997</v>
      </c>
      <c r="CF391" s="59">
        <v>0</v>
      </c>
      <c r="CG391" s="59">
        <v>0</v>
      </c>
      <c r="CH391" s="49">
        <v>16.399999999999999</v>
      </c>
      <c r="CI391" s="39" t="s">
        <v>164</v>
      </c>
      <c r="CJ391" s="18" t="s">
        <v>479</v>
      </c>
      <c r="CK391" s="20"/>
    </row>
    <row r="392" spans="1:99" x14ac:dyDescent="0.25">
      <c r="A392" s="18" t="s">
        <v>479</v>
      </c>
      <c r="B392" s="39" t="s">
        <v>163</v>
      </c>
      <c r="C392" s="39" t="s">
        <v>165</v>
      </c>
      <c r="D392" s="40">
        <v>7</v>
      </c>
      <c r="E392" s="40" t="s">
        <v>83</v>
      </c>
      <c r="F392" s="40">
        <v>7</v>
      </c>
      <c r="G392" s="162" t="s">
        <v>83</v>
      </c>
      <c r="H392" s="162" t="s">
        <v>83</v>
      </c>
      <c r="I392" s="162" t="s">
        <v>83</v>
      </c>
      <c r="J392" s="163">
        <v>0</v>
      </c>
      <c r="K392" s="163">
        <v>0</v>
      </c>
      <c r="L392" s="163">
        <v>0</v>
      </c>
      <c r="M392" s="163">
        <v>7</v>
      </c>
      <c r="N392" s="115">
        <v>3.2258064516128997E-2</v>
      </c>
      <c r="O392" s="115">
        <v>3.2258064516128997E-2</v>
      </c>
      <c r="P392" s="116" t="s">
        <v>83</v>
      </c>
      <c r="Q392" s="116" t="s">
        <v>83</v>
      </c>
      <c r="R392" s="116" t="s">
        <v>83</v>
      </c>
      <c r="S392" s="115">
        <v>0</v>
      </c>
      <c r="T392" s="115">
        <v>0</v>
      </c>
      <c r="U392" s="115">
        <v>0</v>
      </c>
      <c r="V392" s="115">
        <v>0.13207547169811301</v>
      </c>
      <c r="W392" s="40">
        <v>193</v>
      </c>
      <c r="X392" s="40">
        <f t="shared" si="28"/>
        <v>193</v>
      </c>
      <c r="Y392" s="40">
        <f t="shared" si="29"/>
        <v>193</v>
      </c>
      <c r="Z392" s="105">
        <v>0.48704663212435201</v>
      </c>
      <c r="AA392" s="105">
        <v>0.51295336787564805</v>
      </c>
      <c r="AB392" s="106">
        <f>1/193</f>
        <v>5.1813471502590676E-3</v>
      </c>
      <c r="AC392" s="106">
        <f>2/193</f>
        <v>1.0362694300518135E-2</v>
      </c>
      <c r="AD392" s="106">
        <f>158/193</f>
        <v>0.81865284974093266</v>
      </c>
      <c r="AE392" s="106">
        <f>6/193</f>
        <v>3.1088082901554404E-2</v>
      </c>
      <c r="AF392" s="106">
        <v>0</v>
      </c>
      <c r="AG392" s="106">
        <f>26/193</f>
        <v>0.13471502590673576</v>
      </c>
      <c r="AH392" s="106">
        <v>0</v>
      </c>
      <c r="AI392" s="106">
        <f>167/193</f>
        <v>0.86528497409326421</v>
      </c>
      <c r="AJ392" s="105">
        <v>0.85492227979274615</v>
      </c>
      <c r="AK392" s="105">
        <v>1.55440414507772E-2</v>
      </c>
      <c r="AL392" s="12">
        <v>0</v>
      </c>
      <c r="AM392" s="12">
        <v>0</v>
      </c>
      <c r="AN392" s="12">
        <v>0</v>
      </c>
      <c r="AO392" s="12">
        <v>49</v>
      </c>
      <c r="AP392" s="12">
        <v>50</v>
      </c>
      <c r="AQ392" s="12">
        <v>52</v>
      </c>
      <c r="AR392" s="12">
        <v>42</v>
      </c>
      <c r="AS392" s="59">
        <v>0</v>
      </c>
      <c r="AT392" s="3">
        <v>9</v>
      </c>
      <c r="AU392" s="3">
        <v>6</v>
      </c>
      <c r="AV392" s="52">
        <v>88</v>
      </c>
      <c r="AW392" s="52">
        <v>7.5</v>
      </c>
      <c r="AX392" s="52">
        <v>4.5</v>
      </c>
      <c r="AY392" s="70">
        <v>0</v>
      </c>
      <c r="AZ392" s="59">
        <v>3.2710280373831772E-2</v>
      </c>
      <c r="BA392" s="59">
        <v>0.23364485981308411</v>
      </c>
      <c r="BB392" s="78">
        <v>90.434249580591</v>
      </c>
      <c r="BC392" s="49">
        <v>35.514018691588802</v>
      </c>
      <c r="BD392" s="90" t="s">
        <v>83</v>
      </c>
      <c r="BE392" s="90" t="s">
        <v>83</v>
      </c>
      <c r="BF392" s="49">
        <v>2.2000000000000002</v>
      </c>
      <c r="BG392" s="49">
        <v>0</v>
      </c>
      <c r="BH392" s="49">
        <v>0</v>
      </c>
      <c r="BI392" s="49">
        <v>5.4</v>
      </c>
      <c r="BJ392" s="49">
        <v>16.2</v>
      </c>
      <c r="BK392" s="126">
        <v>14868</v>
      </c>
      <c r="BL392" s="126">
        <v>48187</v>
      </c>
      <c r="BM392" s="126">
        <v>56749</v>
      </c>
      <c r="BN392" s="126">
        <v>34063</v>
      </c>
      <c r="BO392" s="59">
        <v>0</v>
      </c>
      <c r="BP392" s="59">
        <v>0.27710000000000001</v>
      </c>
      <c r="BQ392" s="59">
        <v>0.1007</v>
      </c>
      <c r="BR392" s="59">
        <v>0</v>
      </c>
      <c r="BS392" s="59">
        <v>0</v>
      </c>
      <c r="BT392" s="49">
        <v>13.3</v>
      </c>
      <c r="BU392" s="59">
        <f t="shared" si="30"/>
        <v>0.37780000000000002</v>
      </c>
      <c r="BV392" s="59">
        <v>0</v>
      </c>
      <c r="BW392" s="59">
        <v>2.52E-2</v>
      </c>
      <c r="BX392" s="59">
        <v>5.0299999999999997E-2</v>
      </c>
      <c r="BY392" s="59">
        <v>0</v>
      </c>
      <c r="BZ392" s="59">
        <v>0</v>
      </c>
      <c r="CA392" s="49">
        <v>19.3</v>
      </c>
      <c r="CB392" s="59">
        <f t="shared" si="31"/>
        <v>7.5499999999999998E-2</v>
      </c>
      <c r="CC392" s="59">
        <v>0.47149999999999997</v>
      </c>
      <c r="CD392" s="59">
        <v>0.35239999999999999</v>
      </c>
      <c r="CE392" s="59">
        <v>0.1762</v>
      </c>
      <c r="CF392" s="59">
        <v>0</v>
      </c>
      <c r="CG392" s="59">
        <v>0</v>
      </c>
      <c r="CH392" s="49">
        <v>16.600000000000001</v>
      </c>
      <c r="CI392" s="39" t="s">
        <v>165</v>
      </c>
      <c r="CJ392" s="18" t="s">
        <v>479</v>
      </c>
      <c r="CK392" s="20"/>
    </row>
    <row r="393" spans="1:99" x14ac:dyDescent="0.25">
      <c r="A393" s="18" t="s">
        <v>479</v>
      </c>
      <c r="B393" s="39" t="s">
        <v>163</v>
      </c>
      <c r="C393" s="39" t="s">
        <v>166</v>
      </c>
      <c r="D393" s="40">
        <v>0</v>
      </c>
      <c r="E393" s="40">
        <v>0</v>
      </c>
      <c r="F393" s="40">
        <v>0</v>
      </c>
      <c r="G393" s="163">
        <v>0</v>
      </c>
      <c r="H393" s="163">
        <v>0</v>
      </c>
      <c r="I393" s="163">
        <v>0</v>
      </c>
      <c r="J393" s="163">
        <v>0</v>
      </c>
      <c r="K393" s="163">
        <v>0</v>
      </c>
      <c r="L393" s="163">
        <v>0</v>
      </c>
      <c r="M393" s="163">
        <v>0</v>
      </c>
      <c r="N393" s="115">
        <v>0</v>
      </c>
      <c r="O393" s="115">
        <v>0</v>
      </c>
      <c r="P393" s="115">
        <v>0</v>
      </c>
      <c r="Q393" s="115">
        <v>0</v>
      </c>
      <c r="R393" s="115">
        <v>0</v>
      </c>
      <c r="S393" s="115">
        <v>0</v>
      </c>
      <c r="T393" s="115">
        <v>0</v>
      </c>
      <c r="U393" s="115">
        <v>0</v>
      </c>
      <c r="V393" s="115">
        <v>0</v>
      </c>
      <c r="W393" s="40">
        <v>282</v>
      </c>
      <c r="X393" s="40">
        <f t="shared" si="28"/>
        <v>87</v>
      </c>
      <c r="Y393" s="40">
        <f t="shared" si="29"/>
        <v>130</v>
      </c>
      <c r="Z393" s="105">
        <v>0.57092198581560305</v>
      </c>
      <c r="AA393" s="105">
        <v>0.42907801418439701</v>
      </c>
      <c r="AB393" s="106">
        <f>1/282</f>
        <v>3.5460992907801418E-3</v>
      </c>
      <c r="AC393" s="106">
        <f>1/282</f>
        <v>3.5460992907801418E-3</v>
      </c>
      <c r="AD393" s="106">
        <f>112/282</f>
        <v>0.3971631205673759</v>
      </c>
      <c r="AE393" s="106">
        <f>1/282</f>
        <v>3.5460992907801418E-3</v>
      </c>
      <c r="AF393" s="106">
        <v>0</v>
      </c>
      <c r="AG393" s="106">
        <f>165/282</f>
        <v>0.58510638297872342</v>
      </c>
      <c r="AH393" s="106">
        <f>2/282</f>
        <v>7.0921985815602835E-3</v>
      </c>
      <c r="AI393" s="106">
        <f>117/282</f>
        <v>0.41489361702127658</v>
      </c>
      <c r="AJ393" s="105">
        <v>0.62411347517730498</v>
      </c>
      <c r="AK393" s="105">
        <v>0</v>
      </c>
      <c r="AL393" s="12">
        <v>20</v>
      </c>
      <c r="AM393" s="12">
        <v>23</v>
      </c>
      <c r="AN393" s="12">
        <v>1</v>
      </c>
      <c r="AO393" s="12">
        <v>20</v>
      </c>
      <c r="AP393" s="12">
        <v>21</v>
      </c>
      <c r="AQ393" s="12">
        <v>22</v>
      </c>
      <c r="AR393" s="12">
        <v>23</v>
      </c>
      <c r="AS393" s="59">
        <v>4.7619047619047616E-2</v>
      </c>
      <c r="AT393" s="3">
        <v>1</v>
      </c>
      <c r="AU393" s="3">
        <v>6</v>
      </c>
      <c r="AV393" s="52">
        <v>82.7</v>
      </c>
      <c r="AW393" s="52">
        <v>17.3</v>
      </c>
      <c r="AX393" s="53">
        <v>0</v>
      </c>
      <c r="AY393" s="70">
        <v>0</v>
      </c>
      <c r="AZ393" s="59">
        <v>0</v>
      </c>
      <c r="BA393" s="59">
        <v>9.9678456591639875E-2</v>
      </c>
      <c r="BB393" s="77">
        <v>94.895584004918902</v>
      </c>
      <c r="BC393" s="49">
        <v>16.8965517241379</v>
      </c>
      <c r="BD393" s="49">
        <v>5.3</v>
      </c>
      <c r="BE393" s="49">
        <v>0</v>
      </c>
      <c r="BF393" s="49">
        <v>0</v>
      </c>
      <c r="BG393" s="49">
        <v>0</v>
      </c>
      <c r="BH393" s="49">
        <v>0</v>
      </c>
      <c r="BI393" s="49">
        <v>0</v>
      </c>
      <c r="BJ393" s="49">
        <v>17.8</v>
      </c>
      <c r="BK393" s="126">
        <v>11725</v>
      </c>
      <c r="BL393" s="126">
        <v>48840</v>
      </c>
      <c r="BM393" s="126">
        <v>49248</v>
      </c>
      <c r="BN393" s="126">
        <v>39083</v>
      </c>
      <c r="BO393" s="59">
        <v>0</v>
      </c>
      <c r="BP393" s="59">
        <v>0.32350000000000001</v>
      </c>
      <c r="BQ393" s="59">
        <v>0.2059</v>
      </c>
      <c r="BR393" s="59">
        <v>0</v>
      </c>
      <c r="BS393" s="59">
        <v>0</v>
      </c>
      <c r="BT393" s="49">
        <v>22.3</v>
      </c>
      <c r="BU393" s="59">
        <f t="shared" si="30"/>
        <v>0.52939999999999998</v>
      </c>
      <c r="BV393" s="59">
        <v>0</v>
      </c>
      <c r="BW393" s="59">
        <v>2.9399999999999999E-2</v>
      </c>
      <c r="BX393" s="59">
        <v>2.9399999999999999E-2</v>
      </c>
      <c r="BY393" s="59">
        <v>0</v>
      </c>
      <c r="BZ393" s="59">
        <v>0</v>
      </c>
      <c r="CA393" s="49">
        <v>18.5</v>
      </c>
      <c r="CB393" s="59">
        <f t="shared" si="31"/>
        <v>5.8799999999999998E-2</v>
      </c>
      <c r="CC393" s="59">
        <v>0.38240000000000002</v>
      </c>
      <c r="CD393" s="59">
        <v>0.35289999999999999</v>
      </c>
      <c r="CE393" s="59">
        <v>0.26469999999999999</v>
      </c>
      <c r="CF393" s="59">
        <v>0</v>
      </c>
      <c r="CG393" s="59">
        <v>0</v>
      </c>
      <c r="CH393" s="49">
        <v>20</v>
      </c>
      <c r="CI393" s="39" t="s">
        <v>166</v>
      </c>
      <c r="CJ393" s="18" t="s">
        <v>479</v>
      </c>
      <c r="CK393" s="20"/>
    </row>
    <row r="394" spans="1:99" x14ac:dyDescent="0.25">
      <c r="A394" s="18" t="s">
        <v>479</v>
      </c>
      <c r="B394" s="39" t="s">
        <v>167</v>
      </c>
      <c r="C394" s="39" t="s">
        <v>168</v>
      </c>
      <c r="D394" s="40">
        <v>12</v>
      </c>
      <c r="E394" s="40" t="s">
        <v>83</v>
      </c>
      <c r="F394" s="40">
        <v>12</v>
      </c>
      <c r="G394" s="162" t="s">
        <v>83</v>
      </c>
      <c r="H394" s="162" t="s">
        <v>83</v>
      </c>
      <c r="I394" s="163">
        <v>1</v>
      </c>
      <c r="J394" s="163">
        <v>8</v>
      </c>
      <c r="K394" s="163">
        <v>0</v>
      </c>
      <c r="L394" s="163">
        <v>2</v>
      </c>
      <c r="M394" s="163">
        <v>1</v>
      </c>
      <c r="N394" s="115">
        <v>3.4782608695652202E-2</v>
      </c>
      <c r="O394" s="115">
        <v>3.4782608695652202E-2</v>
      </c>
      <c r="P394" s="116" t="s">
        <v>83</v>
      </c>
      <c r="Q394" s="116" t="s">
        <v>83</v>
      </c>
      <c r="R394" s="115">
        <v>6.6666666666666693E-2</v>
      </c>
      <c r="S394" s="115">
        <v>6.7226890756302504E-2</v>
      </c>
      <c r="T394" s="115">
        <v>0</v>
      </c>
      <c r="U394" s="115">
        <v>2.3809523809523801E-2</v>
      </c>
      <c r="V394" s="115">
        <v>1.9230769230769201E-2</v>
      </c>
      <c r="W394" s="40">
        <v>311</v>
      </c>
      <c r="X394" s="40">
        <f t="shared" si="28"/>
        <v>311</v>
      </c>
      <c r="Y394" s="40">
        <f t="shared" si="29"/>
        <v>311</v>
      </c>
      <c r="Z394" s="105">
        <v>0.50803858520900302</v>
      </c>
      <c r="AA394" s="105">
        <v>0.49196141479099698</v>
      </c>
      <c r="AB394" s="106">
        <v>0</v>
      </c>
      <c r="AC394" s="106">
        <v>0</v>
      </c>
      <c r="AD394" s="106">
        <f>292/311</f>
        <v>0.93890675241157562</v>
      </c>
      <c r="AE394" s="106">
        <f>3/311</f>
        <v>9.6463022508038593E-3</v>
      </c>
      <c r="AF394" s="106">
        <v>0</v>
      </c>
      <c r="AG394" s="106">
        <f>13/311</f>
        <v>4.1800643086816719E-2</v>
      </c>
      <c r="AH394" s="106">
        <f>3/311</f>
        <v>9.6463022508038593E-3</v>
      </c>
      <c r="AI394" s="106">
        <f>298/311</f>
        <v>0.95819935691318325</v>
      </c>
      <c r="AJ394" s="105">
        <v>0.909967845659164</v>
      </c>
      <c r="AK394" s="105">
        <v>6.4308681672025697E-3</v>
      </c>
      <c r="AL394" s="12">
        <v>0</v>
      </c>
      <c r="AM394" s="12">
        <v>0</v>
      </c>
      <c r="AN394" s="12">
        <v>15</v>
      </c>
      <c r="AO394" s="12">
        <v>99</v>
      </c>
      <c r="AP394" s="12">
        <v>70</v>
      </c>
      <c r="AQ394" s="12">
        <v>77</v>
      </c>
      <c r="AR394" s="12">
        <v>50</v>
      </c>
      <c r="AS394" s="59">
        <v>0.13157894736842105</v>
      </c>
      <c r="AT394" s="3">
        <v>9</v>
      </c>
      <c r="AU394" s="3">
        <v>6</v>
      </c>
      <c r="AV394" s="52">
        <v>77</v>
      </c>
      <c r="AW394" s="52">
        <v>21.6</v>
      </c>
      <c r="AX394" s="52">
        <v>1.4</v>
      </c>
      <c r="AY394" s="70">
        <v>0</v>
      </c>
      <c r="AZ394" s="59">
        <v>5.2631578947368418E-2</v>
      </c>
      <c r="BA394" s="59">
        <v>0.2982456140350877</v>
      </c>
      <c r="BB394" s="78">
        <v>92.941532868827593</v>
      </c>
      <c r="BC394" s="49">
        <v>47.813411078717202</v>
      </c>
      <c r="BD394" s="90" t="s">
        <v>83</v>
      </c>
      <c r="BE394" s="90" t="s">
        <v>83</v>
      </c>
      <c r="BF394" s="49">
        <v>1.2</v>
      </c>
      <c r="BG394" s="49">
        <v>0</v>
      </c>
      <c r="BH394" s="49">
        <v>0</v>
      </c>
      <c r="BI394" s="49">
        <v>0</v>
      </c>
      <c r="BJ394" s="49">
        <v>16.3</v>
      </c>
      <c r="BK394" s="126">
        <v>11600</v>
      </c>
      <c r="BL394" s="126">
        <v>46081</v>
      </c>
      <c r="BM394" s="126">
        <v>47298</v>
      </c>
      <c r="BN394" s="126">
        <v>36815</v>
      </c>
      <c r="BO394" s="59">
        <v>0</v>
      </c>
      <c r="BP394" s="59">
        <v>0.28989999999999999</v>
      </c>
      <c r="BQ394" s="59">
        <v>0.25040000000000001</v>
      </c>
      <c r="BR394" s="59">
        <v>0</v>
      </c>
      <c r="BS394" s="59">
        <v>0</v>
      </c>
      <c r="BT394" s="49">
        <v>17.5</v>
      </c>
      <c r="BU394" s="59">
        <f t="shared" si="30"/>
        <v>0.5403</v>
      </c>
      <c r="BV394" s="59">
        <v>0</v>
      </c>
      <c r="BW394" s="59">
        <v>2.3800000000000002E-2</v>
      </c>
      <c r="BX394" s="59">
        <v>4.9299999999999997E-2</v>
      </c>
      <c r="BY394" s="59">
        <v>0</v>
      </c>
      <c r="BZ394" s="59">
        <v>0</v>
      </c>
      <c r="CA394" s="49">
        <v>15.4</v>
      </c>
      <c r="CB394" s="59">
        <f t="shared" si="31"/>
        <v>7.3099999999999998E-2</v>
      </c>
      <c r="CC394" s="59">
        <v>0.33389999999999997</v>
      </c>
      <c r="CD394" s="59">
        <v>0.3417</v>
      </c>
      <c r="CE394" s="59">
        <v>0.32429999999999998</v>
      </c>
      <c r="CF394" s="59">
        <v>0</v>
      </c>
      <c r="CG394" s="59">
        <v>0</v>
      </c>
      <c r="CH394" s="49">
        <v>15.2</v>
      </c>
      <c r="CI394" s="39" t="s">
        <v>168</v>
      </c>
      <c r="CJ394" s="18" t="s">
        <v>479</v>
      </c>
      <c r="CK394" s="20"/>
    </row>
    <row r="395" spans="1:99" x14ac:dyDescent="0.25">
      <c r="A395" s="18" t="s">
        <v>479</v>
      </c>
      <c r="B395" s="39" t="s">
        <v>167</v>
      </c>
      <c r="C395" s="39" t="s">
        <v>169</v>
      </c>
      <c r="D395" s="40">
        <v>2</v>
      </c>
      <c r="E395" s="40">
        <v>0</v>
      </c>
      <c r="F395" s="40">
        <v>2</v>
      </c>
      <c r="G395" s="163">
        <v>0</v>
      </c>
      <c r="H395" s="163">
        <v>0</v>
      </c>
      <c r="I395" s="163">
        <v>0</v>
      </c>
      <c r="J395" s="163">
        <v>0</v>
      </c>
      <c r="K395" s="163">
        <v>0</v>
      </c>
      <c r="L395" s="163">
        <v>1</v>
      </c>
      <c r="M395" s="163">
        <v>1</v>
      </c>
      <c r="N395" s="115">
        <v>9.9502487562189105E-3</v>
      </c>
      <c r="O395" s="115">
        <v>1.5151515151515201E-2</v>
      </c>
      <c r="P395" s="115">
        <v>0</v>
      </c>
      <c r="Q395" s="115">
        <v>0</v>
      </c>
      <c r="R395" s="115">
        <v>0</v>
      </c>
      <c r="S395" s="115">
        <v>0</v>
      </c>
      <c r="T395" s="115">
        <v>0</v>
      </c>
      <c r="U395" s="115">
        <v>2.4390243902439001E-2</v>
      </c>
      <c r="V395" s="115">
        <v>3.3333333333333298E-2</v>
      </c>
      <c r="W395" s="40">
        <v>464</v>
      </c>
      <c r="X395" s="40">
        <f t="shared" si="28"/>
        <v>123</v>
      </c>
      <c r="Y395" s="40">
        <f t="shared" si="29"/>
        <v>188</v>
      </c>
      <c r="Z395" s="105">
        <v>0.47198275862069</v>
      </c>
      <c r="AA395" s="105">
        <v>0.52801724137931005</v>
      </c>
      <c r="AB395" s="106">
        <f>4/464</f>
        <v>8.6206896551724137E-3</v>
      </c>
      <c r="AC395" s="106">
        <v>0</v>
      </c>
      <c r="AD395" s="106">
        <f>5/464</f>
        <v>1.0775862068965518E-2</v>
      </c>
      <c r="AE395" s="106">
        <f>3/464</f>
        <v>6.4655172413793103E-3</v>
      </c>
      <c r="AF395" s="106">
        <v>0</v>
      </c>
      <c r="AG395" s="106">
        <f>451/464</f>
        <v>0.97198275862068961</v>
      </c>
      <c r="AH395" s="106">
        <f>1/464</f>
        <v>2.1551724137931034E-3</v>
      </c>
      <c r="AI395" s="106">
        <f>13/464</f>
        <v>2.8017241379310345E-2</v>
      </c>
      <c r="AJ395" s="105">
        <v>0.49784482758620691</v>
      </c>
      <c r="AK395" s="105">
        <v>6.4655172413793103E-3</v>
      </c>
      <c r="AL395" s="12">
        <v>31</v>
      </c>
      <c r="AM395" s="12">
        <v>34</v>
      </c>
      <c r="AN395" s="12">
        <v>1</v>
      </c>
      <c r="AO395" s="12">
        <v>25</v>
      </c>
      <c r="AP395" s="12">
        <v>31</v>
      </c>
      <c r="AQ395" s="12">
        <v>38</v>
      </c>
      <c r="AR395" s="12">
        <v>28</v>
      </c>
      <c r="AS395" s="59">
        <v>3.8461538461538464E-2</v>
      </c>
      <c r="AT395" s="3">
        <v>1</v>
      </c>
      <c r="AU395" s="3">
        <v>6</v>
      </c>
      <c r="AV395" s="52">
        <v>88.3</v>
      </c>
      <c r="AW395" s="52">
        <v>8.3000000000000007</v>
      </c>
      <c r="AX395" s="52">
        <v>1</v>
      </c>
      <c r="AY395" s="71">
        <v>2.4</v>
      </c>
      <c r="AZ395" s="59">
        <v>0.12804878048780488</v>
      </c>
      <c r="BA395" s="59">
        <v>4.6747967479674794E-2</v>
      </c>
      <c r="BB395" s="77">
        <v>95.219182475269506</v>
      </c>
      <c r="BC395" s="49">
        <v>26.3269639065817</v>
      </c>
      <c r="BD395" s="49">
        <v>12.5</v>
      </c>
      <c r="BE395" s="49">
        <v>2.9</v>
      </c>
      <c r="BF395" s="49">
        <v>0</v>
      </c>
      <c r="BG395" s="49">
        <v>0</v>
      </c>
      <c r="BH395" s="49">
        <v>0</v>
      </c>
      <c r="BI395" s="49">
        <v>0</v>
      </c>
      <c r="BJ395" s="49">
        <v>19.399999999999999</v>
      </c>
      <c r="BK395" s="126">
        <v>10593</v>
      </c>
      <c r="BL395" s="126">
        <v>46025</v>
      </c>
      <c r="BM395" s="126">
        <v>51283</v>
      </c>
      <c r="BN395" s="126">
        <v>38364</v>
      </c>
      <c r="BO395" s="59">
        <v>0</v>
      </c>
      <c r="BP395" s="59">
        <v>0.40289999999999998</v>
      </c>
      <c r="BQ395" s="59">
        <v>0.2195</v>
      </c>
      <c r="BR395" s="59">
        <v>0</v>
      </c>
      <c r="BS395" s="59">
        <v>0</v>
      </c>
      <c r="BT395" s="49">
        <v>22.2</v>
      </c>
      <c r="BU395" s="59">
        <f t="shared" si="30"/>
        <v>0.62239999999999995</v>
      </c>
      <c r="BV395" s="59">
        <v>0</v>
      </c>
      <c r="BW395" s="59">
        <v>1.8499999999999999E-2</v>
      </c>
      <c r="BX395" s="59">
        <v>2.5399999999999999E-2</v>
      </c>
      <c r="BY395" s="59">
        <v>0</v>
      </c>
      <c r="BZ395" s="59">
        <v>0</v>
      </c>
      <c r="CA395" s="49">
        <v>17</v>
      </c>
      <c r="CB395" s="59">
        <f t="shared" si="31"/>
        <v>4.3899999999999995E-2</v>
      </c>
      <c r="CC395" s="59">
        <v>0.27250000000000002</v>
      </c>
      <c r="CD395" s="59">
        <v>0.45750000000000002</v>
      </c>
      <c r="CE395" s="59">
        <v>0.27</v>
      </c>
      <c r="CF395" s="59">
        <v>0</v>
      </c>
      <c r="CG395" s="59">
        <v>0</v>
      </c>
      <c r="CH395" s="49">
        <v>19.7</v>
      </c>
      <c r="CI395" s="39" t="s">
        <v>169</v>
      </c>
      <c r="CJ395" s="18" t="s">
        <v>479</v>
      </c>
      <c r="CK395" s="20"/>
    </row>
    <row r="396" spans="1:99" ht="15.75" thickBot="1" x14ac:dyDescent="0.3">
      <c r="A396" s="18" t="s">
        <v>479</v>
      </c>
      <c r="B396" s="39" t="s">
        <v>167</v>
      </c>
      <c r="C396" s="39" t="s">
        <v>170</v>
      </c>
      <c r="D396" s="40">
        <v>11</v>
      </c>
      <c r="E396" s="40" t="s">
        <v>83</v>
      </c>
      <c r="F396" s="40">
        <v>11</v>
      </c>
      <c r="G396" s="162" t="s">
        <v>83</v>
      </c>
      <c r="H396" s="162" t="s">
        <v>83</v>
      </c>
      <c r="I396" s="163">
        <v>0</v>
      </c>
      <c r="J396" s="163">
        <v>6</v>
      </c>
      <c r="K396" s="163">
        <v>2</v>
      </c>
      <c r="L396" s="163">
        <v>2</v>
      </c>
      <c r="M396" s="163">
        <v>1</v>
      </c>
      <c r="N396" s="115">
        <v>2.3206751054852301E-2</v>
      </c>
      <c r="O396" s="115">
        <v>2.3206751054852301E-2</v>
      </c>
      <c r="P396" s="116" t="s">
        <v>83</v>
      </c>
      <c r="Q396" s="116" t="s">
        <v>83</v>
      </c>
      <c r="R396" s="115">
        <v>0</v>
      </c>
      <c r="S396" s="115">
        <v>4.3795620437956199E-2</v>
      </c>
      <c r="T396" s="115">
        <v>1.72413793103448E-2</v>
      </c>
      <c r="U396" s="115">
        <v>1.86915887850467E-2</v>
      </c>
      <c r="V396" s="115">
        <v>9.6153846153846194E-3</v>
      </c>
      <c r="W396" s="40">
        <v>427</v>
      </c>
      <c r="X396" s="40">
        <f t="shared" si="28"/>
        <v>427</v>
      </c>
      <c r="Y396" s="40">
        <f t="shared" si="29"/>
        <v>427</v>
      </c>
      <c r="Z396" s="105">
        <v>0.44730679156908698</v>
      </c>
      <c r="AA396" s="105">
        <v>0.55269320843091296</v>
      </c>
      <c r="AB396" s="106">
        <f>1/427</f>
        <v>2.34192037470726E-3</v>
      </c>
      <c r="AC396" s="106">
        <f>3/427</f>
        <v>7.0257611241217799E-3</v>
      </c>
      <c r="AD396" s="106">
        <f>155/427</f>
        <v>0.36299765807962531</v>
      </c>
      <c r="AE396" s="106">
        <f>13/427</f>
        <v>3.0444964871194378E-2</v>
      </c>
      <c r="AF396" s="106">
        <v>0</v>
      </c>
      <c r="AG396" s="106">
        <f>244/427</f>
        <v>0.5714285714285714</v>
      </c>
      <c r="AH396" s="106">
        <f>11/427</f>
        <v>2.576112412177986E-2</v>
      </c>
      <c r="AI396" s="106">
        <f>183/427</f>
        <v>0.42857142857142855</v>
      </c>
      <c r="AJ396" s="105">
        <v>0.54332552693208436</v>
      </c>
      <c r="AK396" s="105">
        <v>2.1077283372365301E-2</v>
      </c>
      <c r="AL396" s="12">
        <v>0</v>
      </c>
      <c r="AM396" s="12">
        <v>0</v>
      </c>
      <c r="AN396" s="12">
        <v>9</v>
      </c>
      <c r="AO396" s="12">
        <v>111</v>
      </c>
      <c r="AP396" s="12">
        <v>106</v>
      </c>
      <c r="AQ396" s="12">
        <v>99</v>
      </c>
      <c r="AR396" s="12">
        <v>102</v>
      </c>
      <c r="AS396" s="59">
        <v>7.4999999999999997E-2</v>
      </c>
      <c r="AT396" s="3">
        <v>9</v>
      </c>
      <c r="AU396" s="3">
        <v>6</v>
      </c>
      <c r="AV396" s="52">
        <v>70.7</v>
      </c>
      <c r="AW396" s="52">
        <v>27.4</v>
      </c>
      <c r="AX396" s="52">
        <v>1.9</v>
      </c>
      <c r="AY396" s="70">
        <v>0</v>
      </c>
      <c r="AZ396" s="59">
        <v>4.2553191489361703E-3</v>
      </c>
      <c r="BA396" s="59">
        <v>0.15319148936170213</v>
      </c>
      <c r="BB396" s="78">
        <v>92.790647472307995</v>
      </c>
      <c r="BC396" s="49">
        <v>41.489361702127702</v>
      </c>
      <c r="BD396" s="90" t="s">
        <v>83</v>
      </c>
      <c r="BE396" s="90" t="s">
        <v>83</v>
      </c>
      <c r="BF396" s="49">
        <v>10.7</v>
      </c>
      <c r="BG396" s="49">
        <v>2.2000000000000002</v>
      </c>
      <c r="BH396" s="49">
        <v>1.1000000000000001</v>
      </c>
      <c r="BI396" s="49">
        <v>2</v>
      </c>
      <c r="BJ396" s="49">
        <v>19.899999999999999</v>
      </c>
      <c r="BK396" s="126">
        <v>10327</v>
      </c>
      <c r="BL396" s="126">
        <v>42774</v>
      </c>
      <c r="BM396" s="126">
        <v>53741</v>
      </c>
      <c r="BN396" s="126">
        <v>37643</v>
      </c>
      <c r="BO396" s="59">
        <v>0</v>
      </c>
      <c r="BP396" s="59">
        <v>0.3654</v>
      </c>
      <c r="BQ396" s="59">
        <v>0.1908</v>
      </c>
      <c r="BR396" s="59">
        <v>0</v>
      </c>
      <c r="BS396" s="59">
        <v>0</v>
      </c>
      <c r="BT396" s="49">
        <v>14.9</v>
      </c>
      <c r="BU396" s="59">
        <f t="shared" si="30"/>
        <v>0.55620000000000003</v>
      </c>
      <c r="BV396" s="59">
        <v>2.47E-2</v>
      </c>
      <c r="BW396" s="59">
        <v>0</v>
      </c>
      <c r="BX396" s="59">
        <v>7.7399999999999997E-2</v>
      </c>
      <c r="BY396" s="59">
        <v>0</v>
      </c>
      <c r="BZ396" s="59">
        <v>0</v>
      </c>
      <c r="CA396" s="49">
        <v>25.9</v>
      </c>
      <c r="CB396" s="59">
        <f t="shared" si="31"/>
        <v>0.1021</v>
      </c>
      <c r="CC396" s="59">
        <v>0.28289999999999998</v>
      </c>
      <c r="CD396" s="59">
        <v>0.36670000000000003</v>
      </c>
      <c r="CE396" s="59">
        <v>0.35039999999999999</v>
      </c>
      <c r="CF396" s="59">
        <v>0</v>
      </c>
      <c r="CG396" s="59">
        <v>0</v>
      </c>
      <c r="CH396" s="49">
        <v>16.2</v>
      </c>
      <c r="CI396" s="39" t="s">
        <v>170</v>
      </c>
      <c r="CJ396" s="18" t="s">
        <v>479</v>
      </c>
      <c r="CK396" s="20"/>
    </row>
    <row r="397" spans="1:99" s="1" customFormat="1" ht="21" customHeight="1" x14ac:dyDescent="0.25">
      <c r="A397" s="21" t="s">
        <v>0</v>
      </c>
      <c r="B397" s="22" t="s">
        <v>1</v>
      </c>
      <c r="C397" s="22" t="s">
        <v>2</v>
      </c>
      <c r="D397" s="9" t="s">
        <v>3</v>
      </c>
      <c r="E397" s="9" t="s">
        <v>4</v>
      </c>
      <c r="F397" s="9" t="s">
        <v>5</v>
      </c>
      <c r="G397" s="161" t="s">
        <v>565</v>
      </c>
      <c r="H397" s="161" t="s">
        <v>566</v>
      </c>
      <c r="I397" s="161" t="s">
        <v>567</v>
      </c>
      <c r="J397" s="161" t="s">
        <v>568</v>
      </c>
      <c r="K397" s="161" t="s">
        <v>569</v>
      </c>
      <c r="L397" s="161" t="s">
        <v>570</v>
      </c>
      <c r="M397" s="161" t="s">
        <v>571</v>
      </c>
      <c r="N397" s="120" t="s">
        <v>6</v>
      </c>
      <c r="O397" s="120" t="s">
        <v>7</v>
      </c>
      <c r="P397" s="120" t="s">
        <v>8</v>
      </c>
      <c r="Q397" s="120" t="s">
        <v>9</v>
      </c>
      <c r="R397" s="120" t="s">
        <v>10</v>
      </c>
      <c r="S397" s="120" t="s">
        <v>11</v>
      </c>
      <c r="T397" s="120" t="s">
        <v>12</v>
      </c>
      <c r="U397" s="120" t="s">
        <v>13</v>
      </c>
      <c r="V397" s="120" t="s">
        <v>14</v>
      </c>
      <c r="W397" s="41" t="s">
        <v>15</v>
      </c>
      <c r="X397" s="41" t="s">
        <v>16</v>
      </c>
      <c r="Y397" s="41" t="s">
        <v>17</v>
      </c>
      <c r="Z397" s="107" t="s">
        <v>18</v>
      </c>
      <c r="AA397" s="107" t="s">
        <v>19</v>
      </c>
      <c r="AB397" s="95" t="s">
        <v>20</v>
      </c>
      <c r="AC397" s="95" t="s">
        <v>21</v>
      </c>
      <c r="AD397" s="95" t="s">
        <v>22</v>
      </c>
      <c r="AE397" s="95" t="s">
        <v>23</v>
      </c>
      <c r="AF397" s="95" t="s">
        <v>24</v>
      </c>
      <c r="AG397" s="95" t="s">
        <v>25</v>
      </c>
      <c r="AH397" s="95" t="s">
        <v>26</v>
      </c>
      <c r="AI397" s="95" t="s">
        <v>27</v>
      </c>
      <c r="AJ397" s="95" t="s">
        <v>28</v>
      </c>
      <c r="AK397" s="107" t="s">
        <v>29</v>
      </c>
      <c r="AL397" s="42" t="s">
        <v>30</v>
      </c>
      <c r="AM397" s="42" t="s">
        <v>31</v>
      </c>
      <c r="AN397" s="42" t="s">
        <v>32</v>
      </c>
      <c r="AO397" s="42" t="s">
        <v>33</v>
      </c>
      <c r="AP397" s="42" t="s">
        <v>34</v>
      </c>
      <c r="AQ397" s="42" t="s">
        <v>35</v>
      </c>
      <c r="AR397" s="42" t="s">
        <v>36</v>
      </c>
      <c r="AS397" s="100" t="s">
        <v>37</v>
      </c>
      <c r="AT397" s="41" t="s">
        <v>38</v>
      </c>
      <c r="AU397" s="23" t="s">
        <v>39</v>
      </c>
      <c r="AV397" s="51" t="s">
        <v>40</v>
      </c>
      <c r="AW397" s="51" t="s">
        <v>41</v>
      </c>
      <c r="AX397" s="51" t="s">
        <v>42</v>
      </c>
      <c r="AY397" s="66" t="s">
        <v>43</v>
      </c>
      <c r="AZ397" s="58" t="s">
        <v>44</v>
      </c>
      <c r="BA397" s="58" t="s">
        <v>45</v>
      </c>
      <c r="BB397" s="75" t="s">
        <v>46</v>
      </c>
      <c r="BC397" s="83" t="s">
        <v>47</v>
      </c>
      <c r="BD397" s="89" t="s">
        <v>48</v>
      </c>
      <c r="BE397" s="89" t="s">
        <v>49</v>
      </c>
      <c r="BF397" s="89" t="s">
        <v>50</v>
      </c>
      <c r="BG397" s="89" t="s">
        <v>51</v>
      </c>
      <c r="BH397" s="89" t="s">
        <v>52</v>
      </c>
      <c r="BI397" s="89" t="s">
        <v>53</v>
      </c>
      <c r="BJ397" s="86" t="s">
        <v>54</v>
      </c>
      <c r="BK397" s="127" t="s">
        <v>55</v>
      </c>
      <c r="BL397" s="127" t="s">
        <v>56</v>
      </c>
      <c r="BM397" s="127" t="s">
        <v>57</v>
      </c>
      <c r="BN397" s="127" t="s">
        <v>58</v>
      </c>
      <c r="BO397" s="131" t="s">
        <v>59</v>
      </c>
      <c r="BP397" s="131" t="s">
        <v>60</v>
      </c>
      <c r="BQ397" s="131" t="s">
        <v>61</v>
      </c>
      <c r="BR397" s="131" t="s">
        <v>62</v>
      </c>
      <c r="BS397" s="131" t="s">
        <v>63</v>
      </c>
      <c r="BT397" s="131" t="s">
        <v>64</v>
      </c>
      <c r="BU397" s="131" t="s">
        <v>65</v>
      </c>
      <c r="BV397" s="132" t="s">
        <v>66</v>
      </c>
      <c r="BW397" s="132" t="s">
        <v>67</v>
      </c>
      <c r="BX397" s="132" t="s">
        <v>68</v>
      </c>
      <c r="BY397" s="132" t="s">
        <v>69</v>
      </c>
      <c r="BZ397" s="132" t="s">
        <v>70</v>
      </c>
      <c r="CA397" s="132" t="s">
        <v>71</v>
      </c>
      <c r="CB397" s="132" t="s">
        <v>72</v>
      </c>
      <c r="CC397" s="123" t="s">
        <v>73</v>
      </c>
      <c r="CD397" s="123" t="s">
        <v>74</v>
      </c>
      <c r="CE397" s="123" t="s">
        <v>75</v>
      </c>
      <c r="CF397" s="123" t="s">
        <v>76</v>
      </c>
      <c r="CG397" s="123" t="s">
        <v>77</v>
      </c>
      <c r="CH397" s="123" t="s">
        <v>78</v>
      </c>
      <c r="CI397" s="22" t="s">
        <v>2</v>
      </c>
      <c r="CJ397" s="21" t="s">
        <v>0</v>
      </c>
      <c r="CK397" s="24" t="s">
        <v>79</v>
      </c>
      <c r="CL397"/>
      <c r="CM397"/>
      <c r="CN397"/>
      <c r="CO397"/>
      <c r="CP397"/>
      <c r="CQ397"/>
      <c r="CU397"/>
    </row>
    <row r="398" spans="1:99" x14ac:dyDescent="0.25">
      <c r="A398" s="18" t="s">
        <v>479</v>
      </c>
      <c r="B398" s="39" t="s">
        <v>171</v>
      </c>
      <c r="C398" s="39" t="s">
        <v>172</v>
      </c>
      <c r="D398" s="40">
        <v>3</v>
      </c>
      <c r="E398" s="40">
        <v>0</v>
      </c>
      <c r="F398" s="40">
        <v>3</v>
      </c>
      <c r="G398" s="163">
        <v>0</v>
      </c>
      <c r="H398" s="163">
        <v>0</v>
      </c>
      <c r="I398" s="162" t="s">
        <v>83</v>
      </c>
      <c r="J398" s="163">
        <v>0</v>
      </c>
      <c r="K398" s="163">
        <v>1</v>
      </c>
      <c r="L398" s="163">
        <v>0</v>
      </c>
      <c r="M398" s="163">
        <v>2</v>
      </c>
      <c r="N398" s="115">
        <v>9.4339622641509396E-3</v>
      </c>
      <c r="O398" s="115">
        <v>1.3333333333333299E-2</v>
      </c>
      <c r="P398" s="115">
        <v>0</v>
      </c>
      <c r="Q398" s="115">
        <v>0</v>
      </c>
      <c r="R398" s="116" t="s">
        <v>83</v>
      </c>
      <c r="S398" s="115">
        <v>0</v>
      </c>
      <c r="T398" s="115">
        <v>1.58730158730159E-2</v>
      </c>
      <c r="U398" s="115">
        <v>0</v>
      </c>
      <c r="V398" s="115">
        <v>0.04</v>
      </c>
      <c r="W398" s="40">
        <v>691</v>
      </c>
      <c r="X398" s="40">
        <f t="shared" ref="X398:X447" si="32">SUM(AN398:AR398)</f>
        <v>209</v>
      </c>
      <c r="Y398" s="40">
        <f t="shared" ref="Y398:Y447" si="33">SUM(AL398:AR398)</f>
        <v>292</v>
      </c>
      <c r="Z398" s="105">
        <v>0.48191027496382099</v>
      </c>
      <c r="AA398" s="105">
        <v>0.51808972503617901</v>
      </c>
      <c r="AB398" s="106">
        <f>2/691</f>
        <v>2.8943560057887118E-3</v>
      </c>
      <c r="AC398" s="106">
        <v>0</v>
      </c>
      <c r="AD398" s="106">
        <f>263/691</f>
        <v>0.38060781476121563</v>
      </c>
      <c r="AE398" s="106">
        <f>32/691</f>
        <v>4.6309696092619389E-2</v>
      </c>
      <c r="AF398" s="106">
        <v>0</v>
      </c>
      <c r="AG398" s="106">
        <f>379/691</f>
        <v>0.54848046309696097</v>
      </c>
      <c r="AH398" s="106">
        <f>15/691</f>
        <v>2.1707670043415339E-2</v>
      </c>
      <c r="AI398" s="106">
        <f>312/691</f>
        <v>0.45151953690303909</v>
      </c>
      <c r="AJ398" s="105">
        <v>0.68596237337192478</v>
      </c>
      <c r="AK398" s="105">
        <v>1.4471780028943599E-2</v>
      </c>
      <c r="AL398" s="12">
        <v>38</v>
      </c>
      <c r="AM398" s="12">
        <v>45</v>
      </c>
      <c r="AN398" s="12">
        <v>0</v>
      </c>
      <c r="AO398" s="12">
        <v>61</v>
      </c>
      <c r="AP398" s="12">
        <v>56</v>
      </c>
      <c r="AQ398" s="12">
        <v>44</v>
      </c>
      <c r="AR398" s="12">
        <v>48</v>
      </c>
      <c r="AS398" s="59">
        <v>0</v>
      </c>
      <c r="AT398" s="3">
        <v>1</v>
      </c>
      <c r="AU398" s="3">
        <v>6</v>
      </c>
      <c r="AV398" s="52">
        <v>73</v>
      </c>
      <c r="AW398" s="52">
        <v>24.9</v>
      </c>
      <c r="AX398" s="52">
        <v>2.1</v>
      </c>
      <c r="AY398" s="70">
        <v>0</v>
      </c>
      <c r="AZ398" s="59">
        <v>0.2767379679144385</v>
      </c>
      <c r="BA398" s="59">
        <v>3.2085561497326207E-2</v>
      </c>
      <c r="BB398" s="78">
        <v>94.719807325567899</v>
      </c>
      <c r="BC398" s="49">
        <v>18.848920863309399</v>
      </c>
      <c r="BD398" s="49">
        <v>0</v>
      </c>
      <c r="BE398" s="49">
        <v>0</v>
      </c>
      <c r="BF398" s="49">
        <v>1.7</v>
      </c>
      <c r="BG398" s="49">
        <v>0</v>
      </c>
      <c r="BH398" s="49">
        <v>0</v>
      </c>
      <c r="BI398" s="49">
        <v>2.1</v>
      </c>
      <c r="BJ398" s="49">
        <v>18.7</v>
      </c>
      <c r="BK398" s="126">
        <v>17076</v>
      </c>
      <c r="BL398" s="126">
        <v>61764</v>
      </c>
      <c r="BM398" s="126">
        <v>57391</v>
      </c>
      <c r="BN398" s="126">
        <v>47945</v>
      </c>
      <c r="BO398" s="59">
        <v>0</v>
      </c>
      <c r="BP398" s="59">
        <v>0.39240000000000003</v>
      </c>
      <c r="BQ398" s="59">
        <v>0.1278</v>
      </c>
      <c r="BR398" s="59">
        <v>0</v>
      </c>
      <c r="BS398" s="59">
        <v>0</v>
      </c>
      <c r="BT398" s="49">
        <v>15.4</v>
      </c>
      <c r="BU398" s="59">
        <f t="shared" si="30"/>
        <v>0.5202</v>
      </c>
      <c r="BV398" s="59">
        <v>1.9699999999999999E-2</v>
      </c>
      <c r="BW398" s="59">
        <v>9.7999999999999997E-3</v>
      </c>
      <c r="BX398" s="59">
        <v>9.7000000000000003E-3</v>
      </c>
      <c r="BY398" s="59">
        <v>0</v>
      </c>
      <c r="BZ398" s="59">
        <v>9.7999999999999997E-3</v>
      </c>
      <c r="CA398" s="49">
        <v>15.8</v>
      </c>
      <c r="CB398" s="59">
        <f t="shared" si="31"/>
        <v>4.9000000000000002E-2</v>
      </c>
      <c r="CC398" s="59">
        <v>0.3826</v>
      </c>
      <c r="CD398" s="59">
        <v>0.46029999999999999</v>
      </c>
      <c r="CE398" s="59">
        <v>0.14729999999999999</v>
      </c>
      <c r="CF398" s="59">
        <v>0</v>
      </c>
      <c r="CG398" s="59">
        <v>9.7999999999999997E-3</v>
      </c>
      <c r="CH398" s="49">
        <v>14.1</v>
      </c>
      <c r="CI398" s="39" t="s">
        <v>172</v>
      </c>
      <c r="CJ398" s="18" t="s">
        <v>479</v>
      </c>
      <c r="CK398" s="20"/>
    </row>
    <row r="399" spans="1:99" x14ac:dyDescent="0.25">
      <c r="A399" s="18" t="s">
        <v>479</v>
      </c>
      <c r="B399" s="39" t="s">
        <v>171</v>
      </c>
      <c r="C399" s="39" t="s">
        <v>173</v>
      </c>
      <c r="D399" s="40">
        <v>4</v>
      </c>
      <c r="E399" s="40" t="s">
        <v>83</v>
      </c>
      <c r="F399" s="40">
        <v>4</v>
      </c>
      <c r="G399" s="162" t="s">
        <v>83</v>
      </c>
      <c r="H399" s="162" t="s">
        <v>83</v>
      </c>
      <c r="I399" s="162" t="s">
        <v>83</v>
      </c>
      <c r="J399" s="163">
        <v>0</v>
      </c>
      <c r="K399" s="163">
        <v>0</v>
      </c>
      <c r="L399" s="163">
        <v>2</v>
      </c>
      <c r="M399" s="163">
        <v>2</v>
      </c>
      <c r="N399" s="115">
        <v>8.6580086580086597E-3</v>
      </c>
      <c r="O399" s="115">
        <v>8.6580086580086597E-3</v>
      </c>
      <c r="P399" s="116" t="s">
        <v>83</v>
      </c>
      <c r="Q399" s="116" t="s">
        <v>83</v>
      </c>
      <c r="R399" s="116" t="s">
        <v>83</v>
      </c>
      <c r="S399" s="115">
        <v>0</v>
      </c>
      <c r="T399" s="115">
        <v>0</v>
      </c>
      <c r="U399" s="115">
        <v>1.63934426229508E-2</v>
      </c>
      <c r="V399" s="115">
        <v>2.2988505747126398E-2</v>
      </c>
      <c r="W399" s="40">
        <v>436</v>
      </c>
      <c r="X399" s="40">
        <f t="shared" si="32"/>
        <v>436</v>
      </c>
      <c r="Y399" s="40">
        <f t="shared" si="33"/>
        <v>436</v>
      </c>
      <c r="Z399" s="105">
        <v>0.51376146788990795</v>
      </c>
      <c r="AA399" s="105">
        <v>0.48623853211009199</v>
      </c>
      <c r="AB399" s="106">
        <f>2/436</f>
        <v>4.5871559633027525E-3</v>
      </c>
      <c r="AC399" s="106">
        <f>2/436</f>
        <v>4.5871559633027525E-3</v>
      </c>
      <c r="AD399" s="106">
        <f>391/436</f>
        <v>0.89678899082568808</v>
      </c>
      <c r="AE399" s="106">
        <f>7/436</f>
        <v>1.6055045871559634E-2</v>
      </c>
      <c r="AF399" s="106">
        <v>0</v>
      </c>
      <c r="AG399" s="106">
        <f>32/436</f>
        <v>7.3394495412844041E-2</v>
      </c>
      <c r="AH399" s="106">
        <f>2/436</f>
        <v>4.5871559633027525E-3</v>
      </c>
      <c r="AI399" s="106">
        <f>404/436</f>
        <v>0.92660550458715596</v>
      </c>
      <c r="AJ399" s="105">
        <v>0.84862385321100919</v>
      </c>
      <c r="AK399" s="105">
        <v>6.8807339449541297E-3</v>
      </c>
      <c r="AL399" s="12">
        <v>0</v>
      </c>
      <c r="AM399" s="12">
        <v>0</v>
      </c>
      <c r="AN399" s="12">
        <v>0</v>
      </c>
      <c r="AO399" s="12">
        <v>138</v>
      </c>
      <c r="AP399" s="12">
        <v>100</v>
      </c>
      <c r="AQ399" s="12">
        <v>116</v>
      </c>
      <c r="AR399" s="12">
        <v>82</v>
      </c>
      <c r="AS399" s="59">
        <v>0</v>
      </c>
      <c r="AT399" s="3">
        <v>9</v>
      </c>
      <c r="AU399" s="3">
        <v>6</v>
      </c>
      <c r="AV399" s="52">
        <v>79.3</v>
      </c>
      <c r="AW399" s="52">
        <v>16.7</v>
      </c>
      <c r="AX399" s="52">
        <v>3.5</v>
      </c>
      <c r="AY399" s="71">
        <v>0.5</v>
      </c>
      <c r="AZ399" s="59">
        <v>0.37554585152838427</v>
      </c>
      <c r="BA399" s="59">
        <v>8.7336244541484712E-3</v>
      </c>
      <c r="BB399" s="77">
        <v>93.656924535668495</v>
      </c>
      <c r="BC399" s="49">
        <v>18.711018711018699</v>
      </c>
      <c r="BD399" s="90" t="s">
        <v>83</v>
      </c>
      <c r="BE399" s="90" t="s">
        <v>83</v>
      </c>
      <c r="BF399" s="49">
        <v>0</v>
      </c>
      <c r="BG399" s="49">
        <v>1</v>
      </c>
      <c r="BH399" s="49">
        <v>1.1000000000000001</v>
      </c>
      <c r="BI399" s="49">
        <v>0</v>
      </c>
      <c r="BJ399" s="49">
        <v>17.8</v>
      </c>
      <c r="BK399" s="126">
        <v>16835</v>
      </c>
      <c r="BL399" s="126">
        <v>59899</v>
      </c>
      <c r="BM399" s="126">
        <v>78726</v>
      </c>
      <c r="BN399" s="126">
        <v>52777</v>
      </c>
      <c r="BO399" s="59">
        <v>1.72E-2</v>
      </c>
      <c r="BP399" s="59">
        <v>0.35010000000000002</v>
      </c>
      <c r="BQ399" s="59">
        <v>0.2402</v>
      </c>
      <c r="BR399" s="59">
        <v>0</v>
      </c>
      <c r="BS399" s="59">
        <v>0</v>
      </c>
      <c r="BT399" s="49">
        <v>11.4</v>
      </c>
      <c r="BU399" s="59">
        <f t="shared" si="30"/>
        <v>0.60750000000000004</v>
      </c>
      <c r="BV399" s="59">
        <v>1.72E-2</v>
      </c>
      <c r="BW399" s="59">
        <v>0</v>
      </c>
      <c r="BX399" s="59">
        <v>5.1499999999999997E-2</v>
      </c>
      <c r="BY399" s="59">
        <v>0</v>
      </c>
      <c r="BZ399" s="59">
        <v>0</v>
      </c>
      <c r="CA399" s="49">
        <v>25.3</v>
      </c>
      <c r="CB399" s="59">
        <f t="shared" si="31"/>
        <v>6.8699999999999997E-2</v>
      </c>
      <c r="CC399" s="59">
        <v>0.27450000000000002</v>
      </c>
      <c r="CD399" s="59">
        <v>0.38219999999999998</v>
      </c>
      <c r="CE399" s="59">
        <v>0.3261</v>
      </c>
      <c r="CF399" s="59">
        <v>0</v>
      </c>
      <c r="CG399" s="59">
        <v>1.72E-2</v>
      </c>
      <c r="CH399" s="49">
        <v>12.4</v>
      </c>
      <c r="CI399" s="39" t="s">
        <v>173</v>
      </c>
      <c r="CJ399" s="18" t="s">
        <v>479</v>
      </c>
      <c r="CK399" s="20"/>
    </row>
    <row r="400" spans="1:99" x14ac:dyDescent="0.25">
      <c r="A400" s="18" t="s">
        <v>479</v>
      </c>
      <c r="B400" s="39" t="s">
        <v>171</v>
      </c>
      <c r="C400" s="39" t="s">
        <v>174</v>
      </c>
      <c r="D400" s="40">
        <v>1</v>
      </c>
      <c r="E400" s="40">
        <v>0</v>
      </c>
      <c r="F400" s="40">
        <v>1</v>
      </c>
      <c r="G400" s="163">
        <v>0</v>
      </c>
      <c r="H400" s="163">
        <v>0</v>
      </c>
      <c r="I400" s="162" t="s">
        <v>83</v>
      </c>
      <c r="J400" s="163">
        <v>0</v>
      </c>
      <c r="K400" s="163">
        <v>0</v>
      </c>
      <c r="L400" s="163">
        <v>0</v>
      </c>
      <c r="M400" s="163">
        <v>1</v>
      </c>
      <c r="N400" s="115">
        <v>5.2083333333333296E-3</v>
      </c>
      <c r="O400" s="115">
        <v>7.3529411764705899E-3</v>
      </c>
      <c r="P400" s="115">
        <v>0</v>
      </c>
      <c r="Q400" s="115">
        <v>0</v>
      </c>
      <c r="R400" s="116" t="s">
        <v>83</v>
      </c>
      <c r="S400" s="115">
        <v>0</v>
      </c>
      <c r="T400" s="115">
        <v>0</v>
      </c>
      <c r="U400" s="115">
        <v>0</v>
      </c>
      <c r="V400" s="115">
        <v>2.9411764705882401E-2</v>
      </c>
      <c r="W400" s="40">
        <v>413</v>
      </c>
      <c r="X400" s="40">
        <f t="shared" si="32"/>
        <v>123</v>
      </c>
      <c r="Y400" s="40">
        <f t="shared" si="33"/>
        <v>177</v>
      </c>
      <c r="Z400" s="105">
        <v>0.47215496368038701</v>
      </c>
      <c r="AA400" s="105">
        <v>0.52784503631961299</v>
      </c>
      <c r="AB400" s="106">
        <f>1/413</f>
        <v>2.4213075060532689E-3</v>
      </c>
      <c r="AC400" s="106">
        <v>0</v>
      </c>
      <c r="AD400" s="106">
        <f>74/413</f>
        <v>0.1791767554479419</v>
      </c>
      <c r="AE400" s="106">
        <f>7/413</f>
        <v>1.6949152542372881E-2</v>
      </c>
      <c r="AF400" s="106">
        <v>0</v>
      </c>
      <c r="AG400" s="106">
        <f>326/413</f>
        <v>0.78934624697336564</v>
      </c>
      <c r="AH400" s="106">
        <f>5/413</f>
        <v>1.2106537530266344E-2</v>
      </c>
      <c r="AI400" s="106">
        <f>87/413</f>
        <v>0.21065375302663439</v>
      </c>
      <c r="AJ400" s="105">
        <v>0.54721549636803879</v>
      </c>
      <c r="AK400" s="105">
        <v>7.2639225181598101E-3</v>
      </c>
      <c r="AL400" s="12">
        <v>31</v>
      </c>
      <c r="AM400" s="12">
        <v>23</v>
      </c>
      <c r="AN400" s="12">
        <v>0</v>
      </c>
      <c r="AO400" s="12">
        <v>35</v>
      </c>
      <c r="AP400" s="12">
        <v>35</v>
      </c>
      <c r="AQ400" s="12">
        <v>22</v>
      </c>
      <c r="AR400" s="12">
        <v>31</v>
      </c>
      <c r="AS400" s="59">
        <v>0</v>
      </c>
      <c r="AT400" s="3">
        <v>1</v>
      </c>
      <c r="AU400" s="3">
        <v>6</v>
      </c>
      <c r="AV400" s="52">
        <v>86.1</v>
      </c>
      <c r="AW400" s="52">
        <v>13.3</v>
      </c>
      <c r="AX400" s="52">
        <v>0.6</v>
      </c>
      <c r="AY400" s="70">
        <v>0</v>
      </c>
      <c r="AZ400" s="59">
        <v>0.17371937639198218</v>
      </c>
      <c r="BA400" s="59">
        <v>4.4543429844097994E-3</v>
      </c>
      <c r="BB400" s="78">
        <v>94.981262991480506</v>
      </c>
      <c r="BC400" s="49">
        <v>14.617169373549901</v>
      </c>
      <c r="BD400" s="49">
        <v>3.1</v>
      </c>
      <c r="BE400" s="49">
        <v>0</v>
      </c>
      <c r="BF400" s="49">
        <v>0</v>
      </c>
      <c r="BG400" s="49">
        <v>0</v>
      </c>
      <c r="BH400" s="49">
        <v>0</v>
      </c>
      <c r="BI400" s="49">
        <v>0</v>
      </c>
      <c r="BJ400" s="49">
        <v>19.399999999999999</v>
      </c>
      <c r="BK400" s="126">
        <v>16354</v>
      </c>
      <c r="BL400" s="126">
        <v>61138</v>
      </c>
      <c r="BM400" s="126">
        <v>73617</v>
      </c>
      <c r="BN400" s="126">
        <v>49812</v>
      </c>
      <c r="BO400" s="59">
        <v>0</v>
      </c>
      <c r="BP400" s="59">
        <v>0.3705</v>
      </c>
      <c r="BQ400" s="59">
        <v>0.1946</v>
      </c>
      <c r="BR400" s="59">
        <v>0</v>
      </c>
      <c r="BS400" s="59">
        <v>0</v>
      </c>
      <c r="BT400" s="49">
        <v>15.4</v>
      </c>
      <c r="BU400" s="59">
        <f t="shared" si="30"/>
        <v>0.56509999999999994</v>
      </c>
      <c r="BV400" s="59">
        <v>1.77E-2</v>
      </c>
      <c r="BW400" s="59">
        <v>0</v>
      </c>
      <c r="BX400" s="59">
        <v>3.5400000000000001E-2</v>
      </c>
      <c r="BY400" s="59">
        <v>0</v>
      </c>
      <c r="BZ400" s="59">
        <v>0</v>
      </c>
      <c r="CA400" s="49">
        <v>23.7</v>
      </c>
      <c r="CB400" s="59">
        <f t="shared" si="31"/>
        <v>5.3100000000000001E-2</v>
      </c>
      <c r="CC400" s="59">
        <v>0.3518</v>
      </c>
      <c r="CD400" s="59">
        <v>0.40039999999999998</v>
      </c>
      <c r="CE400" s="59">
        <v>0.2477</v>
      </c>
      <c r="CF400" s="59">
        <v>0</v>
      </c>
      <c r="CG400" s="59">
        <v>0</v>
      </c>
      <c r="CH400" s="49">
        <v>14.4</v>
      </c>
      <c r="CI400" s="39" t="s">
        <v>174</v>
      </c>
      <c r="CJ400" s="18" t="s">
        <v>479</v>
      </c>
      <c r="CK400" s="20"/>
    </row>
    <row r="401" spans="1:89" x14ac:dyDescent="0.25">
      <c r="A401" s="18" t="s">
        <v>479</v>
      </c>
      <c r="B401" s="39" t="s">
        <v>171</v>
      </c>
      <c r="C401" s="39" t="s">
        <v>175</v>
      </c>
      <c r="D401" s="40">
        <v>6</v>
      </c>
      <c r="E401" s="40" t="s">
        <v>83</v>
      </c>
      <c r="F401" s="40">
        <v>6</v>
      </c>
      <c r="G401" s="162" t="s">
        <v>83</v>
      </c>
      <c r="H401" s="162" t="s">
        <v>83</v>
      </c>
      <c r="I401" s="163">
        <v>0</v>
      </c>
      <c r="J401" s="163">
        <v>1</v>
      </c>
      <c r="K401" s="163">
        <v>1</v>
      </c>
      <c r="L401" s="163">
        <v>2</v>
      </c>
      <c r="M401" s="163">
        <v>2</v>
      </c>
      <c r="N401" s="115">
        <v>8.3217753120665705E-3</v>
      </c>
      <c r="O401" s="115">
        <v>8.3217753120665705E-3</v>
      </c>
      <c r="P401" s="116" t="s">
        <v>83</v>
      </c>
      <c r="Q401" s="116" t="s">
        <v>83</v>
      </c>
      <c r="R401" s="115">
        <v>0</v>
      </c>
      <c r="S401" s="115">
        <v>4.6948356807511703E-3</v>
      </c>
      <c r="T401" s="115">
        <v>5.0505050505050501E-3</v>
      </c>
      <c r="U401" s="115">
        <v>1.15606936416185E-2</v>
      </c>
      <c r="V401" s="115">
        <v>1.4705882352941201E-2</v>
      </c>
      <c r="W401" s="40">
        <v>681</v>
      </c>
      <c r="X401" s="40">
        <f t="shared" si="32"/>
        <v>681</v>
      </c>
      <c r="Y401" s="40">
        <f t="shared" si="33"/>
        <v>681</v>
      </c>
      <c r="Z401" s="105">
        <v>0.47577092511013203</v>
      </c>
      <c r="AA401" s="105">
        <v>0.52422907488986803</v>
      </c>
      <c r="AB401" s="106">
        <f>3/681</f>
        <v>4.4052863436123352E-3</v>
      </c>
      <c r="AC401" s="106">
        <f>5/681</f>
        <v>7.3421439060205578E-3</v>
      </c>
      <c r="AD401" s="106">
        <f>135/681</f>
        <v>0.19823788546255505</v>
      </c>
      <c r="AE401" s="106">
        <f>14/681</f>
        <v>2.0558002936857563E-2</v>
      </c>
      <c r="AF401" s="106">
        <v>0</v>
      </c>
      <c r="AG401" s="106">
        <f>518/681</f>
        <v>0.76064610866372984</v>
      </c>
      <c r="AH401" s="106">
        <f>6/681</f>
        <v>8.8105726872246704E-3</v>
      </c>
      <c r="AI401" s="106">
        <f>163/681</f>
        <v>0.23935389133627019</v>
      </c>
      <c r="AJ401" s="105">
        <v>0.44787077826725402</v>
      </c>
      <c r="AK401" s="105">
        <v>5.8737151248164504E-3</v>
      </c>
      <c r="AL401" s="12">
        <v>0</v>
      </c>
      <c r="AM401" s="12">
        <v>0</v>
      </c>
      <c r="AN401" s="12">
        <v>1</v>
      </c>
      <c r="AO401" s="12">
        <v>196</v>
      </c>
      <c r="AP401" s="12">
        <v>188</v>
      </c>
      <c r="AQ401" s="12">
        <v>167</v>
      </c>
      <c r="AR401" s="12">
        <v>129</v>
      </c>
      <c r="AS401" s="59">
        <v>5.076142131979695E-3</v>
      </c>
      <c r="AT401" s="3">
        <v>9</v>
      </c>
      <c r="AU401" s="3">
        <v>6</v>
      </c>
      <c r="AV401" s="52">
        <v>56.5</v>
      </c>
      <c r="AW401" s="52">
        <v>30.1</v>
      </c>
      <c r="AX401" s="52">
        <v>12.7</v>
      </c>
      <c r="AY401" s="71">
        <v>0.6</v>
      </c>
      <c r="AZ401" s="59">
        <v>0.19332406119610571</v>
      </c>
      <c r="BA401" s="59">
        <v>5.5632823365785811E-3</v>
      </c>
      <c r="BB401" s="77">
        <v>93.966623876765098</v>
      </c>
      <c r="BC401" s="49">
        <v>12.809917355371899</v>
      </c>
      <c r="BD401" s="90" t="s">
        <v>83</v>
      </c>
      <c r="BE401" s="90" t="s">
        <v>83</v>
      </c>
      <c r="BF401" s="49">
        <v>6.5</v>
      </c>
      <c r="BG401" s="49">
        <v>1.1000000000000001</v>
      </c>
      <c r="BH401" s="49">
        <v>1.3</v>
      </c>
      <c r="BI401" s="49">
        <v>0.7</v>
      </c>
      <c r="BJ401" s="49">
        <v>20.7</v>
      </c>
      <c r="BK401" s="126">
        <v>14316</v>
      </c>
      <c r="BL401" s="126">
        <v>62433</v>
      </c>
      <c r="BM401" s="126">
        <v>65012</v>
      </c>
      <c r="BN401" s="126">
        <v>53374</v>
      </c>
      <c r="BO401" s="59">
        <v>1.4E-2</v>
      </c>
      <c r="BP401" s="59">
        <v>0.4647</v>
      </c>
      <c r="BQ401" s="59">
        <v>0.14130000000000001</v>
      </c>
      <c r="BR401" s="59">
        <v>0</v>
      </c>
      <c r="BS401" s="59">
        <v>1.41E-2</v>
      </c>
      <c r="BT401" s="49">
        <v>13.8</v>
      </c>
      <c r="BU401" s="59">
        <f t="shared" si="30"/>
        <v>0.6341</v>
      </c>
      <c r="BV401" s="59">
        <v>2.8000000000000001E-2</v>
      </c>
      <c r="BW401" s="59">
        <v>0</v>
      </c>
      <c r="BX401" s="59">
        <v>4.1300000000000003E-2</v>
      </c>
      <c r="BY401" s="59">
        <v>0</v>
      </c>
      <c r="BZ401" s="59">
        <v>0</v>
      </c>
      <c r="CA401" s="49">
        <v>20.9</v>
      </c>
      <c r="CB401" s="59">
        <f t="shared" si="31"/>
        <v>6.93E-2</v>
      </c>
      <c r="CC401" s="59">
        <v>0.31040000000000001</v>
      </c>
      <c r="CD401" s="59">
        <v>0.4647</v>
      </c>
      <c r="CE401" s="59">
        <v>0.21079999999999999</v>
      </c>
      <c r="CF401" s="59">
        <v>0</v>
      </c>
      <c r="CG401" s="59">
        <v>1.41E-2</v>
      </c>
      <c r="CH401" s="49">
        <v>13</v>
      </c>
      <c r="CI401" s="39" t="s">
        <v>175</v>
      </c>
      <c r="CJ401" s="18" t="s">
        <v>479</v>
      </c>
      <c r="CK401" s="20"/>
    </row>
    <row r="402" spans="1:89" x14ac:dyDescent="0.25">
      <c r="A402" s="18" t="s">
        <v>479</v>
      </c>
      <c r="B402" s="39" t="s">
        <v>176</v>
      </c>
      <c r="C402" s="39" t="s">
        <v>177</v>
      </c>
      <c r="D402" s="40">
        <v>0</v>
      </c>
      <c r="E402" s="40" t="s">
        <v>83</v>
      </c>
      <c r="F402" s="40">
        <v>0</v>
      </c>
      <c r="G402" s="162" t="s">
        <v>83</v>
      </c>
      <c r="H402" s="162" t="s">
        <v>83</v>
      </c>
      <c r="I402" s="162" t="s">
        <v>83</v>
      </c>
      <c r="J402" s="163">
        <v>0</v>
      </c>
      <c r="K402" s="163">
        <v>0</v>
      </c>
      <c r="L402" s="163">
        <v>0</v>
      </c>
      <c r="M402" s="163">
        <v>0</v>
      </c>
      <c r="N402" s="115">
        <v>0</v>
      </c>
      <c r="O402" s="115">
        <v>0</v>
      </c>
      <c r="P402" s="116" t="s">
        <v>83</v>
      </c>
      <c r="Q402" s="116" t="s">
        <v>83</v>
      </c>
      <c r="R402" s="116" t="s">
        <v>83</v>
      </c>
      <c r="S402" s="115">
        <v>0</v>
      </c>
      <c r="T402" s="115">
        <v>0</v>
      </c>
      <c r="U402" s="115">
        <v>0</v>
      </c>
      <c r="V402" s="115">
        <v>0</v>
      </c>
      <c r="W402" s="40">
        <v>1498</v>
      </c>
      <c r="X402" s="40">
        <f t="shared" si="32"/>
        <v>1498</v>
      </c>
      <c r="Y402" s="40">
        <f t="shared" si="33"/>
        <v>1498</v>
      </c>
      <c r="Z402" s="105">
        <v>0.66221628838451296</v>
      </c>
      <c r="AA402" s="105">
        <v>0.33778371161548698</v>
      </c>
      <c r="AB402" s="106">
        <f>1/1498</f>
        <v>6.6755674232309744E-4</v>
      </c>
      <c r="AC402" s="106">
        <f>221/1498</f>
        <v>0.14753004005340453</v>
      </c>
      <c r="AD402" s="106">
        <f>708/1498</f>
        <v>0.47263017356475301</v>
      </c>
      <c r="AE402" s="106">
        <f>58/1498</f>
        <v>3.8718291054739652E-2</v>
      </c>
      <c r="AF402" s="106">
        <f>1/1498</f>
        <v>6.6755674232309744E-4</v>
      </c>
      <c r="AG402" s="106">
        <f>498/1498</f>
        <v>0.33244325767690253</v>
      </c>
      <c r="AH402" s="106">
        <f>11/1498</f>
        <v>7.3431241655540717E-3</v>
      </c>
      <c r="AI402" s="106">
        <f>1000/1498</f>
        <v>0.66755674232309747</v>
      </c>
      <c r="AJ402" s="105">
        <v>0.36381842456608809</v>
      </c>
      <c r="AK402" s="105">
        <v>6.6755674232309701E-4</v>
      </c>
      <c r="AL402" s="12">
        <v>0</v>
      </c>
      <c r="AM402" s="12">
        <v>0</v>
      </c>
      <c r="AN402" s="12">
        <v>0</v>
      </c>
      <c r="AO402" s="12">
        <v>429</v>
      </c>
      <c r="AP402" s="12">
        <v>358</v>
      </c>
      <c r="AQ402" s="12">
        <v>373</v>
      </c>
      <c r="AR402" s="12">
        <v>338</v>
      </c>
      <c r="AS402" s="59">
        <v>0</v>
      </c>
      <c r="AT402" s="3">
        <v>9</v>
      </c>
      <c r="AU402" s="3">
        <v>7</v>
      </c>
      <c r="AV402" s="52">
        <v>36.200000000000003</v>
      </c>
      <c r="AW402" s="52">
        <v>12.5</v>
      </c>
      <c r="AX402" s="52">
        <v>30.3</v>
      </c>
      <c r="AY402" s="71">
        <v>21</v>
      </c>
      <c r="AZ402" s="59">
        <v>8.3776595744680854E-2</v>
      </c>
      <c r="BA402" s="59">
        <v>0</v>
      </c>
      <c r="BB402" s="77">
        <v>97.628608285899105</v>
      </c>
      <c r="BC402" s="49">
        <v>23.005319148936199</v>
      </c>
      <c r="BD402" s="90" t="s">
        <v>83</v>
      </c>
      <c r="BE402" s="90" t="s">
        <v>83</v>
      </c>
      <c r="BF402" s="49">
        <v>0.5</v>
      </c>
      <c r="BG402" s="49">
        <v>0</v>
      </c>
      <c r="BH402" s="49">
        <v>0</v>
      </c>
      <c r="BI402" s="49">
        <v>0</v>
      </c>
      <c r="BJ402" s="49">
        <v>26.6</v>
      </c>
      <c r="BK402" s="126">
        <v>9535</v>
      </c>
      <c r="BL402" s="126">
        <v>54718</v>
      </c>
      <c r="BM402" s="126">
        <v>49714</v>
      </c>
      <c r="BN402" s="126">
        <v>51547</v>
      </c>
      <c r="BO402" s="59">
        <v>0</v>
      </c>
      <c r="BP402" s="59">
        <v>0.36499999999999999</v>
      </c>
      <c r="BQ402" s="59">
        <v>0.3619</v>
      </c>
      <c r="BR402" s="59">
        <v>1.9199999999999998E-2</v>
      </c>
      <c r="BS402" s="59">
        <v>1.14E-2</v>
      </c>
      <c r="BT402" s="49">
        <v>17.3</v>
      </c>
      <c r="BU402" s="59">
        <f t="shared" si="30"/>
        <v>0.75749999999999995</v>
      </c>
      <c r="BV402" s="59">
        <v>2.8799999999999999E-2</v>
      </c>
      <c r="BW402" s="59">
        <v>0</v>
      </c>
      <c r="BX402" s="59">
        <v>2.1299999999999999E-2</v>
      </c>
      <c r="BY402" s="59">
        <v>0</v>
      </c>
      <c r="BZ402" s="59">
        <v>0</v>
      </c>
      <c r="CA402" s="49">
        <v>19</v>
      </c>
      <c r="CB402" s="59">
        <f t="shared" si="31"/>
        <v>5.0099999999999999E-2</v>
      </c>
      <c r="CC402" s="59">
        <v>0.124</v>
      </c>
      <c r="CD402" s="59">
        <v>0.39429999999999998</v>
      </c>
      <c r="CE402" s="59">
        <v>0.4415</v>
      </c>
      <c r="CF402" s="59">
        <v>1.9199999999999998E-2</v>
      </c>
      <c r="CG402" s="59">
        <v>2.1000000000000001E-2</v>
      </c>
      <c r="CH402" s="49">
        <v>17.600000000000001</v>
      </c>
      <c r="CI402" s="39" t="s">
        <v>177</v>
      </c>
      <c r="CJ402" s="18" t="s">
        <v>479</v>
      </c>
      <c r="CK402" s="20"/>
    </row>
    <row r="403" spans="1:89" x14ac:dyDescent="0.25">
      <c r="A403" s="18" t="s">
        <v>479</v>
      </c>
      <c r="B403" s="39" t="s">
        <v>176</v>
      </c>
      <c r="C403" s="39" t="s">
        <v>178</v>
      </c>
      <c r="D403" s="40">
        <v>164</v>
      </c>
      <c r="E403" s="40" t="s">
        <v>83</v>
      </c>
      <c r="F403" s="40">
        <v>164</v>
      </c>
      <c r="G403" s="162" t="s">
        <v>83</v>
      </c>
      <c r="H403" s="162" t="s">
        <v>83</v>
      </c>
      <c r="I403" s="162" t="s">
        <v>83</v>
      </c>
      <c r="J403" s="163">
        <v>31</v>
      </c>
      <c r="K403" s="163">
        <v>35</v>
      </c>
      <c r="L403" s="163">
        <v>29</v>
      </c>
      <c r="M403" s="163">
        <v>69</v>
      </c>
      <c r="N403" s="115">
        <v>0.101047443006778</v>
      </c>
      <c r="O403" s="115">
        <v>0.101047443006778</v>
      </c>
      <c r="P403" s="116" t="s">
        <v>83</v>
      </c>
      <c r="Q403" s="116" t="s">
        <v>83</v>
      </c>
      <c r="R403" s="116" t="s">
        <v>83</v>
      </c>
      <c r="S403" s="115">
        <v>5.5855855855855903E-2</v>
      </c>
      <c r="T403" s="115">
        <v>8.2352941176470601E-2</v>
      </c>
      <c r="U403" s="115">
        <v>9.5081967213114807E-2</v>
      </c>
      <c r="V403" s="115">
        <v>0.20414201183431999</v>
      </c>
      <c r="W403" s="40">
        <v>1233</v>
      </c>
      <c r="X403" s="40">
        <f t="shared" si="32"/>
        <v>1233</v>
      </c>
      <c r="Y403" s="40">
        <f t="shared" si="33"/>
        <v>1233</v>
      </c>
      <c r="Z403" s="105">
        <v>0.50851581508515797</v>
      </c>
      <c r="AA403" s="105">
        <v>0.49148418491484203</v>
      </c>
      <c r="AB403" s="106">
        <f>1/1233</f>
        <v>8.110300081103001E-4</v>
      </c>
      <c r="AC403" s="106">
        <f>8/1233</f>
        <v>6.4882400648824008E-3</v>
      </c>
      <c r="AD403" s="106">
        <f>1115/1233</f>
        <v>0.90429845904298456</v>
      </c>
      <c r="AE403" s="106">
        <f>83/1233</f>
        <v>6.7315490673154912E-2</v>
      </c>
      <c r="AF403" s="106">
        <f>1/1233</f>
        <v>8.110300081103001E-4</v>
      </c>
      <c r="AG403" s="106">
        <f>22/1233</f>
        <v>1.7842660178426603E-2</v>
      </c>
      <c r="AH403" s="106">
        <f>3/1233</f>
        <v>2.4330900243309003E-3</v>
      </c>
      <c r="AI403" s="106">
        <f>1211/1233</f>
        <v>0.98215733982157338</v>
      </c>
      <c r="AJ403" s="105">
        <v>0.90105433901054344</v>
      </c>
      <c r="AK403" s="105">
        <v>5.8394160583941597E-2</v>
      </c>
      <c r="AL403" s="12">
        <v>0</v>
      </c>
      <c r="AM403" s="12">
        <v>0</v>
      </c>
      <c r="AN403" s="12">
        <v>0</v>
      </c>
      <c r="AO403" s="12">
        <v>401</v>
      </c>
      <c r="AP403" s="12">
        <v>330</v>
      </c>
      <c r="AQ403" s="12">
        <v>247</v>
      </c>
      <c r="AR403" s="12">
        <v>255</v>
      </c>
      <c r="AS403" s="59">
        <v>0</v>
      </c>
      <c r="AT403" s="3">
        <v>9</v>
      </c>
      <c r="AU403" s="3">
        <v>6</v>
      </c>
      <c r="AV403" s="52">
        <v>23.4</v>
      </c>
      <c r="AW403" s="52">
        <v>5.2</v>
      </c>
      <c r="AX403" s="52">
        <v>10.199999999999999</v>
      </c>
      <c r="AY403" s="71">
        <v>61.3</v>
      </c>
      <c r="AZ403" s="59">
        <v>0.36569579288025889</v>
      </c>
      <c r="BA403" s="59">
        <v>4.5307443365695792E-3</v>
      </c>
      <c r="BB403" s="78">
        <v>88.081505601139696</v>
      </c>
      <c r="BC403" s="49">
        <v>74.322580645161295</v>
      </c>
      <c r="BD403" s="90" t="s">
        <v>83</v>
      </c>
      <c r="BE403" s="90" t="s">
        <v>83</v>
      </c>
      <c r="BF403" s="49">
        <v>4</v>
      </c>
      <c r="BG403" s="49">
        <v>2.2999999999999998</v>
      </c>
      <c r="BH403" s="49">
        <v>2.7</v>
      </c>
      <c r="BI403" s="49">
        <v>3.9</v>
      </c>
      <c r="BJ403" s="49">
        <v>15.4</v>
      </c>
      <c r="BK403" s="126">
        <v>10488</v>
      </c>
      <c r="BL403" s="126">
        <v>53896</v>
      </c>
      <c r="BM403" s="126">
        <v>50385</v>
      </c>
      <c r="BN403" s="126">
        <v>47356</v>
      </c>
      <c r="BO403" s="59">
        <v>0</v>
      </c>
      <c r="BP403" s="59">
        <v>0.3044</v>
      </c>
      <c r="BQ403" s="59">
        <v>0.3075</v>
      </c>
      <c r="BR403" s="59">
        <v>1E-4</v>
      </c>
      <c r="BS403" s="59">
        <v>0</v>
      </c>
      <c r="BT403" s="49">
        <v>14.1</v>
      </c>
      <c r="BU403" s="59">
        <f t="shared" si="30"/>
        <v>0.61199999999999999</v>
      </c>
      <c r="BV403" s="59">
        <v>1.84E-2</v>
      </c>
      <c r="BW403" s="59">
        <v>1.84E-2</v>
      </c>
      <c r="BX403" s="59">
        <v>4.0300000000000002E-2</v>
      </c>
      <c r="BY403" s="59">
        <v>3.5999999999999999E-3</v>
      </c>
      <c r="BZ403" s="59">
        <v>0</v>
      </c>
      <c r="CA403" s="49">
        <v>15.8</v>
      </c>
      <c r="CB403" s="59">
        <f t="shared" si="31"/>
        <v>8.0700000000000008E-2</v>
      </c>
      <c r="CC403" s="59">
        <v>0.18959999999999999</v>
      </c>
      <c r="CD403" s="59">
        <v>0.38479999999999998</v>
      </c>
      <c r="CE403" s="59">
        <v>0.40450000000000003</v>
      </c>
      <c r="CF403" s="59">
        <v>2.1100000000000001E-2</v>
      </c>
      <c r="CG403" s="59">
        <v>0</v>
      </c>
      <c r="CH403" s="49">
        <v>14.3</v>
      </c>
      <c r="CI403" s="39" t="s">
        <v>178</v>
      </c>
      <c r="CJ403" s="18" t="s">
        <v>479</v>
      </c>
      <c r="CK403" s="20"/>
    </row>
    <row r="404" spans="1:89" x14ac:dyDescent="0.25">
      <c r="A404" s="18" t="s">
        <v>479</v>
      </c>
      <c r="B404" s="39" t="s">
        <v>176</v>
      </c>
      <c r="C404" s="39" t="s">
        <v>179</v>
      </c>
      <c r="D404" s="40">
        <v>101</v>
      </c>
      <c r="E404" s="40" t="s">
        <v>83</v>
      </c>
      <c r="F404" s="40">
        <v>101</v>
      </c>
      <c r="G404" s="162" t="s">
        <v>83</v>
      </c>
      <c r="H404" s="162" t="s">
        <v>83</v>
      </c>
      <c r="I404" s="162" t="s">
        <v>83</v>
      </c>
      <c r="J404" s="163">
        <v>26</v>
      </c>
      <c r="K404" s="163">
        <v>37</v>
      </c>
      <c r="L404" s="163">
        <v>20</v>
      </c>
      <c r="M404" s="163">
        <v>18</v>
      </c>
      <c r="N404" s="115">
        <v>6.7558528428093706E-2</v>
      </c>
      <c r="O404" s="115">
        <v>6.7558528428093706E-2</v>
      </c>
      <c r="P404" s="116" t="s">
        <v>83</v>
      </c>
      <c r="Q404" s="116" t="s">
        <v>83</v>
      </c>
      <c r="R404" s="116" t="s">
        <v>83</v>
      </c>
      <c r="S404" s="115">
        <v>5.1181102362204703E-2</v>
      </c>
      <c r="T404" s="115">
        <v>8.9588377723970894E-2</v>
      </c>
      <c r="U404" s="115">
        <v>6.7114093959731502E-2</v>
      </c>
      <c r="V404" s="115">
        <v>6.5454545454545501E-2</v>
      </c>
      <c r="W404" s="40">
        <v>1208</v>
      </c>
      <c r="X404" s="40">
        <f t="shared" si="32"/>
        <v>1208</v>
      </c>
      <c r="Y404" s="40">
        <f t="shared" si="33"/>
        <v>1208</v>
      </c>
      <c r="Z404" s="105">
        <v>0.48592715231788097</v>
      </c>
      <c r="AA404" s="105">
        <v>0.51407284768211903</v>
      </c>
      <c r="AB404" s="106">
        <f>2/1208</f>
        <v>1.6556291390728477E-3</v>
      </c>
      <c r="AC404" s="106">
        <f>65/1208</f>
        <v>5.3807947019867547E-2</v>
      </c>
      <c r="AD404" s="106">
        <f>929/1208</f>
        <v>0.76903973509933776</v>
      </c>
      <c r="AE404" s="106">
        <f>125/1208</f>
        <v>0.10347682119205298</v>
      </c>
      <c r="AF404" s="106">
        <f>8/1208</f>
        <v>6.6225165562913907E-3</v>
      </c>
      <c r="AG404" s="106">
        <f>77/1208</f>
        <v>6.3741721854304642E-2</v>
      </c>
      <c r="AH404" s="106">
        <f>2/1208</f>
        <v>1.6556291390728477E-3</v>
      </c>
      <c r="AI404" s="106">
        <f>1131/1208</f>
        <v>0.9362582781456954</v>
      </c>
      <c r="AJ404" s="105">
        <v>0.84105960264900659</v>
      </c>
      <c r="AK404" s="105">
        <v>0.11341059602648999</v>
      </c>
      <c r="AL404" s="12">
        <v>0</v>
      </c>
      <c r="AM404" s="12">
        <v>0</v>
      </c>
      <c r="AN404" s="12">
        <v>0</v>
      </c>
      <c r="AO404" s="12">
        <v>381</v>
      </c>
      <c r="AP404" s="12">
        <v>325</v>
      </c>
      <c r="AQ404" s="12">
        <v>253</v>
      </c>
      <c r="AR404" s="12">
        <v>249</v>
      </c>
      <c r="AS404" s="59">
        <v>0</v>
      </c>
      <c r="AT404" s="3">
        <v>9</v>
      </c>
      <c r="AU404" s="3">
        <v>6</v>
      </c>
      <c r="AV404" s="52">
        <v>41.8</v>
      </c>
      <c r="AW404" s="52">
        <v>6.7</v>
      </c>
      <c r="AX404" s="52">
        <v>16.100000000000001</v>
      </c>
      <c r="AY404" s="71">
        <v>35.299999999999997</v>
      </c>
      <c r="AZ404" s="59">
        <v>0.35192837465564736</v>
      </c>
      <c r="BA404" s="59">
        <v>2.0661157024793389E-3</v>
      </c>
      <c r="BB404" s="77">
        <v>87.856144885103802</v>
      </c>
      <c r="BC404" s="49">
        <v>73.987645847632095</v>
      </c>
      <c r="BD404" s="90" t="s">
        <v>83</v>
      </c>
      <c r="BE404" s="90" t="s">
        <v>83</v>
      </c>
      <c r="BF404" s="49">
        <v>13.6</v>
      </c>
      <c r="BG404" s="49">
        <v>10.8</v>
      </c>
      <c r="BH404" s="49">
        <v>5.5</v>
      </c>
      <c r="BI404" s="49">
        <v>7.8</v>
      </c>
      <c r="BJ404" s="49">
        <v>16.8</v>
      </c>
      <c r="BK404" s="126">
        <v>10371</v>
      </c>
      <c r="BL404" s="126">
        <v>54838</v>
      </c>
      <c r="BM404" s="126">
        <v>55915</v>
      </c>
      <c r="BN404" s="126">
        <v>49167</v>
      </c>
      <c r="BO404" s="59">
        <v>0.01</v>
      </c>
      <c r="BP404" s="59">
        <v>0.40899999999999997</v>
      </c>
      <c r="BQ404" s="59">
        <v>0.24079999999999999</v>
      </c>
      <c r="BR404" s="59">
        <v>0</v>
      </c>
      <c r="BS404" s="59">
        <v>0.01</v>
      </c>
      <c r="BT404" s="49">
        <v>15</v>
      </c>
      <c r="BU404" s="59">
        <f t="shared" si="30"/>
        <v>0.66979999999999995</v>
      </c>
      <c r="BV404" s="59">
        <v>0.01</v>
      </c>
      <c r="BW404" s="59">
        <v>1.3100000000000001E-2</v>
      </c>
      <c r="BX404" s="59">
        <v>4.4600000000000001E-2</v>
      </c>
      <c r="BY404" s="59">
        <v>0</v>
      </c>
      <c r="BZ404" s="59">
        <v>0</v>
      </c>
      <c r="CA404" s="49">
        <v>16.8</v>
      </c>
      <c r="CB404" s="59">
        <f t="shared" si="31"/>
        <v>6.770000000000001E-2</v>
      </c>
      <c r="CC404" s="59">
        <v>0.13930000000000001</v>
      </c>
      <c r="CD404" s="59">
        <v>0.48670000000000002</v>
      </c>
      <c r="CE404" s="59">
        <v>0.36409999999999998</v>
      </c>
      <c r="CF404" s="59">
        <v>0</v>
      </c>
      <c r="CG404" s="59">
        <v>0.01</v>
      </c>
      <c r="CH404" s="49">
        <v>14.6</v>
      </c>
      <c r="CI404" s="39" t="s">
        <v>179</v>
      </c>
      <c r="CJ404" s="18" t="s">
        <v>479</v>
      </c>
      <c r="CK404" s="20"/>
    </row>
    <row r="405" spans="1:89" x14ac:dyDescent="0.25">
      <c r="A405" s="18" t="s">
        <v>479</v>
      </c>
      <c r="B405" s="39" t="s">
        <v>176</v>
      </c>
      <c r="C405" s="39" t="s">
        <v>180</v>
      </c>
      <c r="D405" s="40">
        <v>51</v>
      </c>
      <c r="E405" s="40" t="s">
        <v>83</v>
      </c>
      <c r="F405" s="40">
        <v>51</v>
      </c>
      <c r="G405" s="162" t="s">
        <v>83</v>
      </c>
      <c r="H405" s="162" t="s">
        <v>83</v>
      </c>
      <c r="I405" s="163">
        <v>0</v>
      </c>
      <c r="J405" s="163">
        <v>18</v>
      </c>
      <c r="K405" s="163">
        <v>15</v>
      </c>
      <c r="L405" s="163">
        <v>12</v>
      </c>
      <c r="M405" s="163">
        <v>6</v>
      </c>
      <c r="N405" s="115">
        <v>6.5384615384615402E-2</v>
      </c>
      <c r="O405" s="115">
        <v>6.5384615384615402E-2</v>
      </c>
      <c r="P405" s="116" t="s">
        <v>83</v>
      </c>
      <c r="Q405" s="116" t="s">
        <v>83</v>
      </c>
      <c r="R405" s="115">
        <v>0</v>
      </c>
      <c r="S405" s="115">
        <v>6.2717770034843204E-2</v>
      </c>
      <c r="T405" s="115">
        <v>7.8947368421052599E-2</v>
      </c>
      <c r="U405" s="115">
        <v>7.3170731707317097E-2</v>
      </c>
      <c r="V405" s="115">
        <v>4.58015267175573E-2</v>
      </c>
      <c r="W405" s="40">
        <v>623</v>
      </c>
      <c r="X405" s="40">
        <f t="shared" si="32"/>
        <v>623</v>
      </c>
      <c r="Y405" s="40">
        <f t="shared" si="33"/>
        <v>623</v>
      </c>
      <c r="Z405" s="105">
        <v>0.51524879614767305</v>
      </c>
      <c r="AA405" s="105">
        <v>0.48475120385232701</v>
      </c>
      <c r="AB405" s="106">
        <v>0</v>
      </c>
      <c r="AC405" s="106">
        <f>1/623</f>
        <v>1.6051364365971107E-3</v>
      </c>
      <c r="AD405" s="106">
        <f>605/623</f>
        <v>0.971107544141252</v>
      </c>
      <c r="AE405" s="106">
        <f>8/623</f>
        <v>1.2841091492776886E-2</v>
      </c>
      <c r="AF405" s="106">
        <v>0</v>
      </c>
      <c r="AG405" s="106">
        <f>5/623</f>
        <v>8.0256821829855531E-3</v>
      </c>
      <c r="AH405" s="106">
        <f>4/623</f>
        <v>6.420545746388443E-3</v>
      </c>
      <c r="AI405" s="106">
        <f>618/623</f>
        <v>0.99197431781701439</v>
      </c>
      <c r="AJ405" s="105">
        <v>0.9069020866773676</v>
      </c>
      <c r="AK405" s="105">
        <v>4.8154093097913303E-3</v>
      </c>
      <c r="AL405" s="12">
        <v>0</v>
      </c>
      <c r="AM405" s="12">
        <v>0</v>
      </c>
      <c r="AN405" s="12">
        <v>5</v>
      </c>
      <c r="AO405" s="12">
        <v>209</v>
      </c>
      <c r="AP405" s="12">
        <v>159</v>
      </c>
      <c r="AQ405" s="12">
        <v>135</v>
      </c>
      <c r="AR405" s="12">
        <v>115</v>
      </c>
      <c r="AS405" s="59">
        <v>2.336448598130841E-2</v>
      </c>
      <c r="AT405" s="3">
        <v>9</v>
      </c>
      <c r="AU405" s="3">
        <v>6</v>
      </c>
      <c r="AV405" s="52">
        <v>53.4</v>
      </c>
      <c r="AW405" s="52">
        <v>8.6999999999999993</v>
      </c>
      <c r="AX405" s="52">
        <v>18.3</v>
      </c>
      <c r="AY405" s="71">
        <v>19.600000000000001</v>
      </c>
      <c r="AZ405" s="59">
        <v>0.48399999999999999</v>
      </c>
      <c r="BA405" s="59">
        <v>9.3333333333333341E-3</v>
      </c>
      <c r="BB405" s="78">
        <v>86.504978952502299</v>
      </c>
      <c r="BC405" s="49">
        <v>75.529100529100504</v>
      </c>
      <c r="BD405" s="90" t="s">
        <v>83</v>
      </c>
      <c r="BE405" s="90" t="s">
        <v>83</v>
      </c>
      <c r="BF405" s="49">
        <v>17.899999999999999</v>
      </c>
      <c r="BG405" s="49">
        <v>10.4</v>
      </c>
      <c r="BH405" s="49">
        <v>9.6999999999999993</v>
      </c>
      <c r="BI405" s="49">
        <v>11.3</v>
      </c>
      <c r="BJ405" s="49">
        <v>15.2</v>
      </c>
      <c r="BK405" s="126">
        <v>13327</v>
      </c>
      <c r="BL405" s="126">
        <v>57050</v>
      </c>
      <c r="BM405" s="126">
        <v>53953</v>
      </c>
      <c r="BN405" s="126">
        <v>48691</v>
      </c>
      <c r="BO405" s="59">
        <v>0</v>
      </c>
      <c r="BP405" s="59">
        <v>0.27489999999999998</v>
      </c>
      <c r="BQ405" s="59">
        <v>0.26829999999999998</v>
      </c>
      <c r="BR405" s="59">
        <v>0</v>
      </c>
      <c r="BS405" s="59">
        <v>6.8199999999999997E-2</v>
      </c>
      <c r="BT405" s="49">
        <v>17.600000000000001</v>
      </c>
      <c r="BU405" s="59">
        <f t="shared" si="30"/>
        <v>0.61139999999999994</v>
      </c>
      <c r="BV405" s="59">
        <v>3.9399999999999998E-2</v>
      </c>
      <c r="BW405" s="59">
        <v>1.2999999999999999E-3</v>
      </c>
      <c r="BX405" s="59">
        <v>4.0500000000000001E-2</v>
      </c>
      <c r="BY405" s="59">
        <v>0</v>
      </c>
      <c r="BZ405" s="59">
        <v>0</v>
      </c>
      <c r="CA405" s="49">
        <v>21</v>
      </c>
      <c r="CB405" s="59">
        <f t="shared" si="31"/>
        <v>8.1199999999999994E-2</v>
      </c>
      <c r="CC405" s="59">
        <v>0.2276</v>
      </c>
      <c r="CD405" s="59">
        <v>0.32169999999999999</v>
      </c>
      <c r="CE405" s="59">
        <v>0.38250000000000001</v>
      </c>
      <c r="CF405" s="59">
        <v>0</v>
      </c>
      <c r="CG405" s="59">
        <v>6.8199999999999997E-2</v>
      </c>
      <c r="CH405" s="49">
        <v>17</v>
      </c>
      <c r="CI405" s="39" t="s">
        <v>180</v>
      </c>
      <c r="CJ405" s="18" t="s">
        <v>479</v>
      </c>
      <c r="CK405" s="20"/>
    </row>
    <row r="406" spans="1:89" x14ac:dyDescent="0.25">
      <c r="A406" s="18" t="s">
        <v>479</v>
      </c>
      <c r="B406" s="39" t="s">
        <v>176</v>
      </c>
      <c r="C406" s="39" t="s">
        <v>181</v>
      </c>
      <c r="D406" s="40">
        <v>110</v>
      </c>
      <c r="E406" s="40" t="s">
        <v>83</v>
      </c>
      <c r="F406" s="40">
        <v>110</v>
      </c>
      <c r="G406" s="162" t="s">
        <v>83</v>
      </c>
      <c r="H406" s="162" t="s">
        <v>83</v>
      </c>
      <c r="I406" s="163">
        <v>0</v>
      </c>
      <c r="J406" s="163">
        <v>38</v>
      </c>
      <c r="K406" s="163">
        <v>23</v>
      </c>
      <c r="L406" s="163">
        <v>26</v>
      </c>
      <c r="M406" s="163">
        <v>23</v>
      </c>
      <c r="N406" s="115">
        <v>6.6585956416464906E-2</v>
      </c>
      <c r="O406" s="115">
        <v>6.6585956416464906E-2</v>
      </c>
      <c r="P406" s="116" t="s">
        <v>83</v>
      </c>
      <c r="Q406" s="116" t="s">
        <v>83</v>
      </c>
      <c r="R406" s="115">
        <v>0</v>
      </c>
      <c r="S406" s="115">
        <v>7.4074074074074098E-2</v>
      </c>
      <c r="T406" s="115">
        <v>5.18018018018018E-2</v>
      </c>
      <c r="U406" s="115">
        <v>6.8965517241379296E-2</v>
      </c>
      <c r="V406" s="115">
        <v>7.32484076433121E-2</v>
      </c>
      <c r="W406" s="40">
        <v>1419</v>
      </c>
      <c r="X406" s="40">
        <f t="shared" si="32"/>
        <v>1419</v>
      </c>
      <c r="Y406" s="40">
        <f t="shared" si="33"/>
        <v>1419</v>
      </c>
      <c r="Z406" s="105">
        <v>0.48766737138830202</v>
      </c>
      <c r="AA406" s="105">
        <v>0.51233262861169804</v>
      </c>
      <c r="AB406" s="106">
        <v>0</v>
      </c>
      <c r="AC406" s="106">
        <f>32/1419</f>
        <v>2.255109231853418E-2</v>
      </c>
      <c r="AD406" s="106">
        <f>1206/1419</f>
        <v>0.84989429175475684</v>
      </c>
      <c r="AE406" s="106">
        <f>73/1419</f>
        <v>5.1444679351656093E-2</v>
      </c>
      <c r="AF406" s="106">
        <f>4/1419</f>
        <v>2.8188865398167725E-3</v>
      </c>
      <c r="AG406" s="106">
        <f>99/1419</f>
        <v>6.9767441860465115E-2</v>
      </c>
      <c r="AH406" s="106">
        <f>5/1419</f>
        <v>3.5236081747709656E-3</v>
      </c>
      <c r="AI406" s="106">
        <f>1320/1419</f>
        <v>0.93023255813953487</v>
      </c>
      <c r="AJ406" s="105">
        <v>0.76603241719520787</v>
      </c>
      <c r="AK406" s="105">
        <v>4.7921071176885099E-2</v>
      </c>
      <c r="AL406" s="12">
        <v>0</v>
      </c>
      <c r="AM406" s="12">
        <v>0</v>
      </c>
      <c r="AN406" s="12">
        <v>4</v>
      </c>
      <c r="AO406" s="12">
        <v>420</v>
      </c>
      <c r="AP406" s="12">
        <v>384</v>
      </c>
      <c r="AQ406" s="12">
        <v>337</v>
      </c>
      <c r="AR406" s="12">
        <v>274</v>
      </c>
      <c r="AS406" s="59">
        <v>9.433962264150943E-3</v>
      </c>
      <c r="AT406" s="3">
        <v>9</v>
      </c>
      <c r="AU406" s="3">
        <v>6</v>
      </c>
      <c r="AV406" s="52">
        <v>47.4</v>
      </c>
      <c r="AW406" s="52">
        <v>12.5</v>
      </c>
      <c r="AX406" s="52">
        <v>18.5</v>
      </c>
      <c r="AY406" s="71">
        <v>21.6</v>
      </c>
      <c r="AZ406" s="59">
        <v>0.27798507462686567</v>
      </c>
      <c r="BA406" s="59">
        <v>8.0845771144278603E-3</v>
      </c>
      <c r="BB406" s="77">
        <v>89.747358093330305</v>
      </c>
      <c r="BC406" s="49">
        <v>74.394033561218095</v>
      </c>
      <c r="BD406" s="90" t="s">
        <v>83</v>
      </c>
      <c r="BE406" s="90" t="s">
        <v>83</v>
      </c>
      <c r="BF406" s="49">
        <v>12.8</v>
      </c>
      <c r="BG406" s="49">
        <v>12.8</v>
      </c>
      <c r="BH406" s="49">
        <v>10.199999999999999</v>
      </c>
      <c r="BI406" s="49">
        <v>6.9</v>
      </c>
      <c r="BJ406" s="49">
        <v>18.8</v>
      </c>
      <c r="BK406" s="126">
        <v>11300</v>
      </c>
      <c r="BL406" s="126">
        <v>53139</v>
      </c>
      <c r="BM406" s="126">
        <v>53051</v>
      </c>
      <c r="BN406" s="126">
        <v>49468</v>
      </c>
      <c r="BO406" s="59">
        <v>0</v>
      </c>
      <c r="BP406" s="59">
        <v>0.34960000000000002</v>
      </c>
      <c r="BQ406" s="59">
        <v>0.34010000000000001</v>
      </c>
      <c r="BR406" s="59">
        <v>7.7000000000000002E-3</v>
      </c>
      <c r="BS406" s="59">
        <v>4.5900000000000003E-2</v>
      </c>
      <c r="BT406" s="49">
        <v>13.4</v>
      </c>
      <c r="BU406" s="59">
        <f t="shared" si="30"/>
        <v>0.74330000000000007</v>
      </c>
      <c r="BV406" s="59">
        <v>1.95E-2</v>
      </c>
      <c r="BW406" s="59">
        <v>7.7000000000000002E-3</v>
      </c>
      <c r="BX406" s="59">
        <v>2.3300000000000001E-2</v>
      </c>
      <c r="BY406" s="59">
        <v>0</v>
      </c>
      <c r="BZ406" s="59">
        <v>7.7000000000000002E-3</v>
      </c>
      <c r="CA406" s="49">
        <v>19.399999999999999</v>
      </c>
      <c r="CB406" s="59">
        <f t="shared" si="31"/>
        <v>5.8200000000000002E-2</v>
      </c>
      <c r="CC406" s="59">
        <v>9.8900000000000002E-2</v>
      </c>
      <c r="CD406" s="59">
        <v>0.40920000000000001</v>
      </c>
      <c r="CE406" s="59">
        <v>0.42299999999999999</v>
      </c>
      <c r="CF406" s="59">
        <v>7.7000000000000002E-3</v>
      </c>
      <c r="CG406" s="59">
        <v>6.1199999999999997E-2</v>
      </c>
      <c r="CH406" s="49">
        <v>13.4</v>
      </c>
      <c r="CI406" s="39" t="s">
        <v>181</v>
      </c>
      <c r="CJ406" s="18" t="s">
        <v>479</v>
      </c>
      <c r="CK406" s="20"/>
    </row>
    <row r="407" spans="1:89" x14ac:dyDescent="0.25">
      <c r="A407" s="18" t="s">
        <v>479</v>
      </c>
      <c r="B407" s="39" t="s">
        <v>176</v>
      </c>
      <c r="C407" s="39" t="s">
        <v>182</v>
      </c>
      <c r="D407" s="40">
        <v>19</v>
      </c>
      <c r="E407" s="40">
        <v>3</v>
      </c>
      <c r="F407" s="40">
        <v>16</v>
      </c>
      <c r="G407" s="163">
        <v>1</v>
      </c>
      <c r="H407" s="163">
        <v>2</v>
      </c>
      <c r="I407" s="162" t="s">
        <v>83</v>
      </c>
      <c r="J407" s="163">
        <v>5</v>
      </c>
      <c r="K407" s="163">
        <v>5</v>
      </c>
      <c r="L407" s="163">
        <v>3</v>
      </c>
      <c r="M407" s="163">
        <v>3</v>
      </c>
      <c r="N407" s="115">
        <v>3.2040472175379399E-2</v>
      </c>
      <c r="O407" s="115">
        <v>3.8740920096852302E-2</v>
      </c>
      <c r="P407" s="115">
        <v>1.1494252873563199E-2</v>
      </c>
      <c r="Q407" s="115">
        <v>2.1505376344085999E-2</v>
      </c>
      <c r="R407" s="116" t="s">
        <v>83</v>
      </c>
      <c r="S407" s="115">
        <v>4.3859649122807001E-2</v>
      </c>
      <c r="T407" s="115">
        <v>3.6764705882352901E-2</v>
      </c>
      <c r="U407" s="115">
        <v>4.1095890410958902E-2</v>
      </c>
      <c r="V407" s="115">
        <v>3.3333333333333298E-2</v>
      </c>
      <c r="W407" s="40">
        <v>513</v>
      </c>
      <c r="X407" s="40">
        <f t="shared" si="32"/>
        <v>361</v>
      </c>
      <c r="Y407" s="40">
        <f t="shared" si="33"/>
        <v>513</v>
      </c>
      <c r="Z407" s="105">
        <v>0.46393762183235898</v>
      </c>
      <c r="AA407" s="105">
        <v>0.53606237816764102</v>
      </c>
      <c r="AB407" s="106">
        <f>2/513</f>
        <v>3.8986354775828458E-3</v>
      </c>
      <c r="AC407" s="106">
        <f>1/513</f>
        <v>1.9493177387914229E-3</v>
      </c>
      <c r="AD407" s="106">
        <f>419/513</f>
        <v>0.81676413255360625</v>
      </c>
      <c r="AE407" s="106">
        <f>12/513</f>
        <v>2.3391812865497075E-2</v>
      </c>
      <c r="AF407" s="106">
        <v>0</v>
      </c>
      <c r="AG407" s="106">
        <f>76/513</f>
        <v>0.14814814814814814</v>
      </c>
      <c r="AH407" s="106">
        <f>3/513</f>
        <v>5.8479532163742687E-3</v>
      </c>
      <c r="AI407" s="106">
        <f>437/513</f>
        <v>0.85185185185185186</v>
      </c>
      <c r="AJ407" s="105">
        <v>0.85380116959064323</v>
      </c>
      <c r="AK407" s="105">
        <v>5.8479532163742704E-3</v>
      </c>
      <c r="AL407" s="12">
        <v>74</v>
      </c>
      <c r="AM407" s="12">
        <v>78</v>
      </c>
      <c r="AN407" s="12">
        <v>0</v>
      </c>
      <c r="AO407" s="12">
        <v>93</v>
      </c>
      <c r="AP407" s="12">
        <v>119</v>
      </c>
      <c r="AQ407" s="12">
        <v>62</v>
      </c>
      <c r="AR407" s="12">
        <v>87</v>
      </c>
      <c r="AS407" s="59">
        <v>0</v>
      </c>
      <c r="AT407" s="3">
        <v>7</v>
      </c>
      <c r="AU407" s="3">
        <v>6</v>
      </c>
      <c r="AV407" s="52">
        <v>55.6</v>
      </c>
      <c r="AW407" s="52">
        <v>24.8</v>
      </c>
      <c r="AX407" s="52">
        <v>18.600000000000001</v>
      </c>
      <c r="AY407" s="71">
        <v>1</v>
      </c>
      <c r="AZ407" s="59">
        <v>0.18505942275042445</v>
      </c>
      <c r="BA407" s="59">
        <v>0</v>
      </c>
      <c r="BB407" s="77">
        <v>93.5441752502539</v>
      </c>
      <c r="BC407" s="49">
        <v>50</v>
      </c>
      <c r="BD407" s="49">
        <v>5.6</v>
      </c>
      <c r="BE407" s="49">
        <v>2.6</v>
      </c>
      <c r="BF407" s="49">
        <v>1.1000000000000001</v>
      </c>
      <c r="BG407" s="49">
        <v>5.0999999999999996</v>
      </c>
      <c r="BH407" s="49">
        <v>1.7</v>
      </c>
      <c r="BI407" s="49">
        <v>3.9</v>
      </c>
      <c r="BJ407" s="49">
        <v>16.8</v>
      </c>
      <c r="BK407" s="126">
        <v>15275</v>
      </c>
      <c r="BL407" s="126">
        <v>58118</v>
      </c>
      <c r="BM407" s="126">
        <v>63854</v>
      </c>
      <c r="BN407" s="126">
        <v>52225</v>
      </c>
      <c r="BO407" s="59">
        <v>9.7999999999999997E-3</v>
      </c>
      <c r="BP407" s="59">
        <v>0.32</v>
      </c>
      <c r="BQ407" s="59">
        <v>0.26190000000000002</v>
      </c>
      <c r="BR407" s="59">
        <v>2.75E-2</v>
      </c>
      <c r="BS407" s="59">
        <v>1.3899999999999999E-2</v>
      </c>
      <c r="BT407" s="49">
        <v>16.399999999999999</v>
      </c>
      <c r="BU407" s="59">
        <f t="shared" si="30"/>
        <v>0.6331</v>
      </c>
      <c r="BV407" s="59">
        <v>4.1700000000000001E-2</v>
      </c>
      <c r="BW407" s="59">
        <v>0</v>
      </c>
      <c r="BX407" s="59">
        <v>4.1700000000000001E-2</v>
      </c>
      <c r="BY407" s="59">
        <v>1.34E-2</v>
      </c>
      <c r="BZ407" s="59">
        <v>0</v>
      </c>
      <c r="CA407" s="49">
        <v>26.4</v>
      </c>
      <c r="CB407" s="59">
        <f t="shared" si="31"/>
        <v>9.6799999999999997E-2</v>
      </c>
      <c r="CC407" s="59">
        <v>0.1857</v>
      </c>
      <c r="CD407" s="59">
        <v>0.39989999999999998</v>
      </c>
      <c r="CE407" s="59">
        <v>0.35920000000000002</v>
      </c>
      <c r="CF407" s="59">
        <v>4.1399999999999999E-2</v>
      </c>
      <c r="CG407" s="59">
        <v>1.3899999999999999E-2</v>
      </c>
      <c r="CH407" s="49">
        <v>17.2</v>
      </c>
      <c r="CI407" s="39" t="s">
        <v>182</v>
      </c>
      <c r="CJ407" s="18" t="s">
        <v>479</v>
      </c>
      <c r="CK407" s="20"/>
    </row>
    <row r="408" spans="1:89" x14ac:dyDescent="0.25">
      <c r="A408" s="18" t="s">
        <v>479</v>
      </c>
      <c r="B408" s="39" t="s">
        <v>176</v>
      </c>
      <c r="C408" s="39" t="s">
        <v>183</v>
      </c>
      <c r="D408" s="40">
        <v>72</v>
      </c>
      <c r="E408" s="40" t="s">
        <v>83</v>
      </c>
      <c r="F408" s="40">
        <v>72</v>
      </c>
      <c r="G408" s="162" t="s">
        <v>83</v>
      </c>
      <c r="H408" s="162" t="s">
        <v>83</v>
      </c>
      <c r="I408" s="163">
        <v>2</v>
      </c>
      <c r="J408" s="163">
        <v>16</v>
      </c>
      <c r="K408" s="163">
        <v>23</v>
      </c>
      <c r="L408" s="163">
        <v>19</v>
      </c>
      <c r="M408" s="163">
        <v>12</v>
      </c>
      <c r="N408" s="115">
        <v>4.6421663442939999E-2</v>
      </c>
      <c r="O408" s="115">
        <v>4.6421663442939999E-2</v>
      </c>
      <c r="P408" s="116" t="s">
        <v>83</v>
      </c>
      <c r="Q408" s="116" t="s">
        <v>83</v>
      </c>
      <c r="R408" s="115">
        <v>0.28571428571428598</v>
      </c>
      <c r="S408" s="115">
        <v>3.7209302325581402E-2</v>
      </c>
      <c r="T408" s="115">
        <v>5.2272727272727297E-2</v>
      </c>
      <c r="U408" s="115">
        <v>5.2054794520547898E-2</v>
      </c>
      <c r="V408" s="115">
        <v>3.8834951456310697E-2</v>
      </c>
      <c r="W408" s="40">
        <v>1388</v>
      </c>
      <c r="X408" s="40">
        <f t="shared" si="32"/>
        <v>1388</v>
      </c>
      <c r="Y408" s="40">
        <f t="shared" si="33"/>
        <v>1388</v>
      </c>
      <c r="Z408" s="105">
        <v>0.54034582132564801</v>
      </c>
      <c r="AA408" s="105">
        <v>0.45965417867435199</v>
      </c>
      <c r="AB408" s="106">
        <v>0</v>
      </c>
      <c r="AC408" s="106">
        <v>0</v>
      </c>
      <c r="AD408" s="106">
        <f>1370/1388</f>
        <v>0.98703170028818443</v>
      </c>
      <c r="AE408" s="106">
        <f>4/1388</f>
        <v>2.881844380403458E-3</v>
      </c>
      <c r="AF408" s="106">
        <v>0</v>
      </c>
      <c r="AG408" s="106">
        <f>10/1388</f>
        <v>7.2046109510086453E-3</v>
      </c>
      <c r="AH408" s="106">
        <f>4/1388</f>
        <v>2.881844380403458E-3</v>
      </c>
      <c r="AI408" s="106">
        <f>1378/1388</f>
        <v>0.99279538904899134</v>
      </c>
      <c r="AJ408" s="105">
        <v>0.84149855907780979</v>
      </c>
      <c r="AK408" s="105">
        <v>7.2046109510086505E-4</v>
      </c>
      <c r="AL408" s="12">
        <v>0</v>
      </c>
      <c r="AM408" s="12">
        <v>0</v>
      </c>
      <c r="AN408" s="12">
        <v>4</v>
      </c>
      <c r="AO408" s="12">
        <v>373</v>
      </c>
      <c r="AP408" s="12">
        <v>393</v>
      </c>
      <c r="AQ408" s="12">
        <v>320</v>
      </c>
      <c r="AR408" s="12">
        <v>298</v>
      </c>
      <c r="AS408" s="59">
        <v>1.0610079575596816E-2</v>
      </c>
      <c r="AT408" s="3">
        <v>9</v>
      </c>
      <c r="AU408" s="3">
        <v>6</v>
      </c>
      <c r="AV408" s="52">
        <v>36.9</v>
      </c>
      <c r="AW408" s="52">
        <v>15.6</v>
      </c>
      <c r="AX408" s="52">
        <v>27.2</v>
      </c>
      <c r="AY408" s="71">
        <v>20.3</v>
      </c>
      <c r="AZ408" s="59">
        <v>0.23778071334214002</v>
      </c>
      <c r="BA408" s="59">
        <v>2.7080581241743725E-2</v>
      </c>
      <c r="BB408" s="78">
        <v>93.236017068033405</v>
      </c>
      <c r="BC408" s="49">
        <v>63.961038961039002</v>
      </c>
      <c r="BD408" s="90" t="s">
        <v>83</v>
      </c>
      <c r="BE408" s="90" t="s">
        <v>83</v>
      </c>
      <c r="BF408" s="49">
        <v>12.6</v>
      </c>
      <c r="BG408" s="49">
        <v>6.4</v>
      </c>
      <c r="BH408" s="49">
        <v>7.5</v>
      </c>
      <c r="BI408" s="49">
        <v>1.7</v>
      </c>
      <c r="BJ408" s="49">
        <v>17.8</v>
      </c>
      <c r="BK408" s="126">
        <v>10964</v>
      </c>
      <c r="BL408" s="126">
        <v>54284</v>
      </c>
      <c r="BM408" s="126">
        <v>53158</v>
      </c>
      <c r="BN408" s="126">
        <v>48531</v>
      </c>
      <c r="BO408" s="59">
        <v>0</v>
      </c>
      <c r="BP408" s="59">
        <v>0.30880000000000002</v>
      </c>
      <c r="BQ408" s="59">
        <v>0.34739999999999999</v>
      </c>
      <c r="BR408" s="59">
        <v>0</v>
      </c>
      <c r="BS408" s="59">
        <v>2.41E-2</v>
      </c>
      <c r="BT408" s="49">
        <v>15.2</v>
      </c>
      <c r="BU408" s="59">
        <f t="shared" si="30"/>
        <v>0.68030000000000002</v>
      </c>
      <c r="BV408" s="59">
        <v>1.5699999999999999E-2</v>
      </c>
      <c r="BW408" s="59">
        <v>8.0000000000000002E-3</v>
      </c>
      <c r="BX408" s="59">
        <v>2.4E-2</v>
      </c>
      <c r="BY408" s="59">
        <v>0</v>
      </c>
      <c r="BZ408" s="59">
        <v>9.5999999999999992E-3</v>
      </c>
      <c r="CA408" s="49">
        <v>18.8</v>
      </c>
      <c r="CB408" s="59">
        <f t="shared" si="31"/>
        <v>5.7299999999999997E-2</v>
      </c>
      <c r="CC408" s="59">
        <v>0.12089999999999999</v>
      </c>
      <c r="CD408" s="59">
        <v>0.40079999999999999</v>
      </c>
      <c r="CE408" s="59">
        <v>0.43890000000000001</v>
      </c>
      <c r="CF408" s="59">
        <v>5.7999999999999996E-3</v>
      </c>
      <c r="CG408" s="59">
        <v>3.3599999999999998E-2</v>
      </c>
      <c r="CH408" s="49">
        <v>14.2</v>
      </c>
      <c r="CI408" s="39" t="s">
        <v>183</v>
      </c>
      <c r="CJ408" s="18" t="s">
        <v>479</v>
      </c>
      <c r="CK408" s="20"/>
    </row>
    <row r="409" spans="1:89" x14ac:dyDescent="0.25">
      <c r="A409" s="18" t="s">
        <v>479</v>
      </c>
      <c r="B409" s="39" t="s">
        <v>176</v>
      </c>
      <c r="C409" s="39" t="s">
        <v>184</v>
      </c>
      <c r="D409" s="40">
        <v>98</v>
      </c>
      <c r="E409" s="40" t="s">
        <v>83</v>
      </c>
      <c r="F409" s="40">
        <v>98</v>
      </c>
      <c r="G409" s="162" t="s">
        <v>83</v>
      </c>
      <c r="H409" s="162" t="s">
        <v>83</v>
      </c>
      <c r="I409" s="162" t="s">
        <v>83</v>
      </c>
      <c r="J409" s="163">
        <v>20</v>
      </c>
      <c r="K409" s="163">
        <v>29</v>
      </c>
      <c r="L409" s="163">
        <v>35</v>
      </c>
      <c r="M409" s="163">
        <v>14</v>
      </c>
      <c r="N409" s="115">
        <v>6.7914067914067899E-2</v>
      </c>
      <c r="O409" s="115">
        <v>6.7914067914067899E-2</v>
      </c>
      <c r="P409" s="116" t="s">
        <v>83</v>
      </c>
      <c r="Q409" s="116" t="s">
        <v>83</v>
      </c>
      <c r="R409" s="116" t="s">
        <v>83</v>
      </c>
      <c r="S409" s="115">
        <v>4.3572984749455299E-2</v>
      </c>
      <c r="T409" s="115">
        <v>7.1078431372549003E-2</v>
      </c>
      <c r="U409" s="115">
        <v>9.6952908587257594E-2</v>
      </c>
      <c r="V409" s="115">
        <v>6.5420560747663503E-2</v>
      </c>
      <c r="W409" s="40">
        <v>1093</v>
      </c>
      <c r="X409" s="40">
        <f t="shared" si="32"/>
        <v>1093</v>
      </c>
      <c r="Y409" s="40">
        <f t="shared" si="33"/>
        <v>1093</v>
      </c>
      <c r="Z409" s="105">
        <v>0.47301006404391599</v>
      </c>
      <c r="AA409" s="105">
        <v>0.52698993595608401</v>
      </c>
      <c r="AB409" s="106">
        <v>0</v>
      </c>
      <c r="AC409" s="106">
        <f>16/1093</f>
        <v>1.463860933211345E-2</v>
      </c>
      <c r="AD409" s="106">
        <f>906/1093</f>
        <v>0.82891125343092409</v>
      </c>
      <c r="AE409" s="106">
        <f>96/1093</f>
        <v>8.7831655992680696E-2</v>
      </c>
      <c r="AF409" s="106">
        <f>2/1093</f>
        <v>1.8298261665141812E-3</v>
      </c>
      <c r="AG409" s="106">
        <f>67/1093</f>
        <v>6.1299176578225069E-2</v>
      </c>
      <c r="AH409" s="106">
        <f>6/1093</f>
        <v>5.4894784995425435E-3</v>
      </c>
      <c r="AI409" s="106">
        <f>1026/1093</f>
        <v>0.93870082342177497</v>
      </c>
      <c r="AJ409" s="105">
        <v>0.85544373284537967</v>
      </c>
      <c r="AK409" s="105">
        <v>8.6916742909423597E-2</v>
      </c>
      <c r="AL409" s="12">
        <v>0</v>
      </c>
      <c r="AM409" s="12">
        <v>0</v>
      </c>
      <c r="AN409" s="12">
        <v>0</v>
      </c>
      <c r="AO409" s="12">
        <v>311</v>
      </c>
      <c r="AP409" s="12">
        <v>313</v>
      </c>
      <c r="AQ409" s="12">
        <v>288</v>
      </c>
      <c r="AR409" s="12">
        <v>181</v>
      </c>
      <c r="AS409" s="59">
        <v>0</v>
      </c>
      <c r="AT409" s="3">
        <v>9</v>
      </c>
      <c r="AU409" s="3">
        <v>6</v>
      </c>
      <c r="AV409" s="52">
        <v>30.5</v>
      </c>
      <c r="AW409" s="52">
        <v>12.8</v>
      </c>
      <c r="AX409" s="52">
        <v>29.6</v>
      </c>
      <c r="AY409" s="71">
        <v>27.2</v>
      </c>
      <c r="AZ409" s="59">
        <v>0.27350427350427353</v>
      </c>
      <c r="BA409" s="59">
        <v>3.5612535612535613E-3</v>
      </c>
      <c r="BB409" s="77">
        <v>89.235256537813001</v>
      </c>
      <c r="BC409" s="49">
        <v>69.580419580419601</v>
      </c>
      <c r="BD409" s="90" t="s">
        <v>83</v>
      </c>
      <c r="BE409" s="90" t="s">
        <v>83</v>
      </c>
      <c r="BF409" s="49">
        <v>6.6</v>
      </c>
      <c r="BG409" s="49">
        <v>5.2</v>
      </c>
      <c r="BH409" s="49">
        <v>12.9</v>
      </c>
      <c r="BI409" s="49">
        <v>9.6999999999999993</v>
      </c>
      <c r="BJ409" s="49">
        <v>17.3</v>
      </c>
      <c r="BK409" s="126">
        <v>11461</v>
      </c>
      <c r="BL409" s="126">
        <v>54043</v>
      </c>
      <c r="BM409" s="126">
        <v>46833</v>
      </c>
      <c r="BN409" s="126">
        <v>47511</v>
      </c>
      <c r="BO409" s="59">
        <v>1.47E-2</v>
      </c>
      <c r="BP409" s="59">
        <v>0.34</v>
      </c>
      <c r="BQ409" s="59">
        <v>0.28110000000000002</v>
      </c>
      <c r="BR409" s="59">
        <v>1.6400000000000001E-2</v>
      </c>
      <c r="BS409" s="59">
        <v>2.2700000000000001E-2</v>
      </c>
      <c r="BT409" s="49">
        <v>14.9</v>
      </c>
      <c r="BU409" s="59">
        <f t="shared" si="30"/>
        <v>0.67490000000000006</v>
      </c>
      <c r="BV409" s="59">
        <v>3.6799999999999999E-2</v>
      </c>
      <c r="BW409" s="59">
        <v>9.1999999999999998E-3</v>
      </c>
      <c r="BX409" s="59">
        <v>3.2500000000000001E-2</v>
      </c>
      <c r="BY409" s="59">
        <v>9.1999999999999998E-3</v>
      </c>
      <c r="BZ409" s="59">
        <v>0</v>
      </c>
      <c r="CA409" s="49">
        <v>19.3</v>
      </c>
      <c r="CB409" s="59">
        <f t="shared" si="31"/>
        <v>8.77E-2</v>
      </c>
      <c r="CC409" s="59">
        <v>0.1273</v>
      </c>
      <c r="CD409" s="59">
        <v>0.42949999999999999</v>
      </c>
      <c r="CE409" s="59">
        <v>0.38569999999999999</v>
      </c>
      <c r="CF409" s="59">
        <v>2.5600000000000001E-2</v>
      </c>
      <c r="CG409" s="59">
        <v>3.1899999999999998E-2</v>
      </c>
      <c r="CH409" s="49">
        <v>14.3</v>
      </c>
      <c r="CI409" s="39" t="s">
        <v>184</v>
      </c>
      <c r="CJ409" s="18" t="s">
        <v>479</v>
      </c>
      <c r="CK409" s="20"/>
    </row>
    <row r="410" spans="1:89" x14ac:dyDescent="0.25">
      <c r="A410" s="18" t="s">
        <v>479</v>
      </c>
      <c r="B410" s="39" t="s">
        <v>176</v>
      </c>
      <c r="C410" s="39" t="s">
        <v>185</v>
      </c>
      <c r="D410" s="40">
        <v>72</v>
      </c>
      <c r="E410" s="40" t="s">
        <v>83</v>
      </c>
      <c r="F410" s="40">
        <v>72</v>
      </c>
      <c r="G410" s="162" t="s">
        <v>83</v>
      </c>
      <c r="H410" s="162" t="s">
        <v>83</v>
      </c>
      <c r="I410" s="162" t="s">
        <v>83</v>
      </c>
      <c r="J410" s="163">
        <v>20</v>
      </c>
      <c r="K410" s="163">
        <v>18</v>
      </c>
      <c r="L410" s="163">
        <v>13</v>
      </c>
      <c r="M410" s="163">
        <v>21</v>
      </c>
      <c r="N410" s="115">
        <v>5.1245551601423502E-2</v>
      </c>
      <c r="O410" s="115">
        <v>5.1245551601423502E-2</v>
      </c>
      <c r="P410" s="116" t="s">
        <v>83</v>
      </c>
      <c r="Q410" s="116" t="s">
        <v>83</v>
      </c>
      <c r="R410" s="116" t="s">
        <v>83</v>
      </c>
      <c r="S410" s="115">
        <v>4.5558086560364502E-2</v>
      </c>
      <c r="T410" s="115">
        <v>4.58015267175573E-2</v>
      </c>
      <c r="U410" s="115">
        <v>4.5774647887323897E-2</v>
      </c>
      <c r="V410" s="115">
        <v>7.3170731707317097E-2</v>
      </c>
      <c r="W410" s="40">
        <v>1225</v>
      </c>
      <c r="X410" s="40">
        <f t="shared" si="32"/>
        <v>1225</v>
      </c>
      <c r="Y410" s="40">
        <f t="shared" si="33"/>
        <v>1225</v>
      </c>
      <c r="Z410" s="105">
        <v>0.44244897959183699</v>
      </c>
      <c r="AA410" s="105">
        <v>0.55755102040816296</v>
      </c>
      <c r="AB410" s="106">
        <f>2/1225</f>
        <v>1.6326530612244899E-3</v>
      </c>
      <c r="AC410" s="106">
        <f>46/1225</f>
        <v>3.7551020408163265E-2</v>
      </c>
      <c r="AD410" s="106">
        <f>741/1225</f>
        <v>0.60489795918367351</v>
      </c>
      <c r="AE410" s="106">
        <f>125/1225</f>
        <v>0.10204081632653061</v>
      </c>
      <c r="AF410" s="106">
        <f>1/1225</f>
        <v>8.1632653061224493E-4</v>
      </c>
      <c r="AG410" s="106">
        <f>290/1225</f>
        <v>0.23673469387755103</v>
      </c>
      <c r="AH410" s="106">
        <f>20/1225</f>
        <v>1.6326530612244899E-2</v>
      </c>
      <c r="AI410" s="106">
        <f>935/1225</f>
        <v>0.76326530612244903</v>
      </c>
      <c r="AJ410" s="105">
        <v>0.66857142857142859</v>
      </c>
      <c r="AK410" s="105">
        <v>7.2653061224489807E-2</v>
      </c>
      <c r="AL410" s="12">
        <v>0</v>
      </c>
      <c r="AM410" s="12">
        <v>0</v>
      </c>
      <c r="AN410" s="12">
        <v>0</v>
      </c>
      <c r="AO410" s="12">
        <v>364</v>
      </c>
      <c r="AP410" s="12">
        <v>343</v>
      </c>
      <c r="AQ410" s="12">
        <v>258</v>
      </c>
      <c r="AR410" s="12">
        <v>260</v>
      </c>
      <c r="AS410" s="59">
        <v>0</v>
      </c>
      <c r="AT410" s="3">
        <v>9</v>
      </c>
      <c r="AU410" s="3">
        <v>6</v>
      </c>
      <c r="AV410" s="52">
        <v>55.2</v>
      </c>
      <c r="AW410" s="52">
        <v>10</v>
      </c>
      <c r="AX410" s="52">
        <v>18.399999999999999</v>
      </c>
      <c r="AY410" s="71">
        <v>16.399999999999999</v>
      </c>
      <c r="AZ410" s="59">
        <v>0.38422575976845152</v>
      </c>
      <c r="BA410" s="59">
        <v>7.2358900144717795E-4</v>
      </c>
      <c r="BB410" s="77">
        <v>92.233101735561505</v>
      </c>
      <c r="BC410" s="49">
        <v>71.088680605623694</v>
      </c>
      <c r="BD410" s="90" t="s">
        <v>83</v>
      </c>
      <c r="BE410" s="90" t="s">
        <v>83</v>
      </c>
      <c r="BF410" s="49">
        <v>14</v>
      </c>
      <c r="BG410" s="49">
        <v>7.7</v>
      </c>
      <c r="BH410" s="49">
        <v>8.9</v>
      </c>
      <c r="BI410" s="49">
        <v>5.2</v>
      </c>
      <c r="BJ410" s="49">
        <v>18.2</v>
      </c>
      <c r="BK410" s="126">
        <v>12357</v>
      </c>
      <c r="BL410" s="126">
        <v>54033</v>
      </c>
      <c r="BM410" s="126">
        <v>51290</v>
      </c>
      <c r="BN410" s="126">
        <v>48598</v>
      </c>
      <c r="BO410" s="59">
        <v>7.1000000000000004E-3</v>
      </c>
      <c r="BP410" s="59">
        <v>0.3987</v>
      </c>
      <c r="BQ410" s="59">
        <v>0.25309999999999999</v>
      </c>
      <c r="BR410" s="59">
        <v>2.3400000000000001E-2</v>
      </c>
      <c r="BS410" s="59">
        <v>2.3800000000000002E-2</v>
      </c>
      <c r="BT410" s="49">
        <v>14.4</v>
      </c>
      <c r="BU410" s="59">
        <f t="shared" si="30"/>
        <v>0.70610000000000006</v>
      </c>
      <c r="BV410" s="59">
        <v>2.2499999999999999E-2</v>
      </c>
      <c r="BW410" s="59">
        <v>1.35E-2</v>
      </c>
      <c r="BX410" s="59">
        <v>1.95E-2</v>
      </c>
      <c r="BY410" s="59">
        <v>1.4999999999999999E-2</v>
      </c>
      <c r="BZ410" s="59">
        <v>0</v>
      </c>
      <c r="CA410" s="49">
        <v>15.6</v>
      </c>
      <c r="CB410" s="59">
        <f t="shared" si="31"/>
        <v>7.0499999999999993E-2</v>
      </c>
      <c r="CC410" s="59">
        <v>0.12959999999999999</v>
      </c>
      <c r="CD410" s="59">
        <v>0.48330000000000001</v>
      </c>
      <c r="CE410" s="59">
        <v>0.32490000000000002</v>
      </c>
      <c r="CF410" s="59">
        <v>3.8399999999999997E-2</v>
      </c>
      <c r="CG410" s="59">
        <v>2.3800000000000002E-2</v>
      </c>
      <c r="CH410" s="49">
        <v>13.9</v>
      </c>
      <c r="CI410" s="39" t="s">
        <v>185</v>
      </c>
      <c r="CJ410" s="18" t="s">
        <v>479</v>
      </c>
      <c r="CK410" s="20"/>
    </row>
    <row r="411" spans="1:89" x14ac:dyDescent="0.25">
      <c r="A411" s="18" t="s">
        <v>479</v>
      </c>
      <c r="B411" s="39" t="s">
        <v>176</v>
      </c>
      <c r="C411" s="19" t="s">
        <v>481</v>
      </c>
      <c r="D411" s="6">
        <v>12</v>
      </c>
      <c r="E411" s="40" t="s">
        <v>83</v>
      </c>
      <c r="F411" s="6">
        <v>12</v>
      </c>
      <c r="G411" s="162" t="s">
        <v>83</v>
      </c>
      <c r="H411" s="162" t="s">
        <v>83</v>
      </c>
      <c r="I411" s="162" t="s">
        <v>83</v>
      </c>
      <c r="J411" s="163">
        <v>1</v>
      </c>
      <c r="K411" s="163">
        <v>3</v>
      </c>
      <c r="L411" s="163">
        <v>4</v>
      </c>
      <c r="M411" s="163">
        <v>4</v>
      </c>
      <c r="N411" s="115">
        <v>2.2900763358778602E-2</v>
      </c>
      <c r="O411" s="115">
        <v>2.2900763358778602E-2</v>
      </c>
      <c r="P411" s="116" t="s">
        <v>83</v>
      </c>
      <c r="Q411" s="116" t="s">
        <v>83</v>
      </c>
      <c r="R411" s="116" t="s">
        <v>83</v>
      </c>
      <c r="S411" s="115">
        <v>7.3529411764705899E-3</v>
      </c>
      <c r="T411" s="115">
        <v>2.6785714285714302E-2</v>
      </c>
      <c r="U411" s="115">
        <v>3.0534351145038201E-2</v>
      </c>
      <c r="V411" s="115">
        <v>2.7586206896551699E-2</v>
      </c>
      <c r="W411" s="6">
        <v>493</v>
      </c>
      <c r="X411" s="40">
        <f>SUM(AN411:AR411)</f>
        <v>493</v>
      </c>
      <c r="Y411" s="40">
        <f>SUM(AL411:AR411)</f>
        <v>493</v>
      </c>
      <c r="Z411" s="109">
        <v>0.50709939148073002</v>
      </c>
      <c r="AA411" s="109">
        <v>0.49290060851926998</v>
      </c>
      <c r="AB411" s="61">
        <v>0</v>
      </c>
      <c r="AC411" s="61">
        <f>1/493</f>
        <v>2.0283975659229209E-3</v>
      </c>
      <c r="AD411" s="61">
        <f>467/493</f>
        <v>0.94726166328600403</v>
      </c>
      <c r="AE411" s="61">
        <f>10/493</f>
        <v>2.0283975659229209E-2</v>
      </c>
      <c r="AF411" s="61">
        <v>0</v>
      </c>
      <c r="AG411" s="61">
        <f>15/493</f>
        <v>3.0425963488843813E-2</v>
      </c>
      <c r="AH411" s="61">
        <v>0</v>
      </c>
      <c r="AI411" s="61">
        <f>478/493</f>
        <v>0.96957403651115615</v>
      </c>
      <c r="AJ411" s="109">
        <v>0.85192697768762682</v>
      </c>
      <c r="AK411" s="109">
        <v>8.11359026369168E-3</v>
      </c>
      <c r="AL411" s="3">
        <v>0</v>
      </c>
      <c r="AM411" s="3">
        <v>0</v>
      </c>
      <c r="AN411" s="3">
        <v>0</v>
      </c>
      <c r="AO411" s="3">
        <v>130</v>
      </c>
      <c r="AP411" s="3">
        <v>102</v>
      </c>
      <c r="AQ411" s="3">
        <v>123</v>
      </c>
      <c r="AR411" s="3">
        <v>138</v>
      </c>
      <c r="AS411" s="59">
        <v>0</v>
      </c>
      <c r="AT411" s="3">
        <v>9</v>
      </c>
      <c r="AU411" s="3">
        <v>1</v>
      </c>
      <c r="AV411" s="52">
        <v>31.8</v>
      </c>
      <c r="AW411" s="52">
        <v>24.6</v>
      </c>
      <c r="AX411" s="52">
        <v>38.9</v>
      </c>
      <c r="AY411" s="71">
        <v>4.7</v>
      </c>
      <c r="AZ411" s="59">
        <v>7.677543186180422E-3</v>
      </c>
      <c r="BA411" s="59">
        <v>0.19001919385796545</v>
      </c>
      <c r="BB411" s="77">
        <v>95.771256020563499</v>
      </c>
      <c r="BC411" s="49">
        <v>40.307101727447197</v>
      </c>
      <c r="BD411" s="90" t="s">
        <v>83</v>
      </c>
      <c r="BE411" s="90" t="s">
        <v>83</v>
      </c>
      <c r="BF411" s="49">
        <v>0</v>
      </c>
      <c r="BG411" s="49">
        <v>0</v>
      </c>
      <c r="BH411" s="49">
        <v>0</v>
      </c>
      <c r="BI411" s="49">
        <v>5.4</v>
      </c>
      <c r="BJ411" s="49">
        <v>16.8</v>
      </c>
      <c r="BK411" s="126">
        <v>11908</v>
      </c>
      <c r="BL411" s="126">
        <v>48094</v>
      </c>
      <c r="BM411" s="126">
        <v>37856</v>
      </c>
      <c r="BN411" s="126">
        <v>46355</v>
      </c>
      <c r="BO411" s="59">
        <v>0</v>
      </c>
      <c r="BP411" s="59">
        <v>0.37759999999999999</v>
      </c>
      <c r="BQ411" s="59">
        <v>0.24540000000000001</v>
      </c>
      <c r="BR411" s="59">
        <v>0</v>
      </c>
      <c r="BS411" s="59">
        <v>0</v>
      </c>
      <c r="BT411" s="49">
        <v>2.5</v>
      </c>
      <c r="BU411" s="59">
        <f t="shared" si="30"/>
        <v>0.623</v>
      </c>
      <c r="BV411" s="59">
        <v>8.5099999999999995E-2</v>
      </c>
      <c r="BW411" s="59">
        <v>0.1038</v>
      </c>
      <c r="BX411" s="59">
        <v>3.78E-2</v>
      </c>
      <c r="BY411" s="59">
        <v>0</v>
      </c>
      <c r="BZ411" s="59">
        <v>0</v>
      </c>
      <c r="CA411" s="49">
        <v>1.1000000000000001</v>
      </c>
      <c r="CB411" s="59">
        <f t="shared" si="31"/>
        <v>0.22670000000000001</v>
      </c>
      <c r="CC411" s="59">
        <v>0.1158</v>
      </c>
      <c r="CD411" s="59">
        <v>0.56330000000000002</v>
      </c>
      <c r="CE411" s="59">
        <v>0.30209999999999998</v>
      </c>
      <c r="CF411" s="59">
        <v>0</v>
      </c>
      <c r="CG411" s="59">
        <v>1.89E-2</v>
      </c>
      <c r="CH411" s="49">
        <v>2.2999999999999998</v>
      </c>
      <c r="CI411" s="19" t="s">
        <v>481</v>
      </c>
      <c r="CJ411" s="18" t="s">
        <v>479</v>
      </c>
      <c r="CK411" s="20"/>
    </row>
    <row r="412" spans="1:89" x14ac:dyDescent="0.25">
      <c r="A412" s="18" t="s">
        <v>479</v>
      </c>
      <c r="B412" s="39" t="s">
        <v>176</v>
      </c>
      <c r="C412" s="39" t="s">
        <v>188</v>
      </c>
      <c r="D412" s="40">
        <v>2</v>
      </c>
      <c r="E412" s="40" t="s">
        <v>83</v>
      </c>
      <c r="F412" s="40">
        <v>2</v>
      </c>
      <c r="G412" s="162" t="s">
        <v>83</v>
      </c>
      <c r="H412" s="162" t="s">
        <v>83</v>
      </c>
      <c r="I412" s="162" t="s">
        <v>83</v>
      </c>
      <c r="J412" s="163">
        <v>0</v>
      </c>
      <c r="K412" s="163">
        <v>1</v>
      </c>
      <c r="L412" s="163">
        <v>0</v>
      </c>
      <c r="M412" s="163">
        <v>1</v>
      </c>
      <c r="N412" s="115">
        <v>4.2283298097251596E-3</v>
      </c>
      <c r="O412" s="115">
        <v>4.2283298097251596E-3</v>
      </c>
      <c r="P412" s="116" t="s">
        <v>83</v>
      </c>
      <c r="Q412" s="116" t="s">
        <v>83</v>
      </c>
      <c r="R412" s="116" t="s">
        <v>83</v>
      </c>
      <c r="S412" s="115">
        <v>0</v>
      </c>
      <c r="T412" s="115">
        <v>6.8027210884353704E-3</v>
      </c>
      <c r="U412" s="115">
        <v>0</v>
      </c>
      <c r="V412" s="115">
        <v>2.04081632653061E-2</v>
      </c>
      <c r="W412" s="40">
        <v>461</v>
      </c>
      <c r="X412" s="40">
        <f t="shared" si="32"/>
        <v>461</v>
      </c>
      <c r="Y412" s="40">
        <f t="shared" si="33"/>
        <v>461</v>
      </c>
      <c r="Z412" s="105">
        <v>0.59652928416485895</v>
      </c>
      <c r="AA412" s="105">
        <v>0.40347071583514099</v>
      </c>
      <c r="AB412" s="106">
        <v>0</v>
      </c>
      <c r="AC412" s="106">
        <f>26/461</f>
        <v>5.6399132321041212E-2</v>
      </c>
      <c r="AD412" s="106">
        <f>301/461</f>
        <v>0.65292841648590016</v>
      </c>
      <c r="AE412" s="106">
        <f>20/461</f>
        <v>4.3383947939262472E-2</v>
      </c>
      <c r="AF412" s="106">
        <f>1/461</f>
        <v>2.1691973969631237E-3</v>
      </c>
      <c r="AG412" s="106">
        <f>107/461</f>
        <v>0.23210412147505424</v>
      </c>
      <c r="AH412" s="106">
        <f>6/461</f>
        <v>1.3015184381778741E-2</v>
      </c>
      <c r="AI412" s="106">
        <f>354/461</f>
        <v>0.76789587852494579</v>
      </c>
      <c r="AJ412" s="105">
        <v>0.55748373101952275</v>
      </c>
      <c r="AK412" s="105">
        <v>4.33839479392625E-3</v>
      </c>
      <c r="AL412" s="12">
        <v>0</v>
      </c>
      <c r="AM412" s="12">
        <v>0</v>
      </c>
      <c r="AN412" s="12">
        <v>0</v>
      </c>
      <c r="AO412" s="12">
        <v>197</v>
      </c>
      <c r="AP412" s="12">
        <v>142</v>
      </c>
      <c r="AQ412" s="12">
        <v>74</v>
      </c>
      <c r="AR412" s="12">
        <v>48</v>
      </c>
      <c r="AS412" s="59">
        <v>0</v>
      </c>
      <c r="AT412" s="3">
        <v>9</v>
      </c>
      <c r="AU412" s="3">
        <v>7</v>
      </c>
      <c r="AV412" s="52">
        <v>53.6</v>
      </c>
      <c r="AW412" s="52">
        <v>20.7</v>
      </c>
      <c r="AX412" s="52">
        <v>20.7</v>
      </c>
      <c r="AY412" s="71">
        <v>5</v>
      </c>
      <c r="AZ412" s="59">
        <v>0.30084745762711862</v>
      </c>
      <c r="BA412" s="59">
        <v>0</v>
      </c>
      <c r="BB412" s="77">
        <v>97.357529449219996</v>
      </c>
      <c r="BC412" s="49">
        <v>42.161016949152497</v>
      </c>
      <c r="BD412" s="90" t="s">
        <v>83</v>
      </c>
      <c r="BE412" s="90" t="s">
        <v>83</v>
      </c>
      <c r="BF412" s="49">
        <v>0</v>
      </c>
      <c r="BG412" s="49">
        <v>0.7</v>
      </c>
      <c r="BH412" s="49">
        <v>0</v>
      </c>
      <c r="BI412" s="49">
        <v>0</v>
      </c>
      <c r="BJ412" s="49">
        <v>19.7</v>
      </c>
      <c r="BK412" s="126">
        <v>13688</v>
      </c>
      <c r="BL412" s="126">
        <v>55406</v>
      </c>
      <c r="BM412" s="126">
        <v>50751</v>
      </c>
      <c r="BN412" s="126">
        <v>51935</v>
      </c>
      <c r="BO412" s="59">
        <v>0</v>
      </c>
      <c r="BP412" s="59">
        <v>0.24160000000000001</v>
      </c>
      <c r="BQ412" s="59">
        <v>0.42320000000000002</v>
      </c>
      <c r="BR412" s="59">
        <v>1.8800000000000001E-2</v>
      </c>
      <c r="BS412" s="59">
        <v>3.7499999999999999E-2</v>
      </c>
      <c r="BT412" s="49">
        <v>13.4</v>
      </c>
      <c r="BU412" s="59">
        <f t="shared" si="30"/>
        <v>0.72110000000000007</v>
      </c>
      <c r="BV412" s="59">
        <v>5.5300000000000002E-2</v>
      </c>
      <c r="BW412" s="59">
        <v>0</v>
      </c>
      <c r="BX412" s="59">
        <v>3.7499999999999999E-2</v>
      </c>
      <c r="BY412" s="59">
        <v>0</v>
      </c>
      <c r="BZ412" s="59">
        <v>0</v>
      </c>
      <c r="CA412" s="49">
        <v>11.7</v>
      </c>
      <c r="CB412" s="59">
        <f t="shared" si="31"/>
        <v>9.2799999999999994E-2</v>
      </c>
      <c r="CC412" s="59">
        <v>0.1116</v>
      </c>
      <c r="CD412" s="59">
        <v>0.31519999999999998</v>
      </c>
      <c r="CE412" s="59">
        <v>0.51690000000000003</v>
      </c>
      <c r="CF412" s="59">
        <v>1.8800000000000001E-2</v>
      </c>
      <c r="CG412" s="59">
        <v>3.7499999999999999E-2</v>
      </c>
      <c r="CH412" s="49">
        <v>13.3</v>
      </c>
      <c r="CI412" s="39" t="s">
        <v>188</v>
      </c>
      <c r="CJ412" s="18" t="s">
        <v>479</v>
      </c>
      <c r="CK412" s="20"/>
    </row>
    <row r="413" spans="1:89" x14ac:dyDescent="0.25">
      <c r="A413" s="18" t="s">
        <v>479</v>
      </c>
      <c r="B413" s="39" t="s">
        <v>189</v>
      </c>
      <c r="C413" s="39" t="s">
        <v>190</v>
      </c>
      <c r="D413" s="40">
        <v>2</v>
      </c>
      <c r="E413" s="40" t="s">
        <v>83</v>
      </c>
      <c r="F413" s="40">
        <v>2</v>
      </c>
      <c r="G413" s="162" t="s">
        <v>83</v>
      </c>
      <c r="H413" s="162" t="s">
        <v>83</v>
      </c>
      <c r="I413" s="163">
        <v>0</v>
      </c>
      <c r="J413" s="163">
        <v>1</v>
      </c>
      <c r="K413" s="163">
        <v>0</v>
      </c>
      <c r="L413" s="163">
        <v>1</v>
      </c>
      <c r="M413" s="163">
        <v>0</v>
      </c>
      <c r="N413" s="115">
        <v>7.09219858156028E-3</v>
      </c>
      <c r="O413" s="115">
        <v>7.09219858156028E-3</v>
      </c>
      <c r="P413" s="116" t="s">
        <v>83</v>
      </c>
      <c r="Q413" s="116" t="s">
        <v>83</v>
      </c>
      <c r="R413" s="115">
        <v>0</v>
      </c>
      <c r="S413" s="115">
        <v>1.16279069767442E-2</v>
      </c>
      <c r="T413" s="115">
        <v>0</v>
      </c>
      <c r="U413" s="115">
        <v>1.6949152542372899E-2</v>
      </c>
      <c r="V413" s="115">
        <v>0</v>
      </c>
      <c r="W413" s="40">
        <v>281</v>
      </c>
      <c r="X413" s="40">
        <f t="shared" si="32"/>
        <v>281</v>
      </c>
      <c r="Y413" s="40">
        <f t="shared" si="33"/>
        <v>281</v>
      </c>
      <c r="Z413" s="105">
        <v>0.487544483985765</v>
      </c>
      <c r="AA413" s="105">
        <v>0.512455516014235</v>
      </c>
      <c r="AB413" s="106">
        <v>0</v>
      </c>
      <c r="AC413" s="106">
        <v>0</v>
      </c>
      <c r="AD413" s="106">
        <f>279/281</f>
        <v>0.99288256227758009</v>
      </c>
      <c r="AE413" s="106">
        <f>1/281</f>
        <v>3.5587188612099642E-3</v>
      </c>
      <c r="AF413" s="106">
        <v>0</v>
      </c>
      <c r="AG413" s="106">
        <f>1/281</f>
        <v>3.5587188612099642E-3</v>
      </c>
      <c r="AH413" s="106">
        <v>0</v>
      </c>
      <c r="AI413" s="106">
        <f>280/281</f>
        <v>0.99644128113879005</v>
      </c>
      <c r="AJ413" s="105">
        <v>0.92882562277580072</v>
      </c>
      <c r="AK413" s="105">
        <v>0</v>
      </c>
      <c r="AL413" s="12">
        <v>0</v>
      </c>
      <c r="AM413" s="12">
        <v>0</v>
      </c>
      <c r="AN413" s="12">
        <v>3</v>
      </c>
      <c r="AO413" s="12">
        <v>84</v>
      </c>
      <c r="AP413" s="12">
        <v>71</v>
      </c>
      <c r="AQ413" s="12">
        <v>60</v>
      </c>
      <c r="AR413" s="12">
        <v>63</v>
      </c>
      <c r="AS413" s="59">
        <v>3.4482758620689655E-2</v>
      </c>
      <c r="AT413" s="3">
        <v>9</v>
      </c>
      <c r="AU413" s="3">
        <v>6</v>
      </c>
      <c r="AV413" s="52">
        <v>87.3</v>
      </c>
      <c r="AW413" s="52">
        <v>12</v>
      </c>
      <c r="AX413" s="52">
        <v>0.7</v>
      </c>
      <c r="AY413" s="70">
        <v>0</v>
      </c>
      <c r="AZ413" s="59">
        <v>0.20640569395017794</v>
      </c>
      <c r="BA413" s="59">
        <v>0</v>
      </c>
      <c r="BB413" s="78">
        <v>91.623036649214697</v>
      </c>
      <c r="BC413" s="49">
        <v>26.334519572953699</v>
      </c>
      <c r="BD413" s="90" t="s">
        <v>83</v>
      </c>
      <c r="BE413" s="90" t="s">
        <v>83</v>
      </c>
      <c r="BF413" s="49">
        <v>3.9</v>
      </c>
      <c r="BG413" s="49">
        <v>3.3</v>
      </c>
      <c r="BH413" s="49">
        <v>5.8</v>
      </c>
      <c r="BI413" s="49">
        <v>1.6</v>
      </c>
      <c r="BJ413" s="49">
        <v>17</v>
      </c>
      <c r="BK413" s="126">
        <v>14607</v>
      </c>
      <c r="BL413" s="126">
        <v>45618</v>
      </c>
      <c r="BM413" s="126">
        <v>56476</v>
      </c>
      <c r="BN413" s="126">
        <v>34115</v>
      </c>
      <c r="BO413" s="59">
        <v>0</v>
      </c>
      <c r="BP413" s="59">
        <v>0.14680000000000001</v>
      </c>
      <c r="BQ413" s="59">
        <v>0.26669999999999999</v>
      </c>
      <c r="BR413" s="59">
        <v>0</v>
      </c>
      <c r="BS413" s="59">
        <v>1.1000000000000001E-3</v>
      </c>
      <c r="BT413" s="49">
        <v>27</v>
      </c>
      <c r="BU413" s="59">
        <f t="shared" si="30"/>
        <v>0.41459999999999997</v>
      </c>
      <c r="BV413" s="59">
        <v>0</v>
      </c>
      <c r="BW413" s="59">
        <v>2.1000000000000001E-2</v>
      </c>
      <c r="BX413" s="59">
        <v>2.18E-2</v>
      </c>
      <c r="BY413" s="59">
        <v>0</v>
      </c>
      <c r="BZ413" s="59">
        <v>1.4999999999999999E-2</v>
      </c>
      <c r="CA413" s="49">
        <v>25.5</v>
      </c>
      <c r="CB413" s="59">
        <f t="shared" si="31"/>
        <v>5.7800000000000004E-2</v>
      </c>
      <c r="CC413" s="59">
        <v>0.37440000000000001</v>
      </c>
      <c r="CD413" s="59">
        <v>0.29360000000000003</v>
      </c>
      <c r="CE413" s="59">
        <v>0.31590000000000001</v>
      </c>
      <c r="CF413" s="59">
        <v>0</v>
      </c>
      <c r="CG413" s="59">
        <v>1.61E-2</v>
      </c>
      <c r="CH413" s="49">
        <v>21.5</v>
      </c>
      <c r="CI413" s="39" t="s">
        <v>190</v>
      </c>
      <c r="CJ413" s="18" t="s">
        <v>479</v>
      </c>
      <c r="CK413" s="20"/>
    </row>
    <row r="414" spans="1:89" x14ac:dyDescent="0.25">
      <c r="A414" s="18" t="s">
        <v>479</v>
      </c>
      <c r="B414" s="39" t="s">
        <v>191</v>
      </c>
      <c r="C414" s="39" t="s">
        <v>192</v>
      </c>
      <c r="D414" s="40">
        <v>18</v>
      </c>
      <c r="E414" s="40" t="s">
        <v>83</v>
      </c>
      <c r="F414" s="40">
        <v>18</v>
      </c>
      <c r="G414" s="162" t="s">
        <v>83</v>
      </c>
      <c r="H414" s="162" t="s">
        <v>83</v>
      </c>
      <c r="I414" s="162" t="s">
        <v>83</v>
      </c>
      <c r="J414" s="163">
        <v>9</v>
      </c>
      <c r="K414" s="163">
        <v>7</v>
      </c>
      <c r="L414" s="163">
        <v>1</v>
      </c>
      <c r="M414" s="163">
        <v>1</v>
      </c>
      <c r="N414" s="115">
        <v>4.4334975369458102E-2</v>
      </c>
      <c r="O414" s="115">
        <v>4.4334975369458102E-2</v>
      </c>
      <c r="P414" s="116" t="s">
        <v>83</v>
      </c>
      <c r="Q414" s="116" t="s">
        <v>83</v>
      </c>
      <c r="R414" s="116" t="s">
        <v>83</v>
      </c>
      <c r="S414" s="115">
        <v>7.8947368421052599E-2</v>
      </c>
      <c r="T414" s="115">
        <v>5.7377049180327898E-2</v>
      </c>
      <c r="U414" s="115">
        <v>1.4084507042253501E-2</v>
      </c>
      <c r="V414" s="115">
        <v>1.01010101010101E-2</v>
      </c>
      <c r="W414" s="40">
        <v>382</v>
      </c>
      <c r="X414" s="40">
        <f t="shared" si="32"/>
        <v>382</v>
      </c>
      <c r="Y414" s="40">
        <f t="shared" si="33"/>
        <v>382</v>
      </c>
      <c r="Z414" s="105">
        <v>0.48691099476439798</v>
      </c>
      <c r="AA414" s="105">
        <v>0.51308900523560197</v>
      </c>
      <c r="AB414" s="106">
        <v>0</v>
      </c>
      <c r="AC414" s="106">
        <v>0</v>
      </c>
      <c r="AD414" s="106">
        <f>354/382</f>
        <v>0.92670157068062831</v>
      </c>
      <c r="AE414" s="106">
        <v>0</v>
      </c>
      <c r="AF414" s="106">
        <v>0</v>
      </c>
      <c r="AG414" s="106">
        <f>28/382</f>
        <v>7.3298429319371722E-2</v>
      </c>
      <c r="AH414" s="106">
        <v>0</v>
      </c>
      <c r="AI414" s="106">
        <f>354/382</f>
        <v>0.92670157068062831</v>
      </c>
      <c r="AJ414" s="105">
        <v>0.81937172774869105</v>
      </c>
      <c r="AK414" s="105">
        <v>0</v>
      </c>
      <c r="AL414" s="12">
        <v>0</v>
      </c>
      <c r="AM414" s="12">
        <v>0</v>
      </c>
      <c r="AN414" s="12">
        <v>0</v>
      </c>
      <c r="AO414" s="12">
        <v>102</v>
      </c>
      <c r="AP414" s="12">
        <v>113</v>
      </c>
      <c r="AQ414" s="12">
        <v>77</v>
      </c>
      <c r="AR414" s="12">
        <v>90</v>
      </c>
      <c r="AS414" s="59">
        <v>0</v>
      </c>
      <c r="AT414" s="3">
        <v>9</v>
      </c>
      <c r="AU414" s="3">
        <v>6</v>
      </c>
      <c r="AV414" s="52">
        <v>56.8</v>
      </c>
      <c r="AW414" s="52">
        <v>28.1</v>
      </c>
      <c r="AX414" s="52">
        <v>15.1</v>
      </c>
      <c r="AY414" s="70">
        <v>0</v>
      </c>
      <c r="AZ414" s="59">
        <v>0.16290726817042606</v>
      </c>
      <c r="BA414" s="59">
        <v>9.5238095238095233E-2</v>
      </c>
      <c r="BB414" s="78">
        <v>94.056901191849306</v>
      </c>
      <c r="BC414" s="49">
        <v>33.25</v>
      </c>
      <c r="BD414" s="90" t="s">
        <v>83</v>
      </c>
      <c r="BE414" s="90" t="s">
        <v>83</v>
      </c>
      <c r="BF414" s="49">
        <v>3.3</v>
      </c>
      <c r="BG414" s="49">
        <v>4.8</v>
      </c>
      <c r="BH414" s="49">
        <v>1.5</v>
      </c>
      <c r="BI414" s="49">
        <v>2.1</v>
      </c>
      <c r="BJ414" s="49">
        <v>16.5</v>
      </c>
      <c r="BK414" s="126">
        <v>9776</v>
      </c>
      <c r="BL414" s="126">
        <v>41711</v>
      </c>
      <c r="BM414" s="126">
        <v>50744</v>
      </c>
      <c r="BN414" s="126">
        <v>30719</v>
      </c>
      <c r="BO414" s="59">
        <v>0</v>
      </c>
      <c r="BP414" s="59">
        <v>0.28470000000000001</v>
      </c>
      <c r="BQ414" s="59">
        <v>0.12509999999999999</v>
      </c>
      <c r="BR414" s="59">
        <v>0</v>
      </c>
      <c r="BS414" s="59">
        <v>0</v>
      </c>
      <c r="BT414" s="49">
        <v>6.7</v>
      </c>
      <c r="BU414" s="59">
        <f t="shared" si="30"/>
        <v>0.4098</v>
      </c>
      <c r="BV414" s="59">
        <v>1.9800000000000002E-2</v>
      </c>
      <c r="BW414" s="59">
        <v>0</v>
      </c>
      <c r="BX414" s="59">
        <v>1.9800000000000002E-2</v>
      </c>
      <c r="BY414" s="59">
        <v>0</v>
      </c>
      <c r="BZ414" s="59">
        <v>1.9800000000000002E-2</v>
      </c>
      <c r="CA414" s="49">
        <v>9.3000000000000007</v>
      </c>
      <c r="CB414" s="59">
        <f t="shared" si="31"/>
        <v>5.9400000000000008E-2</v>
      </c>
      <c r="CC414" s="59">
        <v>0.45689999999999997</v>
      </c>
      <c r="CD414" s="59">
        <v>0.33889999999999998</v>
      </c>
      <c r="CE414" s="59">
        <v>0.18440000000000001</v>
      </c>
      <c r="CF414" s="59">
        <v>0</v>
      </c>
      <c r="CG414" s="59">
        <v>1.9800000000000002E-2</v>
      </c>
      <c r="CH414" s="49">
        <v>9.1999999999999993</v>
      </c>
      <c r="CI414" s="39" t="s">
        <v>192</v>
      </c>
      <c r="CJ414" s="18" t="s">
        <v>479</v>
      </c>
      <c r="CK414" s="20"/>
    </row>
    <row r="415" spans="1:89" x14ac:dyDescent="0.25">
      <c r="A415" s="18" t="s">
        <v>479</v>
      </c>
      <c r="B415" s="39" t="s">
        <v>191</v>
      </c>
      <c r="C415" s="39" t="s">
        <v>193</v>
      </c>
      <c r="D415" s="40">
        <v>4</v>
      </c>
      <c r="E415" s="40">
        <v>2</v>
      </c>
      <c r="F415" s="40">
        <v>2</v>
      </c>
      <c r="G415" s="163">
        <v>1</v>
      </c>
      <c r="H415" s="163">
        <v>1</v>
      </c>
      <c r="I415" s="162" t="s">
        <v>83</v>
      </c>
      <c r="J415" s="163">
        <v>0</v>
      </c>
      <c r="K415" s="163">
        <v>0</v>
      </c>
      <c r="L415" s="163">
        <v>2</v>
      </c>
      <c r="M415" s="163">
        <v>0</v>
      </c>
      <c r="N415" s="115">
        <v>1.16279069767442E-2</v>
      </c>
      <c r="O415" s="115">
        <v>9.4339622641509396E-3</v>
      </c>
      <c r="P415" s="115">
        <v>1.72413793103448E-2</v>
      </c>
      <c r="Q415" s="115">
        <v>1.35135135135135E-2</v>
      </c>
      <c r="R415" s="116" t="s">
        <v>83</v>
      </c>
      <c r="S415" s="115">
        <v>0</v>
      </c>
      <c r="T415" s="115">
        <v>0</v>
      </c>
      <c r="U415" s="115">
        <v>3.6363636363636397E-2</v>
      </c>
      <c r="V415" s="115">
        <v>0</v>
      </c>
      <c r="W415" s="40">
        <v>322</v>
      </c>
      <c r="X415" s="40">
        <f t="shared" si="32"/>
        <v>204</v>
      </c>
      <c r="Y415" s="40">
        <f t="shared" si="33"/>
        <v>322</v>
      </c>
      <c r="Z415" s="105">
        <v>0.52795031055900599</v>
      </c>
      <c r="AA415" s="105">
        <v>0.47204968944099401</v>
      </c>
      <c r="AB415" s="106">
        <v>0</v>
      </c>
      <c r="AC415" s="106">
        <v>0</v>
      </c>
      <c r="AD415" s="106">
        <f>105/322</f>
        <v>0.32608695652173914</v>
      </c>
      <c r="AE415" s="106">
        <f>2/322</f>
        <v>6.2111801242236021E-3</v>
      </c>
      <c r="AF415" s="106">
        <v>0</v>
      </c>
      <c r="AG415" s="106">
        <f>214/322</f>
        <v>0.6645962732919255</v>
      </c>
      <c r="AH415" s="106">
        <f>1/322</f>
        <v>3.105590062111801E-3</v>
      </c>
      <c r="AI415" s="106">
        <f>108/322</f>
        <v>0.33540372670807456</v>
      </c>
      <c r="AJ415" s="105">
        <v>0.66770186335403725</v>
      </c>
      <c r="AK415" s="105">
        <v>0</v>
      </c>
      <c r="AL415" s="12">
        <v>51</v>
      </c>
      <c r="AM415" s="12">
        <v>67</v>
      </c>
      <c r="AN415" s="12">
        <v>0</v>
      </c>
      <c r="AO415" s="12">
        <v>66</v>
      </c>
      <c r="AP415" s="12">
        <v>47</v>
      </c>
      <c r="AQ415" s="12">
        <v>53</v>
      </c>
      <c r="AR415" s="12">
        <v>38</v>
      </c>
      <c r="AS415" s="59">
        <v>0</v>
      </c>
      <c r="AT415" s="3">
        <v>7</v>
      </c>
      <c r="AU415" s="3">
        <v>1</v>
      </c>
      <c r="AV415" s="52">
        <v>51</v>
      </c>
      <c r="AW415" s="52">
        <v>40.4</v>
      </c>
      <c r="AX415" s="52">
        <v>8.6999999999999993</v>
      </c>
      <c r="AY415" s="70">
        <v>0</v>
      </c>
      <c r="AZ415" s="59">
        <v>0</v>
      </c>
      <c r="BA415" s="59">
        <v>0.23323615160349853</v>
      </c>
      <c r="BB415" s="77">
        <v>93.938997678904201</v>
      </c>
      <c r="BC415" s="49">
        <v>27.325581395348799</v>
      </c>
      <c r="BD415" s="49">
        <v>0</v>
      </c>
      <c r="BE415" s="49">
        <v>1.6</v>
      </c>
      <c r="BF415" s="49">
        <v>8.1999999999999993</v>
      </c>
      <c r="BG415" s="49">
        <v>8.6999999999999993</v>
      </c>
      <c r="BH415" s="49">
        <v>10.9</v>
      </c>
      <c r="BI415" s="49">
        <v>2.9</v>
      </c>
      <c r="BJ415" s="49">
        <v>19.5</v>
      </c>
      <c r="BK415" s="126">
        <v>9218</v>
      </c>
      <c r="BL415" s="126">
        <v>41608</v>
      </c>
      <c r="BM415" s="126">
        <v>66585</v>
      </c>
      <c r="BN415" s="126">
        <v>44831</v>
      </c>
      <c r="BO415" s="59">
        <v>0</v>
      </c>
      <c r="BP415" s="59">
        <v>0.54990000000000006</v>
      </c>
      <c r="BQ415" s="59">
        <v>0.15160000000000001</v>
      </c>
      <c r="BR415" s="59">
        <v>0</v>
      </c>
      <c r="BS415" s="59">
        <v>4.5600000000000002E-2</v>
      </c>
      <c r="BT415" s="49">
        <v>9.5</v>
      </c>
      <c r="BU415" s="59">
        <f t="shared" si="30"/>
        <v>0.74709999999999999</v>
      </c>
      <c r="BV415" s="59">
        <v>3.7900000000000003E-2</v>
      </c>
      <c r="BW415" s="59">
        <v>0</v>
      </c>
      <c r="BX415" s="59">
        <v>3.7900000000000003E-2</v>
      </c>
      <c r="BY415" s="59">
        <v>0</v>
      </c>
      <c r="BZ415" s="59">
        <v>3.7900000000000003E-2</v>
      </c>
      <c r="CA415" s="49">
        <v>10.7</v>
      </c>
      <c r="CB415" s="59">
        <f t="shared" si="31"/>
        <v>0.11370000000000001</v>
      </c>
      <c r="CC415" s="59">
        <v>3.7900000000000003E-2</v>
      </c>
      <c r="CD415" s="59">
        <v>0.58309999999999995</v>
      </c>
      <c r="CE415" s="59">
        <v>0.26529999999999998</v>
      </c>
      <c r="CF415" s="59">
        <v>0</v>
      </c>
      <c r="CG415" s="59">
        <v>0.1137</v>
      </c>
      <c r="CH415" s="49">
        <v>10.5</v>
      </c>
      <c r="CI415" s="39" t="s">
        <v>193</v>
      </c>
      <c r="CJ415" s="18" t="s">
        <v>479</v>
      </c>
      <c r="CK415" s="20"/>
    </row>
    <row r="416" spans="1:89" x14ac:dyDescent="0.25">
      <c r="A416" s="18" t="s">
        <v>479</v>
      </c>
      <c r="B416" s="39" t="s">
        <v>194</v>
      </c>
      <c r="C416" s="39" t="s">
        <v>195</v>
      </c>
      <c r="D416" s="40">
        <v>4</v>
      </c>
      <c r="E416" s="40">
        <v>2</v>
      </c>
      <c r="F416" s="40">
        <v>2</v>
      </c>
      <c r="G416" s="163">
        <v>0</v>
      </c>
      <c r="H416" s="163">
        <v>2</v>
      </c>
      <c r="I416" s="163">
        <v>0</v>
      </c>
      <c r="J416" s="163">
        <v>0</v>
      </c>
      <c r="K416" s="163">
        <v>0</v>
      </c>
      <c r="L416" s="163">
        <v>1</v>
      </c>
      <c r="M416" s="163">
        <v>1</v>
      </c>
      <c r="N416" s="115">
        <v>1.21951219512195E-2</v>
      </c>
      <c r="O416" s="115">
        <v>1.00502512562814E-2</v>
      </c>
      <c r="P416" s="115">
        <v>0</v>
      </c>
      <c r="Q416" s="115">
        <v>3.7037037037037E-2</v>
      </c>
      <c r="R416" s="115">
        <v>0</v>
      </c>
      <c r="S416" s="115">
        <v>0</v>
      </c>
      <c r="T416" s="115">
        <v>0</v>
      </c>
      <c r="U416" s="115">
        <v>1.85185185185185E-2</v>
      </c>
      <c r="V416" s="115">
        <v>2.27272727272727E-2</v>
      </c>
      <c r="W416" s="40">
        <v>440</v>
      </c>
      <c r="X416" s="40">
        <f t="shared" si="32"/>
        <v>189</v>
      </c>
      <c r="Y416" s="40">
        <f t="shared" si="33"/>
        <v>307</v>
      </c>
      <c r="Z416" s="105">
        <v>0.47499999999999998</v>
      </c>
      <c r="AA416" s="105">
        <v>0.52500000000000002</v>
      </c>
      <c r="AB416" s="106">
        <v>0</v>
      </c>
      <c r="AC416" s="106">
        <f>4/440</f>
        <v>9.0909090909090905E-3</v>
      </c>
      <c r="AD416" s="106">
        <f>87/440</f>
        <v>0.19772727272727272</v>
      </c>
      <c r="AE416" s="106">
        <f>16/440</f>
        <v>3.6363636363636362E-2</v>
      </c>
      <c r="AF416" s="106">
        <v>0</v>
      </c>
      <c r="AG416" s="106">
        <f>332/440</f>
        <v>0.75454545454545452</v>
      </c>
      <c r="AH416" s="106">
        <f>1/440</f>
        <v>2.2727272727272726E-3</v>
      </c>
      <c r="AI416" s="106">
        <f>108/440</f>
        <v>0.24545454545454545</v>
      </c>
      <c r="AJ416" s="105">
        <v>0.61590909090909096</v>
      </c>
      <c r="AK416" s="105">
        <v>1.13636363636364E-2</v>
      </c>
      <c r="AL416" s="12">
        <v>70</v>
      </c>
      <c r="AM416" s="12">
        <v>48</v>
      </c>
      <c r="AN416" s="12">
        <v>1</v>
      </c>
      <c r="AO416" s="12">
        <v>58</v>
      </c>
      <c r="AP416" s="12">
        <v>38</v>
      </c>
      <c r="AQ416" s="12">
        <v>50</v>
      </c>
      <c r="AR416" s="12">
        <v>42</v>
      </c>
      <c r="AS416" s="59">
        <v>1.6949152542372881E-2</v>
      </c>
      <c r="AT416" s="3">
        <v>5</v>
      </c>
      <c r="AU416" s="3">
        <v>6</v>
      </c>
      <c r="AV416" s="52">
        <v>68.5</v>
      </c>
      <c r="AW416" s="52">
        <v>22.5</v>
      </c>
      <c r="AX416" s="52">
        <v>7.7</v>
      </c>
      <c r="AY416" s="71">
        <v>1.4</v>
      </c>
      <c r="AZ416" s="59">
        <v>6.4516129032258064E-3</v>
      </c>
      <c r="BA416" s="59">
        <v>0.19784946236559139</v>
      </c>
      <c r="BB416" s="78">
        <v>94.807013834749398</v>
      </c>
      <c r="BC416" s="49">
        <v>31.545064377682401</v>
      </c>
      <c r="BD416" s="49">
        <v>1.6</v>
      </c>
      <c r="BE416" s="49">
        <v>8.9</v>
      </c>
      <c r="BF416" s="49">
        <v>0</v>
      </c>
      <c r="BG416" s="49">
        <v>2.9</v>
      </c>
      <c r="BH416" s="49">
        <v>0</v>
      </c>
      <c r="BI416" s="49">
        <v>2.4</v>
      </c>
      <c r="BJ416" s="49">
        <v>18.8</v>
      </c>
      <c r="BK416" s="126">
        <v>9869</v>
      </c>
      <c r="BL416" s="126">
        <v>48030</v>
      </c>
      <c r="BM416" s="126">
        <v>43225</v>
      </c>
      <c r="BN416" s="126">
        <v>37543</v>
      </c>
      <c r="BO416" s="59">
        <v>0</v>
      </c>
      <c r="BP416" s="59">
        <v>0.39400000000000002</v>
      </c>
      <c r="BQ416" s="59">
        <v>0.15390000000000001</v>
      </c>
      <c r="BR416" s="59">
        <v>0</v>
      </c>
      <c r="BS416" s="59">
        <v>0</v>
      </c>
      <c r="BT416" s="49">
        <v>12.1</v>
      </c>
      <c r="BU416" s="59">
        <f t="shared" si="30"/>
        <v>0.54790000000000005</v>
      </c>
      <c r="BV416" s="59">
        <v>3.85E-2</v>
      </c>
      <c r="BW416" s="59">
        <v>0</v>
      </c>
      <c r="BX416" s="59">
        <v>5.7700000000000001E-2</v>
      </c>
      <c r="BY416" s="59">
        <v>0</v>
      </c>
      <c r="BZ416" s="59">
        <v>0</v>
      </c>
      <c r="CA416" s="49">
        <v>15.6</v>
      </c>
      <c r="CB416" s="59">
        <f t="shared" si="31"/>
        <v>9.6200000000000008E-2</v>
      </c>
      <c r="CC416" s="59">
        <v>0.36549999999999999</v>
      </c>
      <c r="CD416" s="59">
        <v>0.4037</v>
      </c>
      <c r="CE416" s="59">
        <v>0.23080000000000001</v>
      </c>
      <c r="CF416" s="59">
        <v>0</v>
      </c>
      <c r="CG416" s="59">
        <v>0</v>
      </c>
      <c r="CH416" s="49">
        <v>10.7</v>
      </c>
      <c r="CI416" s="39" t="s">
        <v>195</v>
      </c>
      <c r="CJ416" s="18" t="s">
        <v>479</v>
      </c>
      <c r="CK416" s="20"/>
    </row>
    <row r="417" spans="1:89" x14ac:dyDescent="0.25">
      <c r="A417" s="18" t="s">
        <v>479</v>
      </c>
      <c r="B417" s="39" t="s">
        <v>194</v>
      </c>
      <c r="C417" s="39" t="s">
        <v>196</v>
      </c>
      <c r="D417" s="40">
        <v>12</v>
      </c>
      <c r="E417" s="40">
        <v>1</v>
      </c>
      <c r="F417" s="40">
        <v>11</v>
      </c>
      <c r="G417" s="163">
        <v>0</v>
      </c>
      <c r="H417" s="163">
        <v>1</v>
      </c>
      <c r="I417" s="163">
        <v>0</v>
      </c>
      <c r="J417" s="163">
        <v>2</v>
      </c>
      <c r="K417" s="163">
        <v>4</v>
      </c>
      <c r="L417" s="163">
        <v>4</v>
      </c>
      <c r="M417" s="163">
        <v>1</v>
      </c>
      <c r="N417" s="115">
        <v>1.99004975124378E-2</v>
      </c>
      <c r="O417" s="115">
        <v>2.7027027027027001E-2</v>
      </c>
      <c r="P417" s="115">
        <v>0</v>
      </c>
      <c r="Q417" s="115">
        <v>1.0638297872340399E-2</v>
      </c>
      <c r="R417" s="115">
        <v>0</v>
      </c>
      <c r="S417" s="115">
        <v>1.7391304347826101E-2</v>
      </c>
      <c r="T417" s="115">
        <v>3.5398230088495602E-2</v>
      </c>
      <c r="U417" s="115">
        <v>4.49438202247191E-2</v>
      </c>
      <c r="V417" s="115">
        <v>1.1904761904761901E-2</v>
      </c>
      <c r="W417" s="40">
        <v>751</v>
      </c>
      <c r="X417" s="40">
        <f t="shared" si="32"/>
        <v>382</v>
      </c>
      <c r="Y417" s="40">
        <f t="shared" si="33"/>
        <v>558</v>
      </c>
      <c r="Z417" s="105">
        <v>0.49134487350199701</v>
      </c>
      <c r="AA417" s="105">
        <v>0.50865512649800304</v>
      </c>
      <c r="AB417" s="106">
        <f>1/751</f>
        <v>1.3315579227696406E-3</v>
      </c>
      <c r="AC417" s="106">
        <f>1/751</f>
        <v>1.3315579227696406E-3</v>
      </c>
      <c r="AD417" s="106">
        <f>288/751</f>
        <v>0.38348868175765644</v>
      </c>
      <c r="AE417" s="106">
        <f>7/751</f>
        <v>9.3209054593874838E-3</v>
      </c>
      <c r="AF417" s="106">
        <v>0</v>
      </c>
      <c r="AG417" s="106">
        <f>425/751</f>
        <v>0.56591211717709722</v>
      </c>
      <c r="AH417" s="106">
        <f>29/751</f>
        <v>3.8615179760319571E-2</v>
      </c>
      <c r="AI417" s="106">
        <f>326/751</f>
        <v>0.43408788282290278</v>
      </c>
      <c r="AJ417" s="105">
        <v>0.71105193075898798</v>
      </c>
      <c r="AK417" s="105">
        <v>0</v>
      </c>
      <c r="AL417" s="12">
        <v>94</v>
      </c>
      <c r="AM417" s="12">
        <v>82</v>
      </c>
      <c r="AN417" s="12">
        <v>5</v>
      </c>
      <c r="AO417" s="12">
        <v>105</v>
      </c>
      <c r="AP417" s="12">
        <v>106</v>
      </c>
      <c r="AQ417" s="12">
        <v>85</v>
      </c>
      <c r="AR417" s="12">
        <v>81</v>
      </c>
      <c r="AS417" s="59">
        <v>4.5454545454545456E-2</v>
      </c>
      <c r="AT417" s="3">
        <v>5</v>
      </c>
      <c r="AU417" s="3">
        <v>6</v>
      </c>
      <c r="AV417" s="52">
        <v>53.7</v>
      </c>
      <c r="AW417" s="52">
        <v>27.6</v>
      </c>
      <c r="AX417" s="52">
        <v>18</v>
      </c>
      <c r="AY417" s="71">
        <v>0.7</v>
      </c>
      <c r="AZ417" s="59">
        <v>1.3447432762836185E-2</v>
      </c>
      <c r="BA417" s="59">
        <v>0.28484107579462103</v>
      </c>
      <c r="BB417" s="77">
        <v>91.156977272039498</v>
      </c>
      <c r="BC417" s="49">
        <v>54.090354090354097</v>
      </c>
      <c r="BD417" s="49">
        <v>6.7</v>
      </c>
      <c r="BE417" s="49">
        <v>10.4</v>
      </c>
      <c r="BF417" s="49">
        <v>3.9</v>
      </c>
      <c r="BG417" s="49">
        <v>2.9</v>
      </c>
      <c r="BH417" s="49">
        <v>2.4</v>
      </c>
      <c r="BI417" s="49">
        <v>1.2</v>
      </c>
      <c r="BJ417" s="49">
        <v>19.5</v>
      </c>
      <c r="BK417" s="126">
        <v>9231</v>
      </c>
      <c r="BL417" s="126">
        <v>46238</v>
      </c>
      <c r="BM417" s="126">
        <v>46326</v>
      </c>
      <c r="BN417" s="126">
        <v>35474</v>
      </c>
      <c r="BO417" s="59">
        <v>0</v>
      </c>
      <c r="BP417" s="59">
        <v>0.36</v>
      </c>
      <c r="BQ417" s="59">
        <v>0.14349999999999999</v>
      </c>
      <c r="BR417" s="59">
        <v>0</v>
      </c>
      <c r="BS417" s="59">
        <v>1.15E-2</v>
      </c>
      <c r="BT417" s="49">
        <v>10.199999999999999</v>
      </c>
      <c r="BU417" s="59">
        <f t="shared" si="30"/>
        <v>0.5149999999999999</v>
      </c>
      <c r="BV417" s="59">
        <v>2.3E-2</v>
      </c>
      <c r="BW417" s="59">
        <v>0</v>
      </c>
      <c r="BX417" s="59">
        <v>4.5900000000000003E-2</v>
      </c>
      <c r="BY417" s="59">
        <v>0</v>
      </c>
      <c r="BZ417" s="59">
        <v>0</v>
      </c>
      <c r="CA417" s="49">
        <v>13.8</v>
      </c>
      <c r="CB417" s="59">
        <f t="shared" si="31"/>
        <v>6.8900000000000003E-2</v>
      </c>
      <c r="CC417" s="59">
        <v>0.39879999999999999</v>
      </c>
      <c r="CD417" s="59">
        <v>0.36</v>
      </c>
      <c r="CE417" s="59">
        <v>0.22969999999999999</v>
      </c>
      <c r="CF417" s="59">
        <v>0</v>
      </c>
      <c r="CG417" s="59">
        <v>1.15E-2</v>
      </c>
      <c r="CH417" s="49">
        <v>9.4</v>
      </c>
      <c r="CI417" s="39" t="s">
        <v>196</v>
      </c>
      <c r="CJ417" s="18" t="s">
        <v>479</v>
      </c>
      <c r="CK417" s="20"/>
    </row>
    <row r="418" spans="1:89" x14ac:dyDescent="0.25">
      <c r="A418" s="18" t="s">
        <v>479</v>
      </c>
      <c r="B418" s="39" t="s">
        <v>194</v>
      </c>
      <c r="C418" s="39" t="s">
        <v>197</v>
      </c>
      <c r="D418" s="40">
        <v>10</v>
      </c>
      <c r="E418" s="40" t="s">
        <v>83</v>
      </c>
      <c r="F418" s="40">
        <v>10</v>
      </c>
      <c r="G418" s="162" t="s">
        <v>83</v>
      </c>
      <c r="H418" s="162" t="s">
        <v>83</v>
      </c>
      <c r="I418" s="162" t="s">
        <v>83</v>
      </c>
      <c r="J418" s="163">
        <v>4</v>
      </c>
      <c r="K418" s="163">
        <v>0</v>
      </c>
      <c r="L418" s="163">
        <v>5</v>
      </c>
      <c r="M418" s="163">
        <v>1</v>
      </c>
      <c r="N418" s="115">
        <v>1.9230769230769201E-2</v>
      </c>
      <c r="O418" s="115">
        <v>1.9230769230769201E-2</v>
      </c>
      <c r="P418" s="116" t="s">
        <v>83</v>
      </c>
      <c r="Q418" s="116" t="s">
        <v>83</v>
      </c>
      <c r="R418" s="116" t="s">
        <v>83</v>
      </c>
      <c r="S418" s="115">
        <v>2.7972027972028E-2</v>
      </c>
      <c r="T418" s="115">
        <v>0</v>
      </c>
      <c r="U418" s="115">
        <v>0.04</v>
      </c>
      <c r="V418" s="115">
        <v>8.4745762711864406E-3</v>
      </c>
      <c r="W418" s="40">
        <v>881</v>
      </c>
      <c r="X418" s="40">
        <f t="shared" si="32"/>
        <v>501</v>
      </c>
      <c r="Y418" s="40">
        <f t="shared" si="33"/>
        <v>501</v>
      </c>
      <c r="Z418" s="105">
        <v>0.51305334846765005</v>
      </c>
      <c r="AA418" s="105">
        <v>0.48694665153235001</v>
      </c>
      <c r="AB418" s="106">
        <f>6/881</f>
        <v>6.8104426787741201E-3</v>
      </c>
      <c r="AC418" s="106">
        <v>0</v>
      </c>
      <c r="AD418" s="106">
        <f>128/881</f>
        <v>0.1452894438138479</v>
      </c>
      <c r="AE418" s="106">
        <f>13/881</f>
        <v>1.4755959137343927E-2</v>
      </c>
      <c r="AF418" s="106">
        <f>1/881</f>
        <v>1.1350737797956867E-3</v>
      </c>
      <c r="AG418" s="106">
        <f>721/881</f>
        <v>0.81838819523269013</v>
      </c>
      <c r="AH418" s="106">
        <f>12/881</f>
        <v>1.362088535754824E-2</v>
      </c>
      <c r="AI418" s="106">
        <f>160/881</f>
        <v>0.18161180476730987</v>
      </c>
      <c r="AJ418" s="105">
        <v>0.6696935300794552</v>
      </c>
      <c r="AK418" s="105">
        <v>0</v>
      </c>
      <c r="AL418" s="12">
        <v>0</v>
      </c>
      <c r="AM418" s="12">
        <v>0</v>
      </c>
      <c r="AN418" s="12">
        <v>0</v>
      </c>
      <c r="AO418" s="12">
        <v>138</v>
      </c>
      <c r="AP418" s="12">
        <v>129</v>
      </c>
      <c r="AQ418" s="12">
        <v>118</v>
      </c>
      <c r="AR418" s="12">
        <v>116</v>
      </c>
      <c r="AS418" s="59">
        <v>0</v>
      </c>
      <c r="AT418" s="3">
        <v>9</v>
      </c>
      <c r="AU418" s="3">
        <v>6</v>
      </c>
      <c r="AV418" s="52">
        <v>44.6</v>
      </c>
      <c r="AW418" s="52">
        <v>37.9</v>
      </c>
      <c r="AX418" s="52">
        <v>15</v>
      </c>
      <c r="AY418" s="71">
        <v>2.5</v>
      </c>
      <c r="AZ418" s="59">
        <v>3.2085561497326204E-3</v>
      </c>
      <c r="BA418" s="59">
        <v>0.14759358288770053</v>
      </c>
      <c r="BB418" s="78">
        <v>92.035939692610498</v>
      </c>
      <c r="BC418" s="49">
        <v>45.800671892497199</v>
      </c>
      <c r="BD418" s="90" t="s">
        <v>83</v>
      </c>
      <c r="BE418" s="90" t="s">
        <v>83</v>
      </c>
      <c r="BF418" s="49">
        <v>7.9</v>
      </c>
      <c r="BG418" s="49">
        <v>5.6</v>
      </c>
      <c r="BH418" s="49">
        <v>3.5</v>
      </c>
      <c r="BI418" s="49">
        <v>0.9</v>
      </c>
      <c r="BJ418" s="49">
        <v>19</v>
      </c>
      <c r="BK418" s="126">
        <v>8880</v>
      </c>
      <c r="BL418" s="126">
        <v>45945</v>
      </c>
      <c r="BM418" s="126">
        <v>45127</v>
      </c>
      <c r="BN418" s="126">
        <v>37620</v>
      </c>
      <c r="BO418" s="59">
        <v>0</v>
      </c>
      <c r="BP418" s="59">
        <v>0.50429999999999997</v>
      </c>
      <c r="BQ418" s="59">
        <v>7.9799999999999996E-2</v>
      </c>
      <c r="BR418" s="59">
        <v>0</v>
      </c>
      <c r="BS418" s="59">
        <v>0</v>
      </c>
      <c r="BT418" s="49">
        <v>8.5</v>
      </c>
      <c r="BU418" s="59">
        <f t="shared" si="30"/>
        <v>0.58409999999999995</v>
      </c>
      <c r="BV418" s="59">
        <v>2.3900000000000001E-2</v>
      </c>
      <c r="BW418" s="59">
        <v>0</v>
      </c>
      <c r="BX418" s="59">
        <v>3.4200000000000001E-2</v>
      </c>
      <c r="BY418" s="59">
        <v>1.14E-2</v>
      </c>
      <c r="BZ418" s="59">
        <v>0</v>
      </c>
      <c r="CA418" s="49">
        <v>12.9</v>
      </c>
      <c r="CB418" s="59">
        <f t="shared" si="31"/>
        <v>6.9500000000000006E-2</v>
      </c>
      <c r="CC418" s="59">
        <v>0.31330000000000002</v>
      </c>
      <c r="CD418" s="59">
        <v>0.53849999999999998</v>
      </c>
      <c r="CE418" s="59">
        <v>0.1368</v>
      </c>
      <c r="CF418" s="59">
        <v>1.14E-2</v>
      </c>
      <c r="CG418" s="59">
        <v>0</v>
      </c>
      <c r="CH418" s="49">
        <v>9.1</v>
      </c>
      <c r="CI418" s="39" t="s">
        <v>197</v>
      </c>
      <c r="CJ418" s="18" t="s">
        <v>479</v>
      </c>
      <c r="CK418" s="20"/>
    </row>
    <row r="419" spans="1:89" x14ac:dyDescent="0.25">
      <c r="A419" s="18" t="s">
        <v>479</v>
      </c>
      <c r="B419" s="39" t="s">
        <v>194</v>
      </c>
      <c r="C419" s="39" t="s">
        <v>198</v>
      </c>
      <c r="D419" s="40">
        <v>27</v>
      </c>
      <c r="E419" s="40">
        <v>5</v>
      </c>
      <c r="F419" s="40">
        <v>22</v>
      </c>
      <c r="G419" s="163">
        <v>2</v>
      </c>
      <c r="H419" s="163">
        <v>3</v>
      </c>
      <c r="I419" s="163">
        <v>1</v>
      </c>
      <c r="J419" s="163">
        <v>5</v>
      </c>
      <c r="K419" s="163">
        <v>2</v>
      </c>
      <c r="L419" s="163">
        <v>4</v>
      </c>
      <c r="M419" s="163">
        <v>10</v>
      </c>
      <c r="N419" s="115">
        <v>4.0723981900452497E-2</v>
      </c>
      <c r="O419" s="115">
        <v>4.9217002237136501E-2</v>
      </c>
      <c r="P419" s="115">
        <v>1.6949152542372899E-2</v>
      </c>
      <c r="Q419" s="115">
        <v>3.06122448979592E-2</v>
      </c>
      <c r="R419" s="115">
        <v>0.25</v>
      </c>
      <c r="S419" s="115">
        <v>3.6764705882352901E-2</v>
      </c>
      <c r="T419" s="115">
        <v>1.9801980198019799E-2</v>
      </c>
      <c r="U419" s="115">
        <v>3.5398230088495602E-2</v>
      </c>
      <c r="V419" s="115">
        <v>0.10752688172043</v>
      </c>
      <c r="W419" s="40">
        <v>810</v>
      </c>
      <c r="X419" s="40">
        <f t="shared" si="32"/>
        <v>414</v>
      </c>
      <c r="Y419" s="40">
        <f t="shared" si="33"/>
        <v>602</v>
      </c>
      <c r="Z419" s="105">
        <v>0.485185185185185</v>
      </c>
      <c r="AA419" s="105">
        <v>0.51481481481481495</v>
      </c>
      <c r="AB419" s="106">
        <f>3/810</f>
        <v>3.7037037037037038E-3</v>
      </c>
      <c r="AC419" s="106">
        <f>7/810</f>
        <v>8.6419753086419745E-3</v>
      </c>
      <c r="AD419" s="106">
        <f>565/810</f>
        <v>0.69753086419753085</v>
      </c>
      <c r="AE419" s="106">
        <f>5/810</f>
        <v>6.1728395061728392E-3</v>
      </c>
      <c r="AF419" s="106">
        <v>0</v>
      </c>
      <c r="AG419" s="106">
        <f>224/810</f>
        <v>0.27654320987654318</v>
      </c>
      <c r="AH419" s="106">
        <f>6/810</f>
        <v>7.4074074074074077E-3</v>
      </c>
      <c r="AI419" s="106">
        <f>586/810</f>
        <v>0.72345679012345676</v>
      </c>
      <c r="AJ419" s="105">
        <v>0.8481481481481481</v>
      </c>
      <c r="AK419" s="105">
        <v>0</v>
      </c>
      <c r="AL419" s="12">
        <v>105</v>
      </c>
      <c r="AM419" s="12">
        <v>83</v>
      </c>
      <c r="AN419" s="12">
        <v>3</v>
      </c>
      <c r="AO419" s="12">
        <v>122</v>
      </c>
      <c r="AP419" s="12">
        <v>95</v>
      </c>
      <c r="AQ419" s="12">
        <v>108</v>
      </c>
      <c r="AR419" s="12">
        <v>86</v>
      </c>
      <c r="AS419" s="59">
        <v>2.4E-2</v>
      </c>
      <c r="AT419" s="3">
        <v>5</v>
      </c>
      <c r="AU419" s="3">
        <v>6</v>
      </c>
      <c r="AV419" s="52">
        <v>72.5</v>
      </c>
      <c r="AW419" s="52">
        <v>26.1</v>
      </c>
      <c r="AX419" s="52">
        <v>1.4</v>
      </c>
      <c r="AY419" s="70">
        <v>0</v>
      </c>
      <c r="AZ419" s="59">
        <v>1.2557077625570776E-2</v>
      </c>
      <c r="BA419" s="59">
        <v>0.39383561643835618</v>
      </c>
      <c r="BB419" s="77">
        <v>91.518061271147701</v>
      </c>
      <c r="BC419" s="49">
        <v>48.593925759280097</v>
      </c>
      <c r="BD419" s="49">
        <v>8.6999999999999993</v>
      </c>
      <c r="BE419" s="49">
        <v>0</v>
      </c>
      <c r="BF419" s="49">
        <v>7.6</v>
      </c>
      <c r="BG419" s="49">
        <v>1.1000000000000001</v>
      </c>
      <c r="BH419" s="49">
        <v>3</v>
      </c>
      <c r="BI419" s="49">
        <v>1.2</v>
      </c>
      <c r="BJ419" s="49">
        <v>18.5</v>
      </c>
      <c r="BK419" s="126">
        <v>10440</v>
      </c>
      <c r="BL419" s="126">
        <v>46157</v>
      </c>
      <c r="BM419" s="126">
        <v>45556</v>
      </c>
      <c r="BN419" s="126">
        <v>36865</v>
      </c>
      <c r="BO419" s="59">
        <v>0</v>
      </c>
      <c r="BP419" s="59">
        <v>0.46239999999999998</v>
      </c>
      <c r="BQ419" s="59">
        <v>0.10299999999999999</v>
      </c>
      <c r="BR419" s="59">
        <v>0</v>
      </c>
      <c r="BS419" s="59">
        <v>0</v>
      </c>
      <c r="BT419" s="49">
        <v>9.1999999999999993</v>
      </c>
      <c r="BU419" s="59">
        <f t="shared" si="30"/>
        <v>0.56540000000000001</v>
      </c>
      <c r="BV419" s="59">
        <v>1.9699999999999999E-2</v>
      </c>
      <c r="BW419" s="59">
        <v>0</v>
      </c>
      <c r="BX419" s="59">
        <v>3.9300000000000002E-2</v>
      </c>
      <c r="BY419" s="59">
        <v>0</v>
      </c>
      <c r="BZ419" s="59">
        <v>0</v>
      </c>
      <c r="CA419" s="49">
        <v>11.2</v>
      </c>
      <c r="CB419" s="59">
        <f t="shared" si="31"/>
        <v>5.8999999999999997E-2</v>
      </c>
      <c r="CC419" s="59">
        <v>0.33639999999999998</v>
      </c>
      <c r="CD419" s="59">
        <v>0.4919</v>
      </c>
      <c r="CE419" s="59">
        <v>0.17169999999999999</v>
      </c>
      <c r="CF419" s="59">
        <v>0</v>
      </c>
      <c r="CG419" s="59">
        <v>0</v>
      </c>
      <c r="CH419" s="49">
        <v>9.6999999999999993</v>
      </c>
      <c r="CI419" s="39" t="s">
        <v>198</v>
      </c>
      <c r="CJ419" s="18" t="s">
        <v>479</v>
      </c>
      <c r="CK419" s="20"/>
    </row>
    <row r="420" spans="1:89" x14ac:dyDescent="0.25">
      <c r="A420" s="18" t="s">
        <v>479</v>
      </c>
      <c r="B420" s="39" t="s">
        <v>199</v>
      </c>
      <c r="C420" s="39" t="s">
        <v>200</v>
      </c>
      <c r="D420" s="40">
        <v>25</v>
      </c>
      <c r="E420" s="40" t="s">
        <v>83</v>
      </c>
      <c r="F420" s="40">
        <v>25</v>
      </c>
      <c r="G420" s="162" t="s">
        <v>83</v>
      </c>
      <c r="H420" s="162" t="s">
        <v>83</v>
      </c>
      <c r="I420" s="162" t="s">
        <v>83</v>
      </c>
      <c r="J420" s="163">
        <v>13</v>
      </c>
      <c r="K420" s="163">
        <v>3</v>
      </c>
      <c r="L420" s="163">
        <v>4</v>
      </c>
      <c r="M420" s="163">
        <v>5</v>
      </c>
      <c r="N420" s="115">
        <v>3.1407035175879401E-2</v>
      </c>
      <c r="O420" s="115">
        <v>3.1407035175879401E-2</v>
      </c>
      <c r="P420" s="116" t="s">
        <v>83</v>
      </c>
      <c r="Q420" s="116" t="s">
        <v>83</v>
      </c>
      <c r="R420" s="116" t="s">
        <v>83</v>
      </c>
      <c r="S420" s="115">
        <v>5.078125E-2</v>
      </c>
      <c r="T420" s="115">
        <v>1.6304347826087001E-2</v>
      </c>
      <c r="U420" s="115">
        <v>0.02</v>
      </c>
      <c r="V420" s="115">
        <v>3.2051282051282E-2</v>
      </c>
      <c r="W420" s="40">
        <v>734</v>
      </c>
      <c r="X420" s="40">
        <f t="shared" si="32"/>
        <v>734</v>
      </c>
      <c r="Y420" s="40">
        <f t="shared" si="33"/>
        <v>734</v>
      </c>
      <c r="Z420" s="105">
        <v>0.51634877384196198</v>
      </c>
      <c r="AA420" s="105">
        <v>0.48365122615803802</v>
      </c>
      <c r="AB420" s="106">
        <f>1/734</f>
        <v>1.3623978201634877E-3</v>
      </c>
      <c r="AC420" s="106">
        <f>4/734</f>
        <v>5.4495912806539508E-3</v>
      </c>
      <c r="AD420" s="106">
        <f>377/734</f>
        <v>0.51362397820163486</v>
      </c>
      <c r="AE420" s="106">
        <f>4/734</f>
        <v>5.4495912806539508E-3</v>
      </c>
      <c r="AF420" s="106">
        <v>0</v>
      </c>
      <c r="AG420" s="106">
        <f>342/734</f>
        <v>0.4659400544959128</v>
      </c>
      <c r="AH420" s="106">
        <f>6/734</f>
        <v>8.1743869209809257E-3</v>
      </c>
      <c r="AI420" s="106">
        <f>392/734</f>
        <v>0.5340599455040872</v>
      </c>
      <c r="AJ420" s="105">
        <v>0.77520435967302448</v>
      </c>
      <c r="AK420" s="105">
        <v>2.7247956403269801E-3</v>
      </c>
      <c r="AL420" s="12">
        <v>0</v>
      </c>
      <c r="AM420" s="12">
        <v>0</v>
      </c>
      <c r="AN420" s="12">
        <v>0</v>
      </c>
      <c r="AO420" s="12">
        <v>228</v>
      </c>
      <c r="AP420" s="12">
        <v>171</v>
      </c>
      <c r="AQ420" s="12">
        <v>189</v>
      </c>
      <c r="AR420" s="12">
        <v>146</v>
      </c>
      <c r="AS420" s="59">
        <v>0</v>
      </c>
      <c r="AT420" s="3">
        <v>9</v>
      </c>
      <c r="AU420" s="3">
        <v>6</v>
      </c>
      <c r="AV420" s="52">
        <v>76.7</v>
      </c>
      <c r="AW420" s="52">
        <v>19.399999999999999</v>
      </c>
      <c r="AX420" s="52">
        <v>2.8</v>
      </c>
      <c r="AY420" s="71">
        <v>1.1000000000000001</v>
      </c>
      <c r="AZ420" s="59">
        <v>0.22349936143039592</v>
      </c>
      <c r="BA420" s="59">
        <v>6.3856960408684551E-3</v>
      </c>
      <c r="BB420" s="78">
        <v>90.255222310132993</v>
      </c>
      <c r="BC420" s="49">
        <v>57.324840764331199</v>
      </c>
      <c r="BD420" s="90" t="s">
        <v>83</v>
      </c>
      <c r="BE420" s="90" t="s">
        <v>83</v>
      </c>
      <c r="BF420" s="49">
        <v>8.1</v>
      </c>
      <c r="BG420" s="49">
        <v>1.8</v>
      </c>
      <c r="BH420" s="49">
        <v>3.2</v>
      </c>
      <c r="BI420" s="49">
        <v>0</v>
      </c>
      <c r="BJ420" s="49">
        <v>17.100000000000001</v>
      </c>
      <c r="BK420" s="126">
        <v>10949</v>
      </c>
      <c r="BL420" s="126">
        <v>45125</v>
      </c>
      <c r="BM420" s="126">
        <v>48178</v>
      </c>
      <c r="BN420" s="126">
        <v>38276</v>
      </c>
      <c r="BO420" s="59">
        <v>0</v>
      </c>
      <c r="BP420" s="59">
        <v>0.32250000000000001</v>
      </c>
      <c r="BQ420" s="59">
        <v>0.26719999999999999</v>
      </c>
      <c r="BR420" s="59">
        <v>0</v>
      </c>
      <c r="BS420" s="59">
        <v>0</v>
      </c>
      <c r="BT420" s="49">
        <v>13.8</v>
      </c>
      <c r="BU420" s="59">
        <f t="shared" si="30"/>
        <v>0.5897</v>
      </c>
      <c r="BV420" s="59">
        <v>2.18E-2</v>
      </c>
      <c r="BW420" s="59">
        <v>0</v>
      </c>
      <c r="BX420" s="59">
        <v>4.2999999999999997E-2</v>
      </c>
      <c r="BY420" s="59">
        <v>0</v>
      </c>
      <c r="BZ420" s="59">
        <v>0</v>
      </c>
      <c r="CA420" s="49">
        <v>24.7</v>
      </c>
      <c r="CB420" s="59">
        <f t="shared" si="31"/>
        <v>6.4799999999999996E-2</v>
      </c>
      <c r="CC420" s="59">
        <v>0.2802</v>
      </c>
      <c r="CD420" s="59">
        <v>0.32750000000000001</v>
      </c>
      <c r="CE420" s="59">
        <v>0.36570000000000003</v>
      </c>
      <c r="CF420" s="59">
        <v>1.5699999999999999E-2</v>
      </c>
      <c r="CG420" s="59">
        <v>1.09E-2</v>
      </c>
      <c r="CH420" s="49">
        <v>15.4</v>
      </c>
      <c r="CI420" s="39" t="s">
        <v>200</v>
      </c>
      <c r="CJ420" s="18" t="s">
        <v>479</v>
      </c>
      <c r="CK420" s="20"/>
    </row>
    <row r="421" spans="1:89" x14ac:dyDescent="0.25">
      <c r="A421" s="18" t="s">
        <v>479</v>
      </c>
      <c r="B421" s="39" t="s">
        <v>201</v>
      </c>
      <c r="C421" s="39" t="s">
        <v>202</v>
      </c>
      <c r="D421" s="40">
        <v>0</v>
      </c>
      <c r="E421" s="40">
        <v>0</v>
      </c>
      <c r="F421" s="40">
        <v>0</v>
      </c>
      <c r="G421" s="163">
        <v>0</v>
      </c>
      <c r="H421" s="163">
        <v>0</v>
      </c>
      <c r="I421" s="162" t="s">
        <v>83</v>
      </c>
      <c r="J421" s="163">
        <v>0</v>
      </c>
      <c r="K421" s="163">
        <v>0</v>
      </c>
      <c r="L421" s="163">
        <v>0</v>
      </c>
      <c r="M421" s="163">
        <v>0</v>
      </c>
      <c r="N421" s="115">
        <v>0</v>
      </c>
      <c r="O421" s="115">
        <v>0</v>
      </c>
      <c r="P421" s="115">
        <v>0</v>
      </c>
      <c r="Q421" s="115">
        <v>0</v>
      </c>
      <c r="R421" s="116" t="s">
        <v>83</v>
      </c>
      <c r="S421" s="115">
        <v>0</v>
      </c>
      <c r="T421" s="115">
        <v>0</v>
      </c>
      <c r="U421" s="115">
        <v>0</v>
      </c>
      <c r="V421" s="115">
        <v>0</v>
      </c>
      <c r="W421" s="40">
        <v>232</v>
      </c>
      <c r="X421" s="40">
        <f t="shared" si="32"/>
        <v>66</v>
      </c>
      <c r="Y421" s="40">
        <f t="shared" si="33"/>
        <v>109</v>
      </c>
      <c r="Z421" s="105">
        <v>0.50862068965517204</v>
      </c>
      <c r="AA421" s="105">
        <v>0.49137931034482801</v>
      </c>
      <c r="AB421" s="106">
        <f>4/232</f>
        <v>1.7241379310344827E-2</v>
      </c>
      <c r="AC421" s="106">
        <v>0</v>
      </c>
      <c r="AD421" s="106">
        <v>0</v>
      </c>
      <c r="AE421" s="106">
        <f>1/232</f>
        <v>4.3103448275862068E-3</v>
      </c>
      <c r="AF421" s="106">
        <v>0</v>
      </c>
      <c r="AG421" s="106">
        <f>225/232</f>
        <v>0.96982758620689657</v>
      </c>
      <c r="AH421" s="106">
        <f>2/232</f>
        <v>8.6206896551724137E-3</v>
      </c>
      <c r="AI421" s="106">
        <f>7/232</f>
        <v>3.017241379310345E-2</v>
      </c>
      <c r="AJ421" s="105">
        <v>0.65086206896551724</v>
      </c>
      <c r="AK421" s="105">
        <v>0</v>
      </c>
      <c r="AL421" s="12">
        <v>20</v>
      </c>
      <c r="AM421" s="12">
        <v>23</v>
      </c>
      <c r="AN421" s="12">
        <v>0</v>
      </c>
      <c r="AO421" s="12">
        <v>20</v>
      </c>
      <c r="AP421" s="12">
        <v>18</v>
      </c>
      <c r="AQ421" s="12">
        <v>16</v>
      </c>
      <c r="AR421" s="12">
        <v>12</v>
      </c>
      <c r="AS421" s="59">
        <v>0</v>
      </c>
      <c r="AT421" s="3">
        <v>1</v>
      </c>
      <c r="AU421" s="3">
        <v>6</v>
      </c>
      <c r="AV421" s="52">
        <v>82.5</v>
      </c>
      <c r="AW421" s="52">
        <v>17.5</v>
      </c>
      <c r="AX421" s="53">
        <v>0</v>
      </c>
      <c r="AY421" s="70">
        <v>0</v>
      </c>
      <c r="AZ421" s="59">
        <v>0</v>
      </c>
      <c r="BA421" s="59">
        <v>4.5801526717557252E-2</v>
      </c>
      <c r="BB421" s="77">
        <v>94.197766980254301</v>
      </c>
      <c r="BC421" s="49">
        <v>20.229007633587798</v>
      </c>
      <c r="BD421" s="49">
        <v>5</v>
      </c>
      <c r="BE421" s="49">
        <v>0</v>
      </c>
      <c r="BF421" s="49">
        <v>5</v>
      </c>
      <c r="BG421" s="49">
        <v>0</v>
      </c>
      <c r="BH421" s="49">
        <v>0</v>
      </c>
      <c r="BI421" s="49">
        <v>0</v>
      </c>
      <c r="BJ421" s="49">
        <v>18.8</v>
      </c>
      <c r="BK421" s="126">
        <v>9638</v>
      </c>
      <c r="BL421" s="126">
        <v>43719</v>
      </c>
      <c r="BM421" s="126">
        <v>41677</v>
      </c>
      <c r="BN421" s="126">
        <v>36056</v>
      </c>
      <c r="BO421" s="59">
        <v>0</v>
      </c>
      <c r="BP421" s="59">
        <v>0.44059999999999999</v>
      </c>
      <c r="BQ421" s="59">
        <v>0.13730000000000001</v>
      </c>
      <c r="BR421" s="59">
        <v>0</v>
      </c>
      <c r="BS421" s="59">
        <v>0</v>
      </c>
      <c r="BT421" s="49">
        <v>10.9</v>
      </c>
      <c r="BU421" s="59">
        <f t="shared" si="30"/>
        <v>0.57789999999999997</v>
      </c>
      <c r="BV421" s="59">
        <v>3.56E-2</v>
      </c>
      <c r="BW421" s="59">
        <v>0</v>
      </c>
      <c r="BX421" s="59">
        <v>5.7599999999999998E-2</v>
      </c>
      <c r="BY421" s="59">
        <v>0</v>
      </c>
      <c r="BZ421" s="59">
        <v>0</v>
      </c>
      <c r="CA421" s="49">
        <v>21</v>
      </c>
      <c r="CB421" s="59">
        <f t="shared" si="31"/>
        <v>9.3200000000000005E-2</v>
      </c>
      <c r="CC421" s="59">
        <v>0.3296</v>
      </c>
      <c r="CD421" s="59">
        <v>0.44840000000000002</v>
      </c>
      <c r="CE421" s="59">
        <v>0.222</v>
      </c>
      <c r="CF421" s="59">
        <v>0</v>
      </c>
      <c r="CG421" s="59">
        <v>0</v>
      </c>
      <c r="CH421" s="49">
        <v>10.9</v>
      </c>
      <c r="CI421" s="39" t="s">
        <v>202</v>
      </c>
      <c r="CJ421" s="18" t="s">
        <v>479</v>
      </c>
      <c r="CK421" s="20"/>
    </row>
    <row r="422" spans="1:89" x14ac:dyDescent="0.25">
      <c r="A422" s="18" t="s">
        <v>479</v>
      </c>
      <c r="B422" s="39" t="s">
        <v>201</v>
      </c>
      <c r="C422" s="39" t="s">
        <v>203</v>
      </c>
      <c r="D422" s="40">
        <v>47</v>
      </c>
      <c r="E422" s="40" t="s">
        <v>83</v>
      </c>
      <c r="F422" s="40">
        <v>47</v>
      </c>
      <c r="G422" s="162" t="s">
        <v>83</v>
      </c>
      <c r="H422" s="162" t="s">
        <v>83</v>
      </c>
      <c r="I422" s="162" t="s">
        <v>83</v>
      </c>
      <c r="J422" s="163">
        <v>14</v>
      </c>
      <c r="K422" s="163">
        <v>15</v>
      </c>
      <c r="L422" s="163">
        <v>8</v>
      </c>
      <c r="M422" s="163">
        <v>10</v>
      </c>
      <c r="N422" s="115">
        <v>5.94184576485461E-2</v>
      </c>
      <c r="O422" s="115">
        <v>5.94184576485461E-2</v>
      </c>
      <c r="P422" s="116" t="s">
        <v>83</v>
      </c>
      <c r="Q422" s="116" t="s">
        <v>83</v>
      </c>
      <c r="R422" s="116" t="s">
        <v>83</v>
      </c>
      <c r="S422" s="115">
        <v>5.6680161943319797E-2</v>
      </c>
      <c r="T422" s="115">
        <v>6.7264573991031404E-2</v>
      </c>
      <c r="U422" s="115">
        <v>5.3691275167785199E-2</v>
      </c>
      <c r="V422" s="115">
        <v>5.8823529411764698E-2</v>
      </c>
      <c r="W422" s="40">
        <v>723</v>
      </c>
      <c r="X422" s="40">
        <f t="shared" si="32"/>
        <v>723</v>
      </c>
      <c r="Y422" s="40">
        <f t="shared" si="33"/>
        <v>723</v>
      </c>
      <c r="Z422" s="105">
        <v>0.475795297372061</v>
      </c>
      <c r="AA422" s="105">
        <v>0.52420470262793895</v>
      </c>
      <c r="AB422" s="106">
        <f>4/723</f>
        <v>5.5325034578146614E-3</v>
      </c>
      <c r="AC422" s="106">
        <f>3/723</f>
        <v>4.1493775933609959E-3</v>
      </c>
      <c r="AD422" s="106">
        <f>75/723</f>
        <v>0.1037344398340249</v>
      </c>
      <c r="AE422" s="106">
        <f>12/723</f>
        <v>1.6597510373443983E-2</v>
      </c>
      <c r="AF422" s="106">
        <v>0</v>
      </c>
      <c r="AG422" s="106">
        <f>625/723</f>
        <v>0.86445366528354084</v>
      </c>
      <c r="AH422" s="106">
        <f>4/723</f>
        <v>5.5325034578146614E-3</v>
      </c>
      <c r="AI422" s="106">
        <f>98/723</f>
        <v>0.13554633471645919</v>
      </c>
      <c r="AJ422" s="105">
        <v>0.62102351313969573</v>
      </c>
      <c r="AK422" s="105">
        <v>0</v>
      </c>
      <c r="AL422" s="12">
        <v>0</v>
      </c>
      <c r="AM422" s="12">
        <v>0</v>
      </c>
      <c r="AN422" s="12">
        <v>0</v>
      </c>
      <c r="AO422" s="12">
        <v>242</v>
      </c>
      <c r="AP422" s="12">
        <v>197</v>
      </c>
      <c r="AQ422" s="12">
        <v>152</v>
      </c>
      <c r="AR422" s="12">
        <v>132</v>
      </c>
      <c r="AS422" s="59">
        <v>0</v>
      </c>
      <c r="AT422" s="3">
        <v>9</v>
      </c>
      <c r="AU422" s="3">
        <v>6</v>
      </c>
      <c r="AV422" s="52">
        <v>73.2</v>
      </c>
      <c r="AW422" s="52">
        <v>13.5</v>
      </c>
      <c r="AX422" s="52">
        <v>13.1</v>
      </c>
      <c r="AY422" s="71">
        <v>0.2</v>
      </c>
      <c r="AZ422" s="59">
        <v>0.11979166666666667</v>
      </c>
      <c r="BA422" s="59">
        <v>5.859375E-2</v>
      </c>
      <c r="BB422" s="78">
        <v>91.886664816485094</v>
      </c>
      <c r="BC422" s="49">
        <v>23.6979166666667</v>
      </c>
      <c r="BD422" s="90" t="s">
        <v>83</v>
      </c>
      <c r="BE422" s="90" t="s">
        <v>83</v>
      </c>
      <c r="BF422" s="49">
        <v>18.8</v>
      </c>
      <c r="BG422" s="49">
        <v>13.5</v>
      </c>
      <c r="BH422" s="49">
        <v>5.5</v>
      </c>
      <c r="BI422" s="49">
        <v>3.3</v>
      </c>
      <c r="BJ422" s="49">
        <v>19.3</v>
      </c>
      <c r="BK422" s="126">
        <v>9437</v>
      </c>
      <c r="BL422" s="126">
        <v>41319</v>
      </c>
      <c r="BM422" s="126">
        <v>41936</v>
      </c>
      <c r="BN422" s="126">
        <v>34357</v>
      </c>
      <c r="BO422" s="59">
        <v>1.24E-2</v>
      </c>
      <c r="BP422" s="59">
        <v>0.39889999999999998</v>
      </c>
      <c r="BQ422" s="59">
        <v>0.16320000000000001</v>
      </c>
      <c r="BR422" s="59">
        <v>0</v>
      </c>
      <c r="BS422" s="59">
        <v>0</v>
      </c>
      <c r="BT422" s="49">
        <v>8.1</v>
      </c>
      <c r="BU422" s="59">
        <f t="shared" si="30"/>
        <v>0.57450000000000001</v>
      </c>
      <c r="BV422" s="59">
        <v>2.4799999999999999E-2</v>
      </c>
      <c r="BW422" s="59">
        <v>0</v>
      </c>
      <c r="BX422" s="59">
        <v>3.7100000000000001E-2</v>
      </c>
      <c r="BY422" s="59">
        <v>0</v>
      </c>
      <c r="BZ422" s="59">
        <v>0</v>
      </c>
      <c r="CA422" s="49">
        <v>15.8</v>
      </c>
      <c r="CB422" s="59">
        <f t="shared" si="31"/>
        <v>6.1899999999999997E-2</v>
      </c>
      <c r="CC422" s="59">
        <v>0.34970000000000001</v>
      </c>
      <c r="CD422" s="59">
        <v>0.41270000000000001</v>
      </c>
      <c r="CE422" s="59">
        <v>0.23300000000000001</v>
      </c>
      <c r="CF422" s="59">
        <v>4.5999999999999999E-3</v>
      </c>
      <c r="CG422" s="59">
        <v>0</v>
      </c>
      <c r="CH422" s="49">
        <v>9.9</v>
      </c>
      <c r="CI422" s="39" t="s">
        <v>203</v>
      </c>
      <c r="CJ422" s="18" t="s">
        <v>479</v>
      </c>
      <c r="CK422" s="20"/>
    </row>
    <row r="423" spans="1:89" x14ac:dyDescent="0.25">
      <c r="A423" s="18" t="s">
        <v>479</v>
      </c>
      <c r="B423" s="39" t="s">
        <v>201</v>
      </c>
      <c r="C423" s="39" t="s">
        <v>204</v>
      </c>
      <c r="D423" s="40">
        <v>3</v>
      </c>
      <c r="E423" s="40">
        <v>0</v>
      </c>
      <c r="F423" s="40">
        <v>3</v>
      </c>
      <c r="G423" s="163">
        <v>0</v>
      </c>
      <c r="H423" s="163">
        <v>0</v>
      </c>
      <c r="I423" s="162" t="s">
        <v>83</v>
      </c>
      <c r="J423" s="163">
        <v>1</v>
      </c>
      <c r="K423" s="163">
        <v>0</v>
      </c>
      <c r="L423" s="163">
        <v>2</v>
      </c>
      <c r="M423" s="163">
        <v>0</v>
      </c>
      <c r="N423" s="115">
        <v>1.21951219512195E-2</v>
      </c>
      <c r="O423" s="115">
        <v>1.79640718562874E-2</v>
      </c>
      <c r="P423" s="115">
        <v>0</v>
      </c>
      <c r="Q423" s="115">
        <v>0</v>
      </c>
      <c r="R423" s="116" t="s">
        <v>83</v>
      </c>
      <c r="S423" s="115">
        <v>1.63934426229508E-2</v>
      </c>
      <c r="T423" s="115">
        <v>0</v>
      </c>
      <c r="U423" s="115">
        <v>4.5454545454545497E-2</v>
      </c>
      <c r="V423" s="115">
        <v>0</v>
      </c>
      <c r="W423" s="40">
        <v>225</v>
      </c>
      <c r="X423" s="40">
        <f t="shared" si="32"/>
        <v>157</v>
      </c>
      <c r="Y423" s="40">
        <f t="shared" si="33"/>
        <v>225</v>
      </c>
      <c r="Z423" s="105">
        <v>0.431111111111111</v>
      </c>
      <c r="AA423" s="105">
        <v>0.568888888888889</v>
      </c>
      <c r="AB423" s="106">
        <f>1/225</f>
        <v>4.4444444444444444E-3</v>
      </c>
      <c r="AC423" s="106">
        <f>3/225</f>
        <v>1.3333333333333334E-2</v>
      </c>
      <c r="AD423" s="106">
        <f>32/225</f>
        <v>0.14222222222222222</v>
      </c>
      <c r="AE423" s="106">
        <v>0</v>
      </c>
      <c r="AF423" s="106">
        <f>2/225</f>
        <v>8.8888888888888889E-3</v>
      </c>
      <c r="AG423" s="106">
        <f>185/225</f>
        <v>0.82222222222222219</v>
      </c>
      <c r="AH423" s="106">
        <f>2/225</f>
        <v>8.8888888888888889E-3</v>
      </c>
      <c r="AI423" s="106">
        <f>40/225</f>
        <v>0.17777777777777778</v>
      </c>
      <c r="AJ423" s="105">
        <v>0.7466666666666667</v>
      </c>
      <c r="AK423" s="105">
        <v>4.4444444444444401E-3</v>
      </c>
      <c r="AL423" s="12">
        <v>36</v>
      </c>
      <c r="AM423" s="12">
        <v>32</v>
      </c>
      <c r="AN423" s="12">
        <v>0</v>
      </c>
      <c r="AO423" s="12">
        <v>56</v>
      </c>
      <c r="AP423" s="12">
        <v>33</v>
      </c>
      <c r="AQ423" s="12">
        <v>45</v>
      </c>
      <c r="AR423" s="12">
        <v>23</v>
      </c>
      <c r="AS423" s="59">
        <v>0</v>
      </c>
      <c r="AT423" s="3">
        <v>7</v>
      </c>
      <c r="AU423" s="3">
        <v>6</v>
      </c>
      <c r="AV423" s="52">
        <v>86.5</v>
      </c>
      <c r="AW423" s="52">
        <v>4.3</v>
      </c>
      <c r="AX423" s="52">
        <v>8.6999999999999993</v>
      </c>
      <c r="AY423" s="71">
        <v>0.5</v>
      </c>
      <c r="AZ423" s="59">
        <v>0.31707317073170732</v>
      </c>
      <c r="BA423" s="59">
        <v>8.1300813008130079E-2</v>
      </c>
      <c r="BB423" s="77">
        <v>92.027490450832204</v>
      </c>
      <c r="BC423" s="49">
        <v>32.388663967611301</v>
      </c>
      <c r="BD423" s="49">
        <v>2.7</v>
      </c>
      <c r="BE423" s="49">
        <v>0</v>
      </c>
      <c r="BF423" s="49">
        <v>19.100000000000001</v>
      </c>
      <c r="BG423" s="49">
        <v>17.2</v>
      </c>
      <c r="BH423" s="49">
        <v>17.100000000000001</v>
      </c>
      <c r="BI423" s="49">
        <v>3.6</v>
      </c>
      <c r="BJ423" s="49">
        <v>16.8</v>
      </c>
      <c r="BK423" s="126">
        <v>10070</v>
      </c>
      <c r="BL423" s="126">
        <v>47603</v>
      </c>
      <c r="BM423" s="126">
        <v>44118</v>
      </c>
      <c r="BN423" s="126">
        <v>38839</v>
      </c>
      <c r="BO423" s="59">
        <v>3.9100000000000003E-2</v>
      </c>
      <c r="BP423" s="59">
        <v>0.44769999999999999</v>
      </c>
      <c r="BQ423" s="59">
        <v>7.9200000000000007E-2</v>
      </c>
      <c r="BR423" s="59">
        <v>0</v>
      </c>
      <c r="BS423" s="59">
        <v>0</v>
      </c>
      <c r="BT423" s="49">
        <v>15.8</v>
      </c>
      <c r="BU423" s="59">
        <f t="shared" si="30"/>
        <v>0.56600000000000006</v>
      </c>
      <c r="BV423" s="59">
        <v>3.9100000000000003E-2</v>
      </c>
      <c r="BW423" s="59">
        <v>0</v>
      </c>
      <c r="BX423" s="59">
        <v>6.1600000000000002E-2</v>
      </c>
      <c r="BY423" s="59">
        <v>0</v>
      </c>
      <c r="BZ423" s="59">
        <v>0</v>
      </c>
      <c r="CA423" s="49">
        <v>19.5</v>
      </c>
      <c r="CB423" s="59">
        <f t="shared" si="31"/>
        <v>0.10070000000000001</v>
      </c>
      <c r="CC423" s="59">
        <v>0.37459999999999999</v>
      </c>
      <c r="CD423" s="59">
        <v>0.45579999999999998</v>
      </c>
      <c r="CE423" s="59">
        <v>0.16470000000000001</v>
      </c>
      <c r="CF423" s="59">
        <v>4.8999999999999998E-3</v>
      </c>
      <c r="CG423" s="59">
        <v>0</v>
      </c>
      <c r="CH423" s="49">
        <v>13.7</v>
      </c>
      <c r="CI423" s="39" t="s">
        <v>204</v>
      </c>
      <c r="CJ423" s="18" t="s">
        <v>479</v>
      </c>
      <c r="CK423" s="20"/>
    </row>
    <row r="424" spans="1:89" x14ac:dyDescent="0.25">
      <c r="A424" s="18" t="s">
        <v>479</v>
      </c>
      <c r="B424" s="39" t="s">
        <v>205</v>
      </c>
      <c r="C424" s="39" t="s">
        <v>206</v>
      </c>
      <c r="D424" s="40">
        <v>4</v>
      </c>
      <c r="E424" s="40">
        <v>1</v>
      </c>
      <c r="F424" s="40">
        <v>3</v>
      </c>
      <c r="G424" s="163">
        <v>1</v>
      </c>
      <c r="H424" s="163">
        <v>0</v>
      </c>
      <c r="I424" s="163">
        <v>0</v>
      </c>
      <c r="J424" s="163">
        <v>1</v>
      </c>
      <c r="K424" s="163">
        <v>1</v>
      </c>
      <c r="L424" s="163">
        <v>0</v>
      </c>
      <c r="M424" s="163">
        <v>1</v>
      </c>
      <c r="N424" s="115">
        <v>8.11359026369168E-3</v>
      </c>
      <c r="O424" s="115">
        <v>1.00334448160535E-2</v>
      </c>
      <c r="P424" s="115">
        <v>0.01</v>
      </c>
      <c r="Q424" s="115">
        <v>0</v>
      </c>
      <c r="R424" s="115">
        <v>0</v>
      </c>
      <c r="S424" s="115">
        <v>1.16279069767442E-2</v>
      </c>
      <c r="T424" s="115">
        <v>1.35135135135135E-2</v>
      </c>
      <c r="U424" s="115">
        <v>0</v>
      </c>
      <c r="V424" s="115">
        <v>1.5384615384615399E-2</v>
      </c>
      <c r="W424" s="40">
        <v>559</v>
      </c>
      <c r="X424" s="40">
        <f t="shared" si="32"/>
        <v>279</v>
      </c>
      <c r="Y424" s="40">
        <f t="shared" si="33"/>
        <v>464</v>
      </c>
      <c r="Z424" s="105">
        <v>0.46869409660107297</v>
      </c>
      <c r="AA424" s="105">
        <v>0.53130590339892703</v>
      </c>
      <c r="AB424" s="106">
        <f>3/559</f>
        <v>5.3667262969588547E-3</v>
      </c>
      <c r="AC424" s="106">
        <f>6/559</f>
        <v>1.0733452593917709E-2</v>
      </c>
      <c r="AD424" s="106">
        <f>44/559</f>
        <v>7.8711985688729877E-2</v>
      </c>
      <c r="AE424" s="106">
        <f>28/559</f>
        <v>5.008944543828265E-2</v>
      </c>
      <c r="AF424" s="106">
        <v>0</v>
      </c>
      <c r="AG424" s="106">
        <f>474/559</f>
        <v>0.84794275491949911</v>
      </c>
      <c r="AH424" s="106">
        <f>4/559</f>
        <v>7.1556350626118068E-3</v>
      </c>
      <c r="AI424" s="106">
        <f>85/559</f>
        <v>0.15205724508050089</v>
      </c>
      <c r="AJ424" s="105">
        <v>0.55992844364937389</v>
      </c>
      <c r="AK424" s="105">
        <v>1.43112701252236E-2</v>
      </c>
      <c r="AL424" s="12">
        <v>100</v>
      </c>
      <c r="AM424" s="12">
        <v>85</v>
      </c>
      <c r="AN424" s="12">
        <v>1</v>
      </c>
      <c r="AO424" s="12">
        <v>79</v>
      </c>
      <c r="AP424" s="12">
        <v>66</v>
      </c>
      <c r="AQ424" s="12">
        <v>73</v>
      </c>
      <c r="AR424" s="12">
        <v>60</v>
      </c>
      <c r="AS424" s="59">
        <v>1.2500000000000001E-2</v>
      </c>
      <c r="AT424" s="3">
        <v>6</v>
      </c>
      <c r="AU424" s="3">
        <v>6</v>
      </c>
      <c r="AV424" s="52">
        <v>68.5</v>
      </c>
      <c r="AW424" s="52">
        <v>17.7</v>
      </c>
      <c r="AX424" s="52">
        <v>13.1</v>
      </c>
      <c r="AY424" s="71">
        <v>0.6</v>
      </c>
      <c r="AZ424" s="59">
        <v>0.28109028960817717</v>
      </c>
      <c r="BA424" s="59">
        <v>3.4071550255536627E-3</v>
      </c>
      <c r="BB424" s="78">
        <v>95.785843290511494</v>
      </c>
      <c r="BC424" s="49">
        <v>16.496598639455801</v>
      </c>
      <c r="BD424" s="49">
        <v>6.5</v>
      </c>
      <c r="BE424" s="49">
        <v>0</v>
      </c>
      <c r="BF424" s="49">
        <v>6.8</v>
      </c>
      <c r="BG424" s="49">
        <v>3.1</v>
      </c>
      <c r="BH424" s="49">
        <v>0</v>
      </c>
      <c r="BI424" s="49">
        <v>3.1</v>
      </c>
      <c r="BJ424" s="49">
        <v>20.9</v>
      </c>
      <c r="BK424" s="126">
        <v>9566</v>
      </c>
      <c r="BL424" s="126">
        <v>50083</v>
      </c>
      <c r="BM424" s="126">
        <v>39170</v>
      </c>
      <c r="BN424" s="126">
        <v>44191</v>
      </c>
      <c r="BO424" s="59">
        <v>0</v>
      </c>
      <c r="BP424" s="59">
        <v>0.51680000000000004</v>
      </c>
      <c r="BQ424" s="59">
        <v>0.19409999999999999</v>
      </c>
      <c r="BR424" s="59">
        <v>0</v>
      </c>
      <c r="BS424" s="59">
        <v>0</v>
      </c>
      <c r="BT424" s="49">
        <v>13.5</v>
      </c>
      <c r="BU424" s="59">
        <f t="shared" si="30"/>
        <v>0.71090000000000009</v>
      </c>
      <c r="BV424" s="59">
        <v>5.7099999999999998E-2</v>
      </c>
      <c r="BW424" s="59">
        <v>1.9E-2</v>
      </c>
      <c r="BX424" s="59">
        <v>1.9E-2</v>
      </c>
      <c r="BY424" s="59">
        <v>0</v>
      </c>
      <c r="BZ424" s="59">
        <v>0</v>
      </c>
      <c r="CA424" s="49">
        <v>9.4</v>
      </c>
      <c r="CB424" s="59">
        <f t="shared" si="31"/>
        <v>9.5100000000000004E-2</v>
      </c>
      <c r="CC424" s="59">
        <v>0.21429999999999999</v>
      </c>
      <c r="CD424" s="59">
        <v>0.53590000000000004</v>
      </c>
      <c r="CE424" s="59">
        <v>0.24979999999999999</v>
      </c>
      <c r="CF424" s="59">
        <v>0</v>
      </c>
      <c r="CG424" s="59">
        <v>0</v>
      </c>
      <c r="CH424" s="49">
        <v>12.6</v>
      </c>
      <c r="CI424" s="39" t="s">
        <v>206</v>
      </c>
      <c r="CJ424" s="18" t="s">
        <v>479</v>
      </c>
      <c r="CK424" s="20"/>
    </row>
    <row r="425" spans="1:89" x14ac:dyDescent="0.25">
      <c r="A425" s="18" t="s">
        <v>479</v>
      </c>
      <c r="B425" s="39" t="s">
        <v>205</v>
      </c>
      <c r="C425" s="39" t="s">
        <v>207</v>
      </c>
      <c r="D425" s="40">
        <v>8</v>
      </c>
      <c r="E425" s="40">
        <v>2</v>
      </c>
      <c r="F425" s="40">
        <v>6</v>
      </c>
      <c r="G425" s="163">
        <v>1</v>
      </c>
      <c r="H425" s="163">
        <v>1</v>
      </c>
      <c r="I425" s="163">
        <v>0</v>
      </c>
      <c r="J425" s="163">
        <v>4</v>
      </c>
      <c r="K425" s="163">
        <v>0</v>
      </c>
      <c r="L425" s="163">
        <v>1</v>
      </c>
      <c r="M425" s="163">
        <v>1</v>
      </c>
      <c r="N425" s="115">
        <v>1.60965794768612E-2</v>
      </c>
      <c r="O425" s="115">
        <v>1.79640718562874E-2</v>
      </c>
      <c r="P425" s="115">
        <v>1.2820512820512799E-2</v>
      </c>
      <c r="Q425" s="115">
        <v>1.1764705882352899E-2</v>
      </c>
      <c r="R425" s="115">
        <v>0</v>
      </c>
      <c r="S425" s="115">
        <v>3.7037037037037E-2</v>
      </c>
      <c r="T425" s="115">
        <v>0</v>
      </c>
      <c r="U425" s="115">
        <v>1.5151515151515201E-2</v>
      </c>
      <c r="V425" s="115">
        <v>1.4492753623188401E-2</v>
      </c>
      <c r="W425" s="40">
        <v>433</v>
      </c>
      <c r="X425" s="40">
        <f t="shared" si="32"/>
        <v>293</v>
      </c>
      <c r="Y425" s="40">
        <f t="shared" si="33"/>
        <v>433</v>
      </c>
      <c r="Z425" s="105">
        <v>0.48267898383371799</v>
      </c>
      <c r="AA425" s="105">
        <v>0.51732101616628201</v>
      </c>
      <c r="AB425" s="106">
        <f>1/433</f>
        <v>2.3094688221709007E-3</v>
      </c>
      <c r="AC425" s="106">
        <v>0</v>
      </c>
      <c r="AD425" s="106">
        <f>376/433</f>
        <v>0.86836027713625863</v>
      </c>
      <c r="AE425" s="106">
        <v>0</v>
      </c>
      <c r="AF425" s="106">
        <v>0</v>
      </c>
      <c r="AG425" s="106">
        <f>54/433</f>
        <v>0.12471131639722864</v>
      </c>
      <c r="AH425" s="106">
        <f>2/433</f>
        <v>4.6189376443418013E-3</v>
      </c>
      <c r="AI425" s="106">
        <f>379/433</f>
        <v>0.87528868360277134</v>
      </c>
      <c r="AJ425" s="105">
        <v>0.92609699769053122</v>
      </c>
      <c r="AK425" s="105">
        <v>0</v>
      </c>
      <c r="AL425" s="12">
        <v>65</v>
      </c>
      <c r="AM425" s="12">
        <v>75</v>
      </c>
      <c r="AN425" s="12">
        <v>3</v>
      </c>
      <c r="AO425" s="12">
        <v>97</v>
      </c>
      <c r="AP425" s="12">
        <v>72</v>
      </c>
      <c r="AQ425" s="12">
        <v>62</v>
      </c>
      <c r="AR425" s="12">
        <v>59</v>
      </c>
      <c r="AS425" s="59">
        <v>0.03</v>
      </c>
      <c r="AT425" s="3">
        <v>7</v>
      </c>
      <c r="AU425" s="3">
        <v>6</v>
      </c>
      <c r="AV425" s="52">
        <v>85.8</v>
      </c>
      <c r="AW425" s="52">
        <v>10.1</v>
      </c>
      <c r="AX425" s="52">
        <v>4.0999999999999996</v>
      </c>
      <c r="AY425" s="70">
        <v>0</v>
      </c>
      <c r="AZ425" s="59">
        <v>0.34072580645161288</v>
      </c>
      <c r="BA425" s="59">
        <v>6.25E-2</v>
      </c>
      <c r="BB425" s="77">
        <v>92.713865861855396</v>
      </c>
      <c r="BC425" s="49">
        <v>33.791748526522603</v>
      </c>
      <c r="BD425" s="49">
        <v>7.4</v>
      </c>
      <c r="BE425" s="49">
        <v>8.5</v>
      </c>
      <c r="BF425" s="49">
        <v>5.8</v>
      </c>
      <c r="BG425" s="49">
        <v>1.4</v>
      </c>
      <c r="BH425" s="49">
        <v>0</v>
      </c>
      <c r="BI425" s="49">
        <v>0</v>
      </c>
      <c r="BJ425" s="49">
        <v>17.899999999999999</v>
      </c>
      <c r="BK425" s="126">
        <v>12628</v>
      </c>
      <c r="BL425" s="126">
        <v>47894</v>
      </c>
      <c r="BM425" s="126">
        <v>42348</v>
      </c>
      <c r="BN425" s="126">
        <v>42026</v>
      </c>
      <c r="BO425" s="59">
        <v>0</v>
      </c>
      <c r="BP425" s="59">
        <v>0.53600000000000003</v>
      </c>
      <c r="BQ425" s="59">
        <v>9.2299999999999993E-2</v>
      </c>
      <c r="BR425" s="59">
        <v>0</v>
      </c>
      <c r="BS425" s="59">
        <v>0</v>
      </c>
      <c r="BT425" s="49">
        <v>8.6999999999999993</v>
      </c>
      <c r="BU425" s="59">
        <f t="shared" si="30"/>
        <v>0.62830000000000008</v>
      </c>
      <c r="BV425" s="59">
        <v>3.1199999999999999E-2</v>
      </c>
      <c r="BW425" s="59">
        <v>1.5599999999999999E-2</v>
      </c>
      <c r="BX425" s="59">
        <v>1.5599999999999999E-2</v>
      </c>
      <c r="BY425" s="59">
        <v>0</v>
      </c>
      <c r="BZ425" s="59">
        <v>0</v>
      </c>
      <c r="CA425" s="49">
        <v>11.3</v>
      </c>
      <c r="CB425" s="59">
        <f t="shared" si="31"/>
        <v>6.2399999999999997E-2</v>
      </c>
      <c r="CC425" s="59">
        <v>0.25319999999999998</v>
      </c>
      <c r="CD425" s="59">
        <v>0.61240000000000006</v>
      </c>
      <c r="CE425" s="59">
        <v>0.13439999999999999</v>
      </c>
      <c r="CF425" s="59">
        <v>0</v>
      </c>
      <c r="CG425" s="59">
        <v>0</v>
      </c>
      <c r="CH425" s="49">
        <v>9.8000000000000007</v>
      </c>
      <c r="CI425" s="39" t="s">
        <v>207</v>
      </c>
      <c r="CJ425" s="18" t="s">
        <v>479</v>
      </c>
      <c r="CK425" s="20"/>
    </row>
    <row r="426" spans="1:89" x14ac:dyDescent="0.25">
      <c r="A426" s="18" t="s">
        <v>479</v>
      </c>
      <c r="B426" s="39" t="s">
        <v>205</v>
      </c>
      <c r="C426" s="39" t="s">
        <v>208</v>
      </c>
      <c r="D426" s="40">
        <v>3</v>
      </c>
      <c r="E426" s="40">
        <v>1</v>
      </c>
      <c r="F426" s="40">
        <v>2</v>
      </c>
      <c r="G426" s="163">
        <v>0</v>
      </c>
      <c r="H426" s="163">
        <v>1</v>
      </c>
      <c r="I426" s="163">
        <v>0</v>
      </c>
      <c r="J426" s="163">
        <v>1</v>
      </c>
      <c r="K426" s="163">
        <v>1</v>
      </c>
      <c r="L426" s="163">
        <v>0</v>
      </c>
      <c r="M426" s="163">
        <v>0</v>
      </c>
      <c r="N426" s="115">
        <v>5.6497175141242903E-3</v>
      </c>
      <c r="O426" s="115">
        <v>5.8479532163742704E-3</v>
      </c>
      <c r="P426" s="115">
        <v>0</v>
      </c>
      <c r="Q426" s="115">
        <v>1.0416666666666701E-2</v>
      </c>
      <c r="R426" s="115">
        <v>0</v>
      </c>
      <c r="S426" s="115">
        <v>9.3457943925233603E-3</v>
      </c>
      <c r="T426" s="115">
        <v>9.8039215686274508E-3</v>
      </c>
      <c r="U426" s="115">
        <v>0</v>
      </c>
      <c r="V426" s="115">
        <v>0</v>
      </c>
      <c r="W426" s="40">
        <v>497</v>
      </c>
      <c r="X426" s="40">
        <f t="shared" si="32"/>
        <v>321</v>
      </c>
      <c r="Y426" s="40">
        <f t="shared" si="33"/>
        <v>497</v>
      </c>
      <c r="Z426" s="105">
        <v>0.48289738430583501</v>
      </c>
      <c r="AA426" s="105">
        <v>0.51710261569416505</v>
      </c>
      <c r="AB426" s="106">
        <v>0</v>
      </c>
      <c r="AC426" s="106">
        <f>1/497</f>
        <v>2.012072434607646E-3</v>
      </c>
      <c r="AD426" s="106">
        <f>114/497</f>
        <v>0.22937625754527163</v>
      </c>
      <c r="AE426" s="106">
        <f>6/497</f>
        <v>1.2072434607645875E-2</v>
      </c>
      <c r="AF426" s="106">
        <v>0</v>
      </c>
      <c r="AG426" s="106">
        <f>371/497</f>
        <v>0.74647887323943662</v>
      </c>
      <c r="AH426" s="106">
        <f>5/497</f>
        <v>1.0060362173038229E-2</v>
      </c>
      <c r="AI426" s="106">
        <f>126/497</f>
        <v>0.25352112676056338</v>
      </c>
      <c r="AJ426" s="105">
        <v>0.49295774647887325</v>
      </c>
      <c r="AK426" s="105">
        <v>2.0120724346076499E-3</v>
      </c>
      <c r="AL426" s="12">
        <v>84</v>
      </c>
      <c r="AM426" s="12">
        <v>92</v>
      </c>
      <c r="AN426" s="12">
        <v>1</v>
      </c>
      <c r="AO426" s="12">
        <v>95</v>
      </c>
      <c r="AP426" s="12">
        <v>95</v>
      </c>
      <c r="AQ426" s="12">
        <v>59</v>
      </c>
      <c r="AR426" s="12">
        <v>71</v>
      </c>
      <c r="AS426" s="59">
        <v>1.0416666666666666E-2</v>
      </c>
      <c r="AT426" s="3">
        <v>7</v>
      </c>
      <c r="AU426" s="3">
        <v>6</v>
      </c>
      <c r="AV426" s="52">
        <v>74.5</v>
      </c>
      <c r="AW426" s="52">
        <v>16.2</v>
      </c>
      <c r="AX426" s="52">
        <v>9</v>
      </c>
      <c r="AY426" s="71">
        <v>0.3</v>
      </c>
      <c r="AZ426" s="59">
        <v>0.16792452830188678</v>
      </c>
      <c r="BA426" s="59">
        <v>0</v>
      </c>
      <c r="BB426" s="78">
        <v>95.437282049511396</v>
      </c>
      <c r="BC426" s="49">
        <v>17.358490566037698</v>
      </c>
      <c r="BD426" s="49">
        <v>5.9</v>
      </c>
      <c r="BE426" s="49">
        <v>3.8</v>
      </c>
      <c r="BF426" s="49">
        <v>3.3</v>
      </c>
      <c r="BG426" s="49">
        <v>1.1000000000000001</v>
      </c>
      <c r="BH426" s="49">
        <v>0</v>
      </c>
      <c r="BI426" s="49">
        <v>0</v>
      </c>
      <c r="BJ426" s="49">
        <v>20.100000000000001</v>
      </c>
      <c r="BK426" s="126">
        <v>10852</v>
      </c>
      <c r="BL426" s="126">
        <v>52097</v>
      </c>
      <c r="BM426" s="126">
        <v>43918</v>
      </c>
      <c r="BN426" s="126">
        <v>45102</v>
      </c>
      <c r="BO426" s="59">
        <v>0</v>
      </c>
      <c r="BP426" s="59">
        <v>0.56610000000000005</v>
      </c>
      <c r="BQ426" s="59">
        <v>5.4600000000000003E-2</v>
      </c>
      <c r="BR426" s="59">
        <v>1.77E-2</v>
      </c>
      <c r="BS426" s="59">
        <v>0</v>
      </c>
      <c r="BT426" s="49">
        <v>14.7</v>
      </c>
      <c r="BU426" s="59">
        <f t="shared" si="30"/>
        <v>0.63840000000000008</v>
      </c>
      <c r="BV426" s="59">
        <v>3.5400000000000001E-2</v>
      </c>
      <c r="BW426" s="59">
        <v>0</v>
      </c>
      <c r="BX426" s="59">
        <v>3.5400000000000001E-2</v>
      </c>
      <c r="BY426" s="59">
        <v>0</v>
      </c>
      <c r="BZ426" s="59">
        <v>0</v>
      </c>
      <c r="CA426" s="49">
        <v>13.5</v>
      </c>
      <c r="CB426" s="59">
        <f t="shared" si="31"/>
        <v>7.0800000000000002E-2</v>
      </c>
      <c r="CC426" s="59">
        <v>0.2364</v>
      </c>
      <c r="CD426" s="59">
        <v>0.60109999999999997</v>
      </c>
      <c r="CE426" s="59">
        <v>0.14480000000000001</v>
      </c>
      <c r="CF426" s="59">
        <v>1.77E-2</v>
      </c>
      <c r="CG426" s="59">
        <v>0</v>
      </c>
      <c r="CH426" s="49">
        <v>14</v>
      </c>
      <c r="CI426" s="39" t="s">
        <v>208</v>
      </c>
      <c r="CJ426" s="18" t="s">
        <v>479</v>
      </c>
      <c r="CK426" s="20"/>
    </row>
    <row r="427" spans="1:89" x14ac:dyDescent="0.25">
      <c r="A427" s="18" t="s">
        <v>479</v>
      </c>
      <c r="B427" s="39" t="s">
        <v>205</v>
      </c>
      <c r="C427" s="39" t="s">
        <v>209</v>
      </c>
      <c r="D427" s="40">
        <v>53</v>
      </c>
      <c r="E427" s="40" t="s">
        <v>83</v>
      </c>
      <c r="F427" s="40">
        <v>53</v>
      </c>
      <c r="G427" s="162" t="s">
        <v>83</v>
      </c>
      <c r="H427" s="162" t="s">
        <v>83</v>
      </c>
      <c r="I427" s="163">
        <v>1</v>
      </c>
      <c r="J427" s="163">
        <v>14</v>
      </c>
      <c r="K427" s="163">
        <v>16</v>
      </c>
      <c r="L427" s="163">
        <v>10</v>
      </c>
      <c r="M427" s="163">
        <v>12</v>
      </c>
      <c r="N427" s="115">
        <v>4.0989945862335703E-2</v>
      </c>
      <c r="O427" s="115">
        <v>4.0989945862335703E-2</v>
      </c>
      <c r="P427" s="116" t="s">
        <v>83</v>
      </c>
      <c r="Q427" s="116" t="s">
        <v>83</v>
      </c>
      <c r="R427" s="115">
        <v>6.25E-2</v>
      </c>
      <c r="S427" s="115">
        <v>3.09734513274336E-2</v>
      </c>
      <c r="T427" s="115">
        <v>4.57142857142857E-2</v>
      </c>
      <c r="U427" s="115">
        <v>4.52488687782805E-2</v>
      </c>
      <c r="V427" s="115">
        <v>4.7244094488188997E-2</v>
      </c>
      <c r="W427" s="40">
        <v>1155</v>
      </c>
      <c r="X427" s="40">
        <f t="shared" si="32"/>
        <v>1155</v>
      </c>
      <c r="Y427" s="40">
        <f t="shared" si="33"/>
        <v>1155</v>
      </c>
      <c r="Z427" s="105">
        <v>0.493506493506494</v>
      </c>
      <c r="AA427" s="105">
        <v>0.506493506493506</v>
      </c>
      <c r="AB427" s="106">
        <v>0</v>
      </c>
      <c r="AC427" s="106">
        <f>85/1155</f>
        <v>7.3593073593073599E-2</v>
      </c>
      <c r="AD427" s="106">
        <f>607/1155</f>
        <v>0.52554112554112553</v>
      </c>
      <c r="AE427" s="106">
        <f>26/1155</f>
        <v>2.2510822510822513E-2</v>
      </c>
      <c r="AF427" s="106">
        <v>0</v>
      </c>
      <c r="AG427" s="106">
        <f>427/1155</f>
        <v>0.36969696969696969</v>
      </c>
      <c r="AH427" s="106">
        <f>10/1155</f>
        <v>8.658008658008658E-3</v>
      </c>
      <c r="AI427" s="106">
        <f>728/1155</f>
        <v>0.63030303030303025</v>
      </c>
      <c r="AJ427" s="105">
        <v>0.75757575757575757</v>
      </c>
      <c r="AK427" s="105">
        <v>1.47186147186147E-2</v>
      </c>
      <c r="AL427" s="12">
        <v>0</v>
      </c>
      <c r="AM427" s="12">
        <v>0</v>
      </c>
      <c r="AN427" s="12">
        <v>4</v>
      </c>
      <c r="AO427" s="12">
        <v>405</v>
      </c>
      <c r="AP427" s="12">
        <v>309</v>
      </c>
      <c r="AQ427" s="12">
        <v>213</v>
      </c>
      <c r="AR427" s="12">
        <v>224</v>
      </c>
      <c r="AS427" s="59">
        <v>9.7799511002444987E-3</v>
      </c>
      <c r="AT427" s="3">
        <v>9</v>
      </c>
      <c r="AU427" s="3">
        <v>6</v>
      </c>
      <c r="AV427" s="52">
        <v>61</v>
      </c>
      <c r="AW427" s="52">
        <v>21</v>
      </c>
      <c r="AX427" s="52">
        <v>17.399999999999999</v>
      </c>
      <c r="AY427" s="71">
        <v>0.7</v>
      </c>
      <c r="AZ427" s="59">
        <v>0.30479183032207385</v>
      </c>
      <c r="BA427" s="59">
        <v>5.0274941084053421E-2</v>
      </c>
      <c r="BB427" s="77">
        <v>90.199815199815205</v>
      </c>
      <c r="BC427" s="49">
        <v>38.496932515337399</v>
      </c>
      <c r="BD427" s="90" t="s">
        <v>83</v>
      </c>
      <c r="BE427" s="90" t="s">
        <v>83</v>
      </c>
      <c r="BF427" s="49">
        <v>20.2</v>
      </c>
      <c r="BG427" s="49">
        <v>8</v>
      </c>
      <c r="BH427" s="49">
        <v>3.8</v>
      </c>
      <c r="BI427" s="49">
        <v>3.9</v>
      </c>
      <c r="BJ427" s="49">
        <v>18.399999999999999</v>
      </c>
      <c r="BK427" s="126">
        <v>10137</v>
      </c>
      <c r="BL427" s="126">
        <v>47467</v>
      </c>
      <c r="BM427" s="126">
        <v>46928</v>
      </c>
      <c r="BN427" s="126">
        <v>42198</v>
      </c>
      <c r="BO427" s="59">
        <v>0</v>
      </c>
      <c r="BP427" s="59">
        <v>0.57509999999999994</v>
      </c>
      <c r="BQ427" s="59">
        <v>7.9799999999999996E-2</v>
      </c>
      <c r="BR427" s="59">
        <v>6.7999999999999996E-3</v>
      </c>
      <c r="BS427" s="59">
        <v>0</v>
      </c>
      <c r="BT427" s="49">
        <v>11</v>
      </c>
      <c r="BU427" s="59">
        <f t="shared" si="30"/>
        <v>0.66169999999999995</v>
      </c>
      <c r="BV427" s="59">
        <v>3.2899999999999999E-2</v>
      </c>
      <c r="BW427" s="59">
        <v>0</v>
      </c>
      <c r="BX427" s="59">
        <v>4.1099999999999998E-2</v>
      </c>
      <c r="BY427" s="59">
        <v>0</v>
      </c>
      <c r="BZ427" s="59">
        <v>0</v>
      </c>
      <c r="CA427" s="49">
        <v>16.899999999999999</v>
      </c>
      <c r="CB427" s="59">
        <f t="shared" si="31"/>
        <v>7.3999999999999996E-2</v>
      </c>
      <c r="CC427" s="59">
        <v>0.22189999999999999</v>
      </c>
      <c r="CD427" s="59">
        <v>0.6129</v>
      </c>
      <c r="CE427" s="59">
        <v>0.15840000000000001</v>
      </c>
      <c r="CF427" s="59">
        <v>6.7999999999999996E-3</v>
      </c>
      <c r="CG427" s="59">
        <v>0</v>
      </c>
      <c r="CH427" s="49">
        <v>11.1</v>
      </c>
      <c r="CI427" s="39" t="s">
        <v>209</v>
      </c>
      <c r="CJ427" s="18" t="s">
        <v>479</v>
      </c>
      <c r="CK427" s="20"/>
    </row>
    <row r="428" spans="1:89" x14ac:dyDescent="0.25">
      <c r="A428" s="18" t="s">
        <v>479</v>
      </c>
      <c r="B428" s="39" t="s">
        <v>205</v>
      </c>
      <c r="C428" s="39" t="s">
        <v>210</v>
      </c>
      <c r="D428" s="40">
        <v>67</v>
      </c>
      <c r="E428" s="40" t="s">
        <v>83</v>
      </c>
      <c r="F428" s="40">
        <v>67</v>
      </c>
      <c r="G428" s="162" t="s">
        <v>83</v>
      </c>
      <c r="H428" s="162" t="s">
        <v>83</v>
      </c>
      <c r="I428" s="163">
        <v>0</v>
      </c>
      <c r="J428" s="163">
        <v>20</v>
      </c>
      <c r="K428" s="163">
        <v>20</v>
      </c>
      <c r="L428" s="163">
        <v>13</v>
      </c>
      <c r="M428" s="163">
        <v>14</v>
      </c>
      <c r="N428" s="115">
        <v>3.3466533466533499E-2</v>
      </c>
      <c r="O428" s="115">
        <v>3.3466533466533499E-2</v>
      </c>
      <c r="P428" s="116" t="s">
        <v>83</v>
      </c>
      <c r="Q428" s="116" t="s">
        <v>83</v>
      </c>
      <c r="R428" s="115">
        <v>0</v>
      </c>
      <c r="S428" s="115">
        <v>3.3726812816188903E-2</v>
      </c>
      <c r="T428" s="115">
        <v>3.8834951456310697E-2</v>
      </c>
      <c r="U428" s="115">
        <v>2.9147982062780301E-2</v>
      </c>
      <c r="V428" s="115">
        <v>3.20366132723112E-2</v>
      </c>
      <c r="W428" s="40">
        <v>1820</v>
      </c>
      <c r="X428" s="40">
        <f t="shared" si="32"/>
        <v>1820</v>
      </c>
      <c r="Y428" s="40">
        <f t="shared" si="33"/>
        <v>1820</v>
      </c>
      <c r="Z428" s="105">
        <v>0.48021978021978001</v>
      </c>
      <c r="AA428" s="105">
        <v>0.51978021978022004</v>
      </c>
      <c r="AB428" s="106">
        <f>5/1820</f>
        <v>2.7472527472527475E-3</v>
      </c>
      <c r="AC428" s="106">
        <f>49/1820</f>
        <v>2.6923076923076925E-2</v>
      </c>
      <c r="AD428" s="106">
        <f>709/1820</f>
        <v>0.38956043956043956</v>
      </c>
      <c r="AE428" s="106">
        <f>89/1820</f>
        <v>4.8901098901098901E-2</v>
      </c>
      <c r="AF428" s="106">
        <v>0</v>
      </c>
      <c r="AG428" s="106">
        <f>959/1820</f>
        <v>0.52692307692307694</v>
      </c>
      <c r="AH428" s="106">
        <f>9/1820</f>
        <v>4.9450549450549448E-3</v>
      </c>
      <c r="AI428" s="106">
        <f>861/1820</f>
        <v>0.47307692307692306</v>
      </c>
      <c r="AJ428" s="105">
        <v>0.63461538461538458</v>
      </c>
      <c r="AK428" s="105">
        <v>1.7032967032967E-2</v>
      </c>
      <c r="AL428" s="12">
        <v>0</v>
      </c>
      <c r="AM428" s="12">
        <v>0</v>
      </c>
      <c r="AN428" s="12">
        <v>9</v>
      </c>
      <c r="AO428" s="12">
        <v>535</v>
      </c>
      <c r="AP428" s="12">
        <v>472</v>
      </c>
      <c r="AQ428" s="12">
        <v>444</v>
      </c>
      <c r="AR428" s="12">
        <v>360</v>
      </c>
      <c r="AS428" s="59">
        <v>1.6544117647058824E-2</v>
      </c>
      <c r="AT428" s="3">
        <v>9</v>
      </c>
      <c r="AU428" s="3">
        <v>6</v>
      </c>
      <c r="AV428" s="52">
        <v>52</v>
      </c>
      <c r="AW428" s="52">
        <v>25.4</v>
      </c>
      <c r="AX428" s="52">
        <v>21.3</v>
      </c>
      <c r="AY428" s="71">
        <v>1.3</v>
      </c>
      <c r="AZ428" s="59">
        <v>0.23392405063291138</v>
      </c>
      <c r="BA428" s="59">
        <v>2.7341772151898733E-2</v>
      </c>
      <c r="BB428" s="78">
        <v>91.845421468324901</v>
      </c>
      <c r="BC428" s="49">
        <v>32.317682317682298</v>
      </c>
      <c r="BD428" s="90" t="s">
        <v>83</v>
      </c>
      <c r="BE428" s="90" t="s">
        <v>83</v>
      </c>
      <c r="BF428" s="49">
        <v>14.1</v>
      </c>
      <c r="BG428" s="49">
        <v>8.5</v>
      </c>
      <c r="BH428" s="49">
        <v>4.5999999999999996</v>
      </c>
      <c r="BI428" s="49">
        <v>10.6</v>
      </c>
      <c r="BJ428" s="49">
        <v>19</v>
      </c>
      <c r="BK428" s="126">
        <v>8838</v>
      </c>
      <c r="BL428" s="126">
        <v>48510</v>
      </c>
      <c r="BM428" s="126">
        <v>42662</v>
      </c>
      <c r="BN428" s="126">
        <v>41822</v>
      </c>
      <c r="BO428" s="59">
        <v>6.1999999999999998E-3</v>
      </c>
      <c r="BP428" s="59">
        <v>0.51739999999999997</v>
      </c>
      <c r="BQ428" s="59">
        <v>0.1158</v>
      </c>
      <c r="BR428" s="59">
        <v>0</v>
      </c>
      <c r="BS428" s="59">
        <v>0</v>
      </c>
      <c r="BT428" s="49">
        <v>11.4</v>
      </c>
      <c r="BU428" s="59">
        <f t="shared" si="30"/>
        <v>0.63939999999999997</v>
      </c>
      <c r="BV428" s="59">
        <v>3.6999999999999998E-2</v>
      </c>
      <c r="BW428" s="59">
        <v>0</v>
      </c>
      <c r="BX428" s="59">
        <v>2.47E-2</v>
      </c>
      <c r="BY428" s="59">
        <v>6.1999999999999998E-3</v>
      </c>
      <c r="BZ428" s="59">
        <v>0</v>
      </c>
      <c r="CA428" s="49">
        <v>14.7</v>
      </c>
      <c r="CB428" s="59">
        <f t="shared" si="31"/>
        <v>6.7900000000000002E-2</v>
      </c>
      <c r="CC428" s="59">
        <v>0.27150000000000002</v>
      </c>
      <c r="CD428" s="59">
        <v>0.54710000000000003</v>
      </c>
      <c r="CE428" s="59">
        <v>0.17519999999999999</v>
      </c>
      <c r="CF428" s="59">
        <v>6.1999999999999998E-3</v>
      </c>
      <c r="CG428" s="59">
        <v>0</v>
      </c>
      <c r="CH428" s="49">
        <v>11.9</v>
      </c>
      <c r="CI428" s="39" t="s">
        <v>210</v>
      </c>
      <c r="CJ428" s="18" t="s">
        <v>479</v>
      </c>
      <c r="CK428" s="20"/>
    </row>
    <row r="429" spans="1:89" x14ac:dyDescent="0.25">
      <c r="A429" s="18" t="s">
        <v>479</v>
      </c>
      <c r="B429" s="39" t="s">
        <v>211</v>
      </c>
      <c r="C429" s="39" t="s">
        <v>212</v>
      </c>
      <c r="D429" s="40">
        <v>36</v>
      </c>
      <c r="E429" s="40">
        <v>12</v>
      </c>
      <c r="F429" s="40">
        <v>24</v>
      </c>
      <c r="G429" s="163">
        <v>2</v>
      </c>
      <c r="H429" s="163">
        <v>10</v>
      </c>
      <c r="I429" s="163">
        <v>0</v>
      </c>
      <c r="J429" s="163">
        <v>5</v>
      </c>
      <c r="K429" s="163">
        <v>8</v>
      </c>
      <c r="L429" s="163">
        <v>3</v>
      </c>
      <c r="M429" s="163">
        <v>8</v>
      </c>
      <c r="N429" s="115">
        <v>2.41773002014775E-2</v>
      </c>
      <c r="O429" s="115">
        <v>2.5586353944562899E-2</v>
      </c>
      <c r="P429" s="115">
        <v>7.8125E-3</v>
      </c>
      <c r="Q429" s="115">
        <v>3.3898305084745797E-2</v>
      </c>
      <c r="R429" s="115">
        <v>0</v>
      </c>
      <c r="S429" s="115">
        <v>1.5923566878980899E-2</v>
      </c>
      <c r="T429" s="115">
        <v>3.98009950248756E-2</v>
      </c>
      <c r="U429" s="115">
        <v>1.58730158730159E-2</v>
      </c>
      <c r="V429" s="115">
        <v>4.3010752688171998E-2</v>
      </c>
      <c r="W429" s="40">
        <v>1380</v>
      </c>
      <c r="X429" s="40">
        <f t="shared" si="32"/>
        <v>881</v>
      </c>
      <c r="Y429" s="40">
        <f t="shared" si="33"/>
        <v>1380</v>
      </c>
      <c r="Z429" s="105">
        <v>0.479710144927536</v>
      </c>
      <c r="AA429" s="105">
        <v>0.52028985507246395</v>
      </c>
      <c r="AB429" s="106">
        <f>1/1380</f>
        <v>7.246376811594203E-4</v>
      </c>
      <c r="AC429" s="106">
        <f>6/1380</f>
        <v>4.3478260869565218E-3</v>
      </c>
      <c r="AD429" s="106">
        <f>833/1380</f>
        <v>0.6036231884057971</v>
      </c>
      <c r="AE429" s="106">
        <f>18/1380</f>
        <v>1.3043478260869565E-2</v>
      </c>
      <c r="AF429" s="106">
        <v>0</v>
      </c>
      <c r="AG429" s="106">
        <f>520/1380</f>
        <v>0.37681159420289856</v>
      </c>
      <c r="AH429" s="106">
        <f>2/1380</f>
        <v>1.4492753623188406E-3</v>
      </c>
      <c r="AI429" s="106">
        <f>860/1380</f>
        <v>0.62318840579710144</v>
      </c>
      <c r="AJ429" s="105">
        <v>0.73478260869565215</v>
      </c>
      <c r="AK429" s="105">
        <v>4.3478260869565201E-3</v>
      </c>
      <c r="AL429" s="12">
        <v>223</v>
      </c>
      <c r="AM429" s="12">
        <v>276</v>
      </c>
      <c r="AN429" s="12">
        <v>45</v>
      </c>
      <c r="AO429" s="12">
        <v>295</v>
      </c>
      <c r="AP429" s="12">
        <v>184</v>
      </c>
      <c r="AQ429" s="12">
        <v>190</v>
      </c>
      <c r="AR429" s="12">
        <v>167</v>
      </c>
      <c r="AS429" s="59">
        <v>0.13235294117647059</v>
      </c>
      <c r="AT429" s="3">
        <v>7</v>
      </c>
      <c r="AU429" s="3">
        <v>6</v>
      </c>
      <c r="AV429" s="52">
        <v>79</v>
      </c>
      <c r="AW429" s="52">
        <v>16.399999999999999</v>
      </c>
      <c r="AX429" s="52">
        <v>4.2</v>
      </c>
      <c r="AY429" s="71">
        <v>0.4</v>
      </c>
      <c r="AZ429" s="59">
        <v>0.25271739130434784</v>
      </c>
      <c r="BA429" s="59">
        <v>0.25611413043478259</v>
      </c>
      <c r="BB429" s="77">
        <v>93.266570008285001</v>
      </c>
      <c r="BC429" s="49">
        <v>26.501305483028698</v>
      </c>
      <c r="BD429" s="49">
        <v>2.5</v>
      </c>
      <c r="BE429" s="49">
        <v>14.1</v>
      </c>
      <c r="BF429" s="49">
        <v>5.5</v>
      </c>
      <c r="BG429" s="49">
        <v>1.6</v>
      </c>
      <c r="BH429" s="49">
        <v>2.2999999999999998</v>
      </c>
      <c r="BI429" s="49">
        <v>0.6</v>
      </c>
      <c r="BJ429" s="49">
        <v>18.7</v>
      </c>
      <c r="BK429" s="126">
        <v>14284</v>
      </c>
      <c r="BL429" s="126">
        <v>50785</v>
      </c>
      <c r="BM429" s="126">
        <v>52786</v>
      </c>
      <c r="BN429" s="126">
        <v>44148</v>
      </c>
      <c r="BO429" s="59">
        <v>3.1399999999999997E-2</v>
      </c>
      <c r="BP429" s="59">
        <v>0.4047</v>
      </c>
      <c r="BQ429" s="59">
        <v>0.18970000000000001</v>
      </c>
      <c r="BR429" s="59">
        <v>5.4999999999999997E-3</v>
      </c>
      <c r="BS429" s="59">
        <v>1.8200000000000001E-2</v>
      </c>
      <c r="BT429" s="49">
        <v>10.5</v>
      </c>
      <c r="BU429" s="59">
        <f t="shared" si="30"/>
        <v>0.64949999999999997</v>
      </c>
      <c r="BV429" s="59">
        <v>2.6800000000000001E-2</v>
      </c>
      <c r="BW429" s="59">
        <v>1.8800000000000001E-2</v>
      </c>
      <c r="BX429" s="59">
        <v>2.6200000000000001E-2</v>
      </c>
      <c r="BY429" s="59">
        <v>6.3E-3</v>
      </c>
      <c r="BZ429" s="59">
        <v>0</v>
      </c>
      <c r="CA429" s="49">
        <v>14</v>
      </c>
      <c r="CB429" s="59">
        <f t="shared" si="31"/>
        <v>7.8100000000000003E-2</v>
      </c>
      <c r="CC429" s="59">
        <v>0.26989999999999997</v>
      </c>
      <c r="CD429" s="59">
        <v>0.45950000000000002</v>
      </c>
      <c r="CE429" s="59">
        <v>0.24060000000000001</v>
      </c>
      <c r="CF429" s="59">
        <v>1.18E-2</v>
      </c>
      <c r="CG429" s="59">
        <v>1.8200000000000001E-2</v>
      </c>
      <c r="CH429" s="49">
        <v>10.5</v>
      </c>
      <c r="CI429" s="39" t="s">
        <v>212</v>
      </c>
      <c r="CJ429" s="18" t="s">
        <v>479</v>
      </c>
      <c r="CK429" s="20"/>
    </row>
    <row r="430" spans="1:89" x14ac:dyDescent="0.25">
      <c r="A430" s="18" t="s">
        <v>479</v>
      </c>
      <c r="B430" s="39" t="s">
        <v>211</v>
      </c>
      <c r="C430" s="39" t="s">
        <v>213</v>
      </c>
      <c r="D430" s="40">
        <v>8</v>
      </c>
      <c r="E430" s="40">
        <v>7</v>
      </c>
      <c r="F430" s="40">
        <v>1</v>
      </c>
      <c r="G430" s="163">
        <v>0</v>
      </c>
      <c r="H430" s="163">
        <v>7</v>
      </c>
      <c r="I430" s="163">
        <v>0</v>
      </c>
      <c r="J430" s="163">
        <v>0</v>
      </c>
      <c r="K430" s="163">
        <v>1</v>
      </c>
      <c r="L430" s="163">
        <v>0</v>
      </c>
      <c r="M430" s="163">
        <v>0</v>
      </c>
      <c r="N430" s="115">
        <v>2.3121387283237E-2</v>
      </c>
      <c r="O430" s="115">
        <v>4.5662100456621002E-3</v>
      </c>
      <c r="P430" s="115">
        <v>0</v>
      </c>
      <c r="Q430" s="115">
        <v>9.2105263157894704E-2</v>
      </c>
      <c r="R430" s="115">
        <v>0</v>
      </c>
      <c r="S430" s="115">
        <v>0</v>
      </c>
      <c r="T430" s="115">
        <v>1.6666666666666701E-2</v>
      </c>
      <c r="U430" s="115">
        <v>0</v>
      </c>
      <c r="V430" s="115">
        <v>0</v>
      </c>
      <c r="W430" s="40">
        <v>323</v>
      </c>
      <c r="X430" s="40">
        <f t="shared" si="32"/>
        <v>207</v>
      </c>
      <c r="Y430" s="40">
        <f t="shared" si="33"/>
        <v>323</v>
      </c>
      <c r="Z430" s="105">
        <v>0.53560371517027905</v>
      </c>
      <c r="AA430" s="105">
        <v>0.46439628482972101</v>
      </c>
      <c r="AB430" s="106">
        <v>0</v>
      </c>
      <c r="AC430" s="106">
        <v>0</v>
      </c>
      <c r="AD430" s="106">
        <f>268/323</f>
        <v>0.8297213622291022</v>
      </c>
      <c r="AE430" s="106">
        <f>4/323</f>
        <v>1.238390092879257E-2</v>
      </c>
      <c r="AF430" s="106">
        <v>0</v>
      </c>
      <c r="AG430" s="106">
        <f>51/323</f>
        <v>0.15789473684210525</v>
      </c>
      <c r="AH430" s="106">
        <v>0</v>
      </c>
      <c r="AI430" s="106">
        <f>272/323</f>
        <v>0.84210526315789469</v>
      </c>
      <c r="AJ430" s="105">
        <v>0.81114551083591335</v>
      </c>
      <c r="AK430" s="105">
        <v>6.1919504643962904E-3</v>
      </c>
      <c r="AL430" s="12">
        <v>48</v>
      </c>
      <c r="AM430" s="12">
        <v>68</v>
      </c>
      <c r="AN430" s="12">
        <v>10</v>
      </c>
      <c r="AO430" s="12">
        <v>59</v>
      </c>
      <c r="AP430" s="12">
        <v>52</v>
      </c>
      <c r="AQ430" s="12">
        <v>42</v>
      </c>
      <c r="AR430" s="12">
        <v>44</v>
      </c>
      <c r="AS430" s="59">
        <v>0.14492753623188406</v>
      </c>
      <c r="AT430" s="3">
        <v>7</v>
      </c>
      <c r="AU430" s="3">
        <v>6</v>
      </c>
      <c r="AV430" s="52">
        <v>96.3</v>
      </c>
      <c r="AW430" s="52">
        <v>3.7</v>
      </c>
      <c r="AX430" s="53">
        <v>0</v>
      </c>
      <c r="AY430" s="70">
        <v>0</v>
      </c>
      <c r="AZ430" s="59">
        <v>0.32258064516129031</v>
      </c>
      <c r="BA430" s="59">
        <v>0.19648093841642228</v>
      </c>
      <c r="BB430" s="78">
        <v>93.543973130986402</v>
      </c>
      <c r="BC430" s="49">
        <v>35.142857142857103</v>
      </c>
      <c r="BD430" s="49">
        <v>2</v>
      </c>
      <c r="BE430" s="49">
        <v>10.5</v>
      </c>
      <c r="BF430" s="49">
        <v>0</v>
      </c>
      <c r="BG430" s="49">
        <v>0</v>
      </c>
      <c r="BH430" s="49">
        <v>0</v>
      </c>
      <c r="BI430" s="49">
        <v>0</v>
      </c>
      <c r="BJ430" s="49">
        <v>18.3</v>
      </c>
      <c r="BK430" s="126">
        <v>16578</v>
      </c>
      <c r="BL430" s="126">
        <v>50138</v>
      </c>
      <c r="BM430" s="126">
        <v>50212</v>
      </c>
      <c r="BN430" s="126">
        <v>43717</v>
      </c>
      <c r="BO430" s="59">
        <v>0</v>
      </c>
      <c r="BP430" s="59">
        <v>0.41689999999999999</v>
      </c>
      <c r="BQ430" s="59">
        <v>0.16669999999999999</v>
      </c>
      <c r="BR430" s="59">
        <v>0</v>
      </c>
      <c r="BS430" s="59">
        <v>4.24E-2</v>
      </c>
      <c r="BT430" s="49">
        <v>8.6</v>
      </c>
      <c r="BU430" s="59">
        <f t="shared" si="30"/>
        <v>0.626</v>
      </c>
      <c r="BV430" s="59">
        <v>4.24E-2</v>
      </c>
      <c r="BW430" s="59">
        <v>0</v>
      </c>
      <c r="BX430" s="59">
        <v>4.24E-2</v>
      </c>
      <c r="BY430" s="59">
        <v>0</v>
      </c>
      <c r="BZ430" s="59">
        <v>0</v>
      </c>
      <c r="CA430" s="49">
        <v>18.3</v>
      </c>
      <c r="CB430" s="59">
        <f t="shared" si="31"/>
        <v>8.48E-2</v>
      </c>
      <c r="CC430" s="59">
        <v>0.2472</v>
      </c>
      <c r="CD430" s="59">
        <v>0.43780000000000002</v>
      </c>
      <c r="CE430" s="59">
        <v>0.27260000000000001</v>
      </c>
      <c r="CF430" s="59">
        <v>0</v>
      </c>
      <c r="CG430" s="59">
        <v>4.24E-2</v>
      </c>
      <c r="CH430" s="49">
        <v>9.5</v>
      </c>
      <c r="CI430" s="39" t="s">
        <v>213</v>
      </c>
      <c r="CJ430" s="18" t="s">
        <v>479</v>
      </c>
      <c r="CK430" s="20"/>
    </row>
    <row r="431" spans="1:89" x14ac:dyDescent="0.25">
      <c r="A431" s="18" t="s">
        <v>479</v>
      </c>
      <c r="B431" s="39" t="s">
        <v>211</v>
      </c>
      <c r="C431" s="39" t="s">
        <v>214</v>
      </c>
      <c r="D431" s="40">
        <v>8</v>
      </c>
      <c r="E431" s="40">
        <v>4</v>
      </c>
      <c r="F431" s="40">
        <v>4</v>
      </c>
      <c r="G431" s="163">
        <v>0</v>
      </c>
      <c r="H431" s="163">
        <v>4</v>
      </c>
      <c r="I431" s="163">
        <v>0</v>
      </c>
      <c r="J431" s="163">
        <v>0</v>
      </c>
      <c r="K431" s="163">
        <v>1</v>
      </c>
      <c r="L431" s="163">
        <v>3</v>
      </c>
      <c r="M431" s="163">
        <v>0</v>
      </c>
      <c r="N431" s="115">
        <v>2.5000000000000001E-2</v>
      </c>
      <c r="O431" s="115">
        <v>2.02020202020202E-2</v>
      </c>
      <c r="P431" s="115">
        <v>0</v>
      </c>
      <c r="Q431" s="115">
        <v>6.25E-2</v>
      </c>
      <c r="R431" s="115">
        <v>0</v>
      </c>
      <c r="S431" s="115">
        <v>0</v>
      </c>
      <c r="T431" s="115">
        <v>0.02</v>
      </c>
      <c r="U431" s="115">
        <v>5.6603773584905703E-2</v>
      </c>
      <c r="V431" s="115">
        <v>0</v>
      </c>
      <c r="W431" s="40">
        <v>720</v>
      </c>
      <c r="X431" s="40">
        <f t="shared" si="32"/>
        <v>178</v>
      </c>
      <c r="Y431" s="40">
        <f t="shared" si="33"/>
        <v>282</v>
      </c>
      <c r="Z431" s="105">
        <v>0.51527777777777795</v>
      </c>
      <c r="AA431" s="105">
        <v>0.484722222222222</v>
      </c>
      <c r="AB431" s="106">
        <v>0</v>
      </c>
      <c r="AC431" s="106">
        <f>19/720</f>
        <v>2.6388888888888889E-2</v>
      </c>
      <c r="AD431" s="106">
        <f>533/720</f>
        <v>0.74027777777777781</v>
      </c>
      <c r="AE431" s="106">
        <f>21/720</f>
        <v>2.9166666666666667E-2</v>
      </c>
      <c r="AF431" s="106">
        <v>0</v>
      </c>
      <c r="AG431" s="106">
        <f>134/720</f>
        <v>0.18611111111111112</v>
      </c>
      <c r="AH431" s="106">
        <f>13/720</f>
        <v>1.8055555555555554E-2</v>
      </c>
      <c r="AI431" s="106">
        <f>586/720</f>
        <v>0.81388888888888888</v>
      </c>
      <c r="AJ431" s="105">
        <v>0.75</v>
      </c>
      <c r="AK431" s="105">
        <v>1.38888888888889E-2</v>
      </c>
      <c r="AL431" s="12">
        <v>50</v>
      </c>
      <c r="AM431" s="12">
        <v>54</v>
      </c>
      <c r="AN431" s="12">
        <v>5</v>
      </c>
      <c r="AO431" s="12">
        <v>48</v>
      </c>
      <c r="AP431" s="12">
        <v>48</v>
      </c>
      <c r="AQ431" s="12">
        <v>48</v>
      </c>
      <c r="AR431" s="12">
        <v>29</v>
      </c>
      <c r="AS431" s="59">
        <v>9.4339622641509441E-2</v>
      </c>
      <c r="AT431" s="3">
        <v>1</v>
      </c>
      <c r="AU431" s="3">
        <v>6</v>
      </c>
      <c r="AV431" s="52">
        <v>93.1</v>
      </c>
      <c r="AW431" s="52">
        <v>5.3</v>
      </c>
      <c r="AX431" s="52">
        <v>1.1000000000000001</v>
      </c>
      <c r="AY431" s="71">
        <v>0.4</v>
      </c>
      <c r="AZ431" s="59">
        <v>0.16666666666666666</v>
      </c>
      <c r="BA431" s="59">
        <v>0.17883211678832117</v>
      </c>
      <c r="BB431" s="77">
        <v>94.842487308841896</v>
      </c>
      <c r="BC431" s="49">
        <v>20.854922279792699</v>
      </c>
      <c r="BD431" s="49">
        <v>9.6</v>
      </c>
      <c r="BE431" s="49">
        <v>13.6</v>
      </c>
      <c r="BF431" s="49">
        <v>0</v>
      </c>
      <c r="BG431" s="49">
        <v>0</v>
      </c>
      <c r="BH431" s="49">
        <v>7</v>
      </c>
      <c r="BI431" s="49">
        <v>0</v>
      </c>
      <c r="BJ431" s="49">
        <v>19.100000000000001</v>
      </c>
      <c r="BK431" s="126">
        <v>16501</v>
      </c>
      <c r="BL431" s="126">
        <v>49537</v>
      </c>
      <c r="BM431" s="126">
        <v>54834</v>
      </c>
      <c r="BN431" s="126">
        <v>42474</v>
      </c>
      <c r="BO431" s="59">
        <v>8.9999999999999993E-3</v>
      </c>
      <c r="BP431" s="59">
        <v>0.38840000000000002</v>
      </c>
      <c r="BQ431" s="59">
        <v>0.22259999999999999</v>
      </c>
      <c r="BR431" s="59">
        <v>0</v>
      </c>
      <c r="BS431" s="59">
        <v>8.9999999999999993E-3</v>
      </c>
      <c r="BT431" s="49">
        <v>11.3</v>
      </c>
      <c r="BU431" s="59">
        <f t="shared" si="30"/>
        <v>0.629</v>
      </c>
      <c r="BV431" s="59">
        <v>2.7E-2</v>
      </c>
      <c r="BW431" s="59">
        <v>8.9999999999999993E-3</v>
      </c>
      <c r="BX431" s="59">
        <v>3.5999999999999997E-2</v>
      </c>
      <c r="BY431" s="59">
        <v>0</v>
      </c>
      <c r="BZ431" s="59">
        <v>0</v>
      </c>
      <c r="CA431" s="49">
        <v>11.3</v>
      </c>
      <c r="CB431" s="59">
        <f t="shared" si="31"/>
        <v>7.1999999999999995E-2</v>
      </c>
      <c r="CC431" s="59">
        <v>0.26450000000000001</v>
      </c>
      <c r="CD431" s="59">
        <v>0.42349999999999999</v>
      </c>
      <c r="CE431" s="59">
        <v>0.30299999999999999</v>
      </c>
      <c r="CF431" s="59">
        <v>0</v>
      </c>
      <c r="CG431" s="59">
        <v>8.9999999999999993E-3</v>
      </c>
      <c r="CH431" s="49">
        <v>9.9</v>
      </c>
      <c r="CI431" s="39" t="s">
        <v>214</v>
      </c>
      <c r="CJ431" s="18" t="s">
        <v>479</v>
      </c>
      <c r="CK431" s="20"/>
    </row>
    <row r="432" spans="1:89" x14ac:dyDescent="0.25">
      <c r="A432" s="18" t="s">
        <v>479</v>
      </c>
      <c r="B432" s="39" t="s">
        <v>215</v>
      </c>
      <c r="C432" s="39" t="s">
        <v>216</v>
      </c>
      <c r="D432" s="40">
        <v>6</v>
      </c>
      <c r="E432" s="40" t="s">
        <v>83</v>
      </c>
      <c r="F432" s="40">
        <v>6</v>
      </c>
      <c r="G432" s="162" t="s">
        <v>83</v>
      </c>
      <c r="H432" s="162" t="s">
        <v>83</v>
      </c>
      <c r="I432" s="162" t="s">
        <v>83</v>
      </c>
      <c r="J432" s="163">
        <v>2</v>
      </c>
      <c r="K432" s="163">
        <v>2</v>
      </c>
      <c r="L432" s="163">
        <v>2</v>
      </c>
      <c r="M432" s="163">
        <v>0</v>
      </c>
      <c r="N432" s="115">
        <v>1.9736842105263198E-2</v>
      </c>
      <c r="O432" s="115">
        <v>1.9736842105263198E-2</v>
      </c>
      <c r="P432" s="116" t="s">
        <v>83</v>
      </c>
      <c r="Q432" s="116" t="s">
        <v>83</v>
      </c>
      <c r="R432" s="116" t="s">
        <v>83</v>
      </c>
      <c r="S432" s="115">
        <v>2.1978021978022001E-2</v>
      </c>
      <c r="T432" s="115">
        <v>2.7397260273972601E-2</v>
      </c>
      <c r="U432" s="115">
        <v>3.3898305084745797E-2</v>
      </c>
      <c r="V432" s="115">
        <v>0</v>
      </c>
      <c r="W432" s="40">
        <v>262</v>
      </c>
      <c r="X432" s="40">
        <f t="shared" si="32"/>
        <v>262</v>
      </c>
      <c r="Y432" s="40">
        <f t="shared" si="33"/>
        <v>262</v>
      </c>
      <c r="Z432" s="105">
        <v>0.477099236641221</v>
      </c>
      <c r="AA432" s="105">
        <v>0.522900763358779</v>
      </c>
      <c r="AB432" s="106">
        <f>1/262</f>
        <v>3.8167938931297708E-3</v>
      </c>
      <c r="AC432" s="106">
        <f>2/262</f>
        <v>7.6335877862595417E-3</v>
      </c>
      <c r="AD432" s="106">
        <f>177/262</f>
        <v>0.67557251908396942</v>
      </c>
      <c r="AE432" s="106">
        <f>2/262</f>
        <v>7.6335877862595417E-3</v>
      </c>
      <c r="AF432" s="106">
        <v>0</v>
      </c>
      <c r="AG432" s="106">
        <f>80/262</f>
        <v>0.30534351145038169</v>
      </c>
      <c r="AH432" s="106">
        <v>0</v>
      </c>
      <c r="AI432" s="106">
        <f>182/262</f>
        <v>0.69465648854961837</v>
      </c>
      <c r="AJ432" s="105">
        <v>0.77480916030534353</v>
      </c>
      <c r="AK432" s="105">
        <v>0</v>
      </c>
      <c r="AL432" s="12">
        <v>0</v>
      </c>
      <c r="AM432" s="12">
        <v>0</v>
      </c>
      <c r="AN432" s="12">
        <v>0</v>
      </c>
      <c r="AO432" s="12">
        <v>69</v>
      </c>
      <c r="AP432" s="12">
        <v>64</v>
      </c>
      <c r="AQ432" s="12">
        <v>58</v>
      </c>
      <c r="AR432" s="12">
        <v>71</v>
      </c>
      <c r="AS432" s="59">
        <v>0</v>
      </c>
      <c r="AT432" s="3">
        <v>9</v>
      </c>
      <c r="AU432" s="3">
        <v>6</v>
      </c>
      <c r="AV432" s="52">
        <v>77.900000000000006</v>
      </c>
      <c r="AW432" s="52">
        <v>15.9</v>
      </c>
      <c r="AX432" s="52">
        <v>6.2</v>
      </c>
      <c r="AY432" s="70">
        <v>0</v>
      </c>
      <c r="AZ432" s="59">
        <v>0.43421052631578949</v>
      </c>
      <c r="BA432" s="59">
        <v>1.9736842105263157E-2</v>
      </c>
      <c r="BB432" s="78">
        <v>91.475291711217494</v>
      </c>
      <c r="BC432" s="49">
        <v>33.770491803278702</v>
      </c>
      <c r="BD432" s="90" t="s">
        <v>83</v>
      </c>
      <c r="BE432" s="90" t="s">
        <v>83</v>
      </c>
      <c r="BF432" s="49">
        <v>0</v>
      </c>
      <c r="BG432" s="49">
        <v>5.3</v>
      </c>
      <c r="BH432" s="49">
        <v>8</v>
      </c>
      <c r="BI432" s="49">
        <v>1.3</v>
      </c>
      <c r="BJ432" s="49">
        <v>17.2</v>
      </c>
      <c r="BK432" s="126">
        <v>13480</v>
      </c>
      <c r="BL432" s="126">
        <v>52368</v>
      </c>
      <c r="BM432" s="126">
        <v>48612</v>
      </c>
      <c r="BN432" s="126">
        <v>43772</v>
      </c>
      <c r="BO432" s="59">
        <v>0</v>
      </c>
      <c r="BP432" s="59">
        <v>0.29759999999999998</v>
      </c>
      <c r="BQ432" s="59">
        <v>0.2964</v>
      </c>
      <c r="BR432" s="59">
        <v>0</v>
      </c>
      <c r="BS432" s="59">
        <v>0</v>
      </c>
      <c r="BT432" s="49">
        <v>17.100000000000001</v>
      </c>
      <c r="BU432" s="59">
        <f t="shared" si="30"/>
        <v>0.59399999999999997</v>
      </c>
      <c r="BV432" s="59">
        <v>5.33E-2</v>
      </c>
      <c r="BW432" s="59">
        <v>0</v>
      </c>
      <c r="BX432" s="59">
        <v>5.4399999999999997E-2</v>
      </c>
      <c r="BY432" s="59">
        <v>0</v>
      </c>
      <c r="BZ432" s="59">
        <v>0</v>
      </c>
      <c r="CA432" s="49">
        <v>27.3</v>
      </c>
      <c r="CB432" s="59">
        <f t="shared" si="31"/>
        <v>0.10769999999999999</v>
      </c>
      <c r="CC432" s="59">
        <v>0.32450000000000001</v>
      </c>
      <c r="CD432" s="59">
        <v>0.29759999999999998</v>
      </c>
      <c r="CE432" s="59">
        <v>0.378</v>
      </c>
      <c r="CF432" s="59">
        <v>0</v>
      </c>
      <c r="CG432" s="59">
        <v>0</v>
      </c>
      <c r="CH432" s="49">
        <v>18.2</v>
      </c>
      <c r="CI432" s="39" t="s">
        <v>216</v>
      </c>
      <c r="CJ432" s="18" t="s">
        <v>479</v>
      </c>
      <c r="CK432" s="20"/>
    </row>
    <row r="433" spans="1:99" x14ac:dyDescent="0.25">
      <c r="A433" s="18" t="s">
        <v>479</v>
      </c>
      <c r="B433" s="39" t="s">
        <v>215</v>
      </c>
      <c r="C433" s="39" t="s">
        <v>217</v>
      </c>
      <c r="D433" s="40">
        <v>4</v>
      </c>
      <c r="E433" s="40">
        <v>0</v>
      </c>
      <c r="F433" s="40">
        <v>4</v>
      </c>
      <c r="G433" s="163">
        <v>0</v>
      </c>
      <c r="H433" s="163">
        <v>0</v>
      </c>
      <c r="I433" s="162" t="s">
        <v>83</v>
      </c>
      <c r="J433" s="163">
        <v>2</v>
      </c>
      <c r="K433" s="163">
        <v>2</v>
      </c>
      <c r="L433" s="163">
        <v>0</v>
      </c>
      <c r="M433" s="163">
        <v>0</v>
      </c>
      <c r="N433" s="115">
        <v>1.2422360248447201E-2</v>
      </c>
      <c r="O433" s="115">
        <v>2.1052631578947399E-2</v>
      </c>
      <c r="P433" s="115">
        <v>0</v>
      </c>
      <c r="Q433" s="115">
        <v>0</v>
      </c>
      <c r="R433" s="116" t="s">
        <v>83</v>
      </c>
      <c r="S433" s="115">
        <v>2.8571428571428598E-2</v>
      </c>
      <c r="T433" s="115">
        <v>4.5454545454545497E-2</v>
      </c>
      <c r="U433" s="115">
        <v>0</v>
      </c>
      <c r="V433" s="115">
        <v>0</v>
      </c>
      <c r="W433" s="40">
        <v>716</v>
      </c>
      <c r="X433" s="40">
        <f t="shared" si="32"/>
        <v>168</v>
      </c>
      <c r="Y433" s="40">
        <f t="shared" si="33"/>
        <v>290</v>
      </c>
      <c r="Z433" s="105">
        <v>0.48463687150837997</v>
      </c>
      <c r="AA433" s="105">
        <v>0.51536312849162003</v>
      </c>
      <c r="AB433" s="106">
        <v>0</v>
      </c>
      <c r="AC433" s="106">
        <v>0</v>
      </c>
      <c r="AD433" s="106">
        <f>95/716</f>
        <v>0.13268156424581007</v>
      </c>
      <c r="AE433" s="106">
        <f>18/716</f>
        <v>2.5139664804469275E-2</v>
      </c>
      <c r="AF433" s="106">
        <v>0</v>
      </c>
      <c r="AG433" s="106">
        <f>593/716</f>
        <v>0.82821229050279332</v>
      </c>
      <c r="AH433" s="106">
        <f>10/716</f>
        <v>1.3966480446927373E-2</v>
      </c>
      <c r="AI433" s="106">
        <f>123/716</f>
        <v>0.1717877094972067</v>
      </c>
      <c r="AJ433" s="105">
        <v>0.50139664804469275</v>
      </c>
      <c r="AK433" s="105">
        <v>0</v>
      </c>
      <c r="AL433" s="12">
        <v>56</v>
      </c>
      <c r="AM433" s="12">
        <v>66</v>
      </c>
      <c r="AN433" s="12">
        <v>0</v>
      </c>
      <c r="AO433" s="12">
        <v>61</v>
      </c>
      <c r="AP433" s="12">
        <v>37</v>
      </c>
      <c r="AQ433" s="12">
        <v>31</v>
      </c>
      <c r="AR433" s="12">
        <v>39</v>
      </c>
      <c r="AS433" s="59">
        <v>0</v>
      </c>
      <c r="AT433" s="3">
        <v>1</v>
      </c>
      <c r="AU433" s="3">
        <v>6</v>
      </c>
      <c r="AV433" s="52">
        <v>63.5</v>
      </c>
      <c r="AW433" s="52">
        <v>20.399999999999999</v>
      </c>
      <c r="AX433" s="52">
        <v>12</v>
      </c>
      <c r="AY433" s="71">
        <v>4</v>
      </c>
      <c r="AZ433" s="59">
        <v>0.12609238451935081</v>
      </c>
      <c r="BA433" s="59">
        <v>7.4906367041198503E-3</v>
      </c>
      <c r="BB433" s="77">
        <v>94.028919395791206</v>
      </c>
      <c r="BC433" s="49">
        <v>25.1989389920424</v>
      </c>
      <c r="BD433" s="49">
        <v>0</v>
      </c>
      <c r="BE433" s="49">
        <v>0</v>
      </c>
      <c r="BF433" s="49">
        <v>0</v>
      </c>
      <c r="BG433" s="49">
        <v>0</v>
      </c>
      <c r="BH433" s="49">
        <v>0</v>
      </c>
      <c r="BI433" s="49">
        <v>0</v>
      </c>
      <c r="BJ433" s="49">
        <v>20.399999999999999</v>
      </c>
      <c r="BK433" s="126">
        <v>10177</v>
      </c>
      <c r="BL433" s="126">
        <v>51169</v>
      </c>
      <c r="BM433" s="126">
        <v>46207</v>
      </c>
      <c r="BN433" s="126">
        <v>44089</v>
      </c>
      <c r="BO433" s="59">
        <v>0</v>
      </c>
      <c r="BP433" s="59">
        <v>0.38919999999999999</v>
      </c>
      <c r="BQ433" s="59">
        <v>0.28139999999999998</v>
      </c>
      <c r="BR433" s="59">
        <v>0</v>
      </c>
      <c r="BS433" s="59">
        <v>0</v>
      </c>
      <c r="BT433" s="49">
        <v>15.4</v>
      </c>
      <c r="BU433" s="59">
        <f t="shared" si="30"/>
        <v>0.67059999999999997</v>
      </c>
      <c r="BV433" s="59">
        <v>1.5599999999999999E-2</v>
      </c>
      <c r="BW433" s="59">
        <v>1.5599999999999999E-2</v>
      </c>
      <c r="BX433" s="59">
        <v>3.04E-2</v>
      </c>
      <c r="BY433" s="59">
        <v>0</v>
      </c>
      <c r="BZ433" s="59">
        <v>0</v>
      </c>
      <c r="CA433" s="49">
        <v>13.4</v>
      </c>
      <c r="CB433" s="59">
        <f t="shared" si="31"/>
        <v>6.1600000000000002E-2</v>
      </c>
      <c r="CC433" s="59">
        <v>0.23880000000000001</v>
      </c>
      <c r="CD433" s="59">
        <v>0.40479999999999999</v>
      </c>
      <c r="CE433" s="59">
        <v>0.35630000000000001</v>
      </c>
      <c r="CF433" s="59">
        <v>0</v>
      </c>
      <c r="CG433" s="59">
        <v>0</v>
      </c>
      <c r="CH433" s="49">
        <v>14.4</v>
      </c>
      <c r="CI433" s="39" t="s">
        <v>217</v>
      </c>
      <c r="CJ433" s="18" t="s">
        <v>479</v>
      </c>
      <c r="CK433" s="20"/>
    </row>
    <row r="434" spans="1:99" x14ac:dyDescent="0.25">
      <c r="A434" s="18" t="s">
        <v>479</v>
      </c>
      <c r="B434" s="39" t="s">
        <v>215</v>
      </c>
      <c r="C434" s="39" t="s">
        <v>218</v>
      </c>
      <c r="D434" s="40">
        <v>2</v>
      </c>
      <c r="E434" s="40">
        <v>0</v>
      </c>
      <c r="F434" s="40">
        <v>2</v>
      </c>
      <c r="G434" s="163">
        <v>0</v>
      </c>
      <c r="H434" s="163">
        <v>0</v>
      </c>
      <c r="I434" s="162" t="s">
        <v>83</v>
      </c>
      <c r="J434" s="163">
        <v>1</v>
      </c>
      <c r="K434" s="163">
        <v>1</v>
      </c>
      <c r="L434" s="163">
        <v>0</v>
      </c>
      <c r="M434" s="163">
        <v>0</v>
      </c>
      <c r="N434" s="115">
        <v>8.4033613445378096E-3</v>
      </c>
      <c r="O434" s="115">
        <v>1.3986013986014E-2</v>
      </c>
      <c r="P434" s="115">
        <v>0</v>
      </c>
      <c r="Q434" s="115">
        <v>0</v>
      </c>
      <c r="R434" s="116" t="s">
        <v>83</v>
      </c>
      <c r="S434" s="115">
        <v>2.32558139534884E-2</v>
      </c>
      <c r="T434" s="115">
        <v>3.03030303030303E-2</v>
      </c>
      <c r="U434" s="115">
        <v>0</v>
      </c>
      <c r="V434" s="115">
        <v>0</v>
      </c>
      <c r="W434" s="40">
        <v>564</v>
      </c>
      <c r="X434" s="40">
        <f t="shared" si="32"/>
        <v>126</v>
      </c>
      <c r="Y434" s="40">
        <f t="shared" si="33"/>
        <v>211</v>
      </c>
      <c r="Z434" s="105">
        <v>0.5</v>
      </c>
      <c r="AA434" s="105">
        <v>0.5</v>
      </c>
      <c r="AB434" s="106">
        <v>0</v>
      </c>
      <c r="AC434" s="106">
        <f>5/564</f>
        <v>8.8652482269503553E-3</v>
      </c>
      <c r="AD434" s="106">
        <f>40/564</f>
        <v>7.0921985815602842E-2</v>
      </c>
      <c r="AE434" s="106">
        <f>16/564</f>
        <v>2.8368794326241134E-2</v>
      </c>
      <c r="AF434" s="106">
        <v>0</v>
      </c>
      <c r="AG434" s="106">
        <f>484/564</f>
        <v>0.85815602836879434</v>
      </c>
      <c r="AH434" s="106">
        <f>19/564</f>
        <v>3.3687943262411348E-2</v>
      </c>
      <c r="AI434" s="106">
        <f>80/564</f>
        <v>0.14184397163120568</v>
      </c>
      <c r="AJ434" s="105">
        <v>0.56560283687943258</v>
      </c>
      <c r="AK434" s="105">
        <v>0</v>
      </c>
      <c r="AL434" s="12">
        <v>48</v>
      </c>
      <c r="AM434" s="12">
        <v>37</v>
      </c>
      <c r="AN434" s="12">
        <v>0</v>
      </c>
      <c r="AO434" s="12">
        <v>38</v>
      </c>
      <c r="AP434" s="12">
        <v>26</v>
      </c>
      <c r="AQ434" s="12">
        <v>30</v>
      </c>
      <c r="AR434" s="12">
        <v>32</v>
      </c>
      <c r="AS434" s="59">
        <v>0</v>
      </c>
      <c r="AT434" s="3">
        <v>1</v>
      </c>
      <c r="AU434" s="3">
        <v>6</v>
      </c>
      <c r="AV434" s="52">
        <v>69</v>
      </c>
      <c r="AW434" s="52">
        <v>29.2</v>
      </c>
      <c r="AX434" s="53">
        <v>0</v>
      </c>
      <c r="AY434" s="71">
        <v>1.8</v>
      </c>
      <c r="AZ434" s="59">
        <v>0.13406940063091483</v>
      </c>
      <c r="BA434" s="59">
        <v>1.8927444794952682E-2</v>
      </c>
      <c r="BB434" s="78">
        <v>93.865638706215407</v>
      </c>
      <c r="BC434" s="49">
        <v>19.798657718120801</v>
      </c>
      <c r="BD434" s="49">
        <v>0</v>
      </c>
      <c r="BE434" s="49">
        <v>0</v>
      </c>
      <c r="BF434" s="49">
        <v>0</v>
      </c>
      <c r="BG434" s="49">
        <v>8</v>
      </c>
      <c r="BH434" s="49">
        <v>0</v>
      </c>
      <c r="BI434" s="49">
        <v>0</v>
      </c>
      <c r="BJ434" s="49">
        <v>20</v>
      </c>
      <c r="BK434" s="126">
        <v>11472</v>
      </c>
      <c r="BL434" s="126">
        <v>49870</v>
      </c>
      <c r="BM434" s="126">
        <v>47259</v>
      </c>
      <c r="BN434" s="126">
        <v>42197</v>
      </c>
      <c r="BO434" s="59">
        <v>0</v>
      </c>
      <c r="BP434" s="59">
        <v>0.372</v>
      </c>
      <c r="BQ434" s="59">
        <v>0.23680000000000001</v>
      </c>
      <c r="BR434" s="59">
        <v>0</v>
      </c>
      <c r="BS434" s="59">
        <v>3.15E-2</v>
      </c>
      <c r="BT434" s="49">
        <v>14.7</v>
      </c>
      <c r="BU434" s="59">
        <f t="shared" si="30"/>
        <v>0.64029999999999998</v>
      </c>
      <c r="BV434" s="59">
        <v>3.15E-2</v>
      </c>
      <c r="BW434" s="59">
        <v>0</v>
      </c>
      <c r="BX434" s="59">
        <v>1.52E-2</v>
      </c>
      <c r="BY434" s="59">
        <v>0</v>
      </c>
      <c r="BZ434" s="59">
        <v>1.5800000000000002E-2</v>
      </c>
      <c r="CA434" s="49">
        <v>18.899999999999999</v>
      </c>
      <c r="CB434" s="59">
        <f t="shared" si="31"/>
        <v>6.25E-2</v>
      </c>
      <c r="CC434" s="59">
        <v>0.29720000000000002</v>
      </c>
      <c r="CD434" s="59">
        <v>0.372</v>
      </c>
      <c r="CE434" s="59">
        <v>0.28339999999999999</v>
      </c>
      <c r="CF434" s="59">
        <v>0</v>
      </c>
      <c r="CG434" s="59">
        <v>4.7300000000000002E-2</v>
      </c>
      <c r="CH434" s="49">
        <v>14.4</v>
      </c>
      <c r="CI434" s="39" t="s">
        <v>218</v>
      </c>
      <c r="CJ434" s="18" t="s">
        <v>479</v>
      </c>
      <c r="CK434" s="20"/>
    </row>
    <row r="435" spans="1:99" x14ac:dyDescent="0.25">
      <c r="A435" s="18" t="s">
        <v>479</v>
      </c>
      <c r="B435" s="39" t="s">
        <v>219</v>
      </c>
      <c r="C435" s="39" t="s">
        <v>220</v>
      </c>
      <c r="D435" s="40">
        <v>131</v>
      </c>
      <c r="E435" s="40" t="s">
        <v>83</v>
      </c>
      <c r="F435" s="40">
        <v>131</v>
      </c>
      <c r="G435" s="162" t="s">
        <v>83</v>
      </c>
      <c r="H435" s="162" t="s">
        <v>83</v>
      </c>
      <c r="I435" s="163">
        <v>1</v>
      </c>
      <c r="J435" s="163">
        <v>72</v>
      </c>
      <c r="K435" s="163">
        <v>23</v>
      </c>
      <c r="L435" s="163">
        <v>24</v>
      </c>
      <c r="M435" s="163">
        <v>11</v>
      </c>
      <c r="N435" s="115">
        <v>8.3069118579581505E-2</v>
      </c>
      <c r="O435" s="115">
        <v>8.3069118579581505E-2</v>
      </c>
      <c r="P435" s="116" t="s">
        <v>83</v>
      </c>
      <c r="Q435" s="116" t="s">
        <v>83</v>
      </c>
      <c r="R435" s="115">
        <v>0.1</v>
      </c>
      <c r="S435" s="115">
        <v>0.121008403361345</v>
      </c>
      <c r="T435" s="115">
        <v>5.9278350515463901E-2</v>
      </c>
      <c r="U435" s="115">
        <v>7.5235109717868301E-2</v>
      </c>
      <c r="V435" s="115">
        <v>4.15094339622641E-2</v>
      </c>
      <c r="W435" s="40">
        <v>1355</v>
      </c>
      <c r="X435" s="40">
        <f t="shared" si="32"/>
        <v>1355</v>
      </c>
      <c r="Y435" s="40">
        <f t="shared" si="33"/>
        <v>1355</v>
      </c>
      <c r="Z435" s="105">
        <v>0.44797047970479698</v>
      </c>
      <c r="AA435" s="105">
        <v>0.55202952029520302</v>
      </c>
      <c r="AB435" s="106">
        <f>1/1355</f>
        <v>7.3800738007380072E-4</v>
      </c>
      <c r="AC435" s="106">
        <f>37/1355</f>
        <v>2.7306273062730629E-2</v>
      </c>
      <c r="AD435" s="106">
        <f>484/1355</f>
        <v>0.35719557195571955</v>
      </c>
      <c r="AE435" s="106">
        <f>588/1355</f>
        <v>0.43394833948339484</v>
      </c>
      <c r="AF435" s="106">
        <f>4/1355</f>
        <v>2.9520295202952029E-3</v>
      </c>
      <c r="AG435" s="106">
        <f>219/1355</f>
        <v>0.16162361623616237</v>
      </c>
      <c r="AH435" s="106">
        <f>22/1355</f>
        <v>1.6236162361623615E-2</v>
      </c>
      <c r="AI435" s="106">
        <f>1136/1355</f>
        <v>0.83837638376383761</v>
      </c>
      <c r="AJ435" s="105">
        <v>0.82287822878228778</v>
      </c>
      <c r="AK435" s="105">
        <v>0.219926199261993</v>
      </c>
      <c r="AL435" s="12">
        <v>0</v>
      </c>
      <c r="AM435" s="12">
        <v>0</v>
      </c>
      <c r="AN435" s="12">
        <v>6</v>
      </c>
      <c r="AO435" s="12">
        <v>472</v>
      </c>
      <c r="AP435" s="12">
        <v>341</v>
      </c>
      <c r="AQ435" s="12">
        <v>282</v>
      </c>
      <c r="AR435" s="12">
        <v>254</v>
      </c>
      <c r="AS435" s="59">
        <v>1.2552301255230125E-2</v>
      </c>
      <c r="AT435" s="3">
        <v>9</v>
      </c>
      <c r="AU435" s="3">
        <v>6</v>
      </c>
      <c r="AV435" s="52">
        <v>42.5</v>
      </c>
      <c r="AW435" s="52">
        <v>18.600000000000001</v>
      </c>
      <c r="AX435" s="52">
        <v>20</v>
      </c>
      <c r="AY435" s="71">
        <v>18.899999999999999</v>
      </c>
      <c r="AZ435" s="59">
        <v>0.40303430079155672</v>
      </c>
      <c r="BA435" s="59">
        <v>0.20316622691292877</v>
      </c>
      <c r="BB435" s="77">
        <v>88.318942731277502</v>
      </c>
      <c r="BC435" s="49">
        <v>72.528883183568695</v>
      </c>
      <c r="BD435" s="90" t="s">
        <v>83</v>
      </c>
      <c r="BE435" s="90" t="s">
        <v>83</v>
      </c>
      <c r="BF435" s="49">
        <v>25.7</v>
      </c>
      <c r="BG435" s="49">
        <v>8.6999999999999993</v>
      </c>
      <c r="BH435" s="49">
        <v>10.199999999999999</v>
      </c>
      <c r="BI435" s="49">
        <v>2.7</v>
      </c>
      <c r="BJ435" s="49">
        <v>18.7</v>
      </c>
      <c r="BK435" s="126">
        <v>11618</v>
      </c>
      <c r="BL435" s="126">
        <v>49525</v>
      </c>
      <c r="BM435" s="126">
        <v>51304</v>
      </c>
      <c r="BN435" s="126">
        <v>42382</v>
      </c>
      <c r="BO435" s="59">
        <v>0</v>
      </c>
      <c r="BP435" s="59">
        <v>0.34260000000000002</v>
      </c>
      <c r="BQ435" s="59">
        <v>0.1895</v>
      </c>
      <c r="BR435" s="59">
        <v>6.4000000000000003E-3</v>
      </c>
      <c r="BS435" s="59">
        <v>6.4000000000000003E-3</v>
      </c>
      <c r="BT435" s="49">
        <v>12.7</v>
      </c>
      <c r="BU435" s="59">
        <f t="shared" si="30"/>
        <v>0.54489999999999994</v>
      </c>
      <c r="BV435" s="59">
        <v>3.8399999999999997E-2</v>
      </c>
      <c r="BW435" s="59">
        <v>1.2800000000000001E-2</v>
      </c>
      <c r="BX435" s="59">
        <v>4.9500000000000002E-2</v>
      </c>
      <c r="BY435" s="59">
        <v>0</v>
      </c>
      <c r="BZ435" s="59">
        <v>0</v>
      </c>
      <c r="CA435" s="49">
        <v>19.100000000000001</v>
      </c>
      <c r="CB435" s="59">
        <f t="shared" si="31"/>
        <v>0.1007</v>
      </c>
      <c r="CC435" s="59">
        <v>0.24479999999999999</v>
      </c>
      <c r="CD435" s="59">
        <v>0.41889999999999999</v>
      </c>
      <c r="CE435" s="59">
        <v>0.2979</v>
      </c>
      <c r="CF435" s="59">
        <v>3.2000000000000001E-2</v>
      </c>
      <c r="CG435" s="59">
        <v>6.4000000000000003E-3</v>
      </c>
      <c r="CH435" s="49">
        <v>13.3</v>
      </c>
      <c r="CI435" s="39" t="s">
        <v>220</v>
      </c>
      <c r="CJ435" s="18" t="s">
        <v>479</v>
      </c>
      <c r="CK435" s="20"/>
    </row>
    <row r="436" spans="1:99" x14ac:dyDescent="0.25">
      <c r="A436" s="18" t="s">
        <v>479</v>
      </c>
      <c r="B436" s="39" t="s">
        <v>219</v>
      </c>
      <c r="C436" s="39" t="s">
        <v>221</v>
      </c>
      <c r="D436" s="40">
        <v>19</v>
      </c>
      <c r="E436" s="40" t="s">
        <v>83</v>
      </c>
      <c r="F436" s="40">
        <v>19</v>
      </c>
      <c r="G436" s="162" t="s">
        <v>83</v>
      </c>
      <c r="H436" s="162" t="s">
        <v>83</v>
      </c>
      <c r="I436" s="163">
        <v>0</v>
      </c>
      <c r="J436" s="163">
        <v>5</v>
      </c>
      <c r="K436" s="163">
        <v>4</v>
      </c>
      <c r="L436" s="163">
        <v>6</v>
      </c>
      <c r="M436" s="163">
        <v>4</v>
      </c>
      <c r="N436" s="115">
        <v>1.7431192660550501E-2</v>
      </c>
      <c r="O436" s="115">
        <v>1.7431192660550501E-2</v>
      </c>
      <c r="P436" s="116" t="s">
        <v>83</v>
      </c>
      <c r="Q436" s="116" t="s">
        <v>83</v>
      </c>
      <c r="R436" s="115">
        <v>0</v>
      </c>
      <c r="S436" s="115">
        <v>1.5822784810126601E-2</v>
      </c>
      <c r="T436" s="115">
        <v>1.4869888475836399E-2</v>
      </c>
      <c r="U436" s="115">
        <v>2.27272727272727E-2</v>
      </c>
      <c r="V436" s="115">
        <v>1.86915887850467E-2</v>
      </c>
      <c r="W436" s="40">
        <v>989</v>
      </c>
      <c r="X436" s="40">
        <f t="shared" si="32"/>
        <v>989</v>
      </c>
      <c r="Y436" s="40">
        <f t="shared" si="33"/>
        <v>989</v>
      </c>
      <c r="Z436" s="105">
        <v>0.51263902932254801</v>
      </c>
      <c r="AA436" s="105">
        <v>0.48736097067745199</v>
      </c>
      <c r="AB436" s="106">
        <f>7/989</f>
        <v>7.0778564206268957E-3</v>
      </c>
      <c r="AC436" s="106">
        <f>47/989</f>
        <v>4.7522750252780584E-2</v>
      </c>
      <c r="AD436" s="106">
        <f>623/989</f>
        <v>0.62992922143579377</v>
      </c>
      <c r="AE436" s="106">
        <f>148/989</f>
        <v>0.14964610717896865</v>
      </c>
      <c r="AF436" s="106">
        <f>3/989</f>
        <v>3.0333670374115269E-3</v>
      </c>
      <c r="AG436" s="106">
        <f>138/989</f>
        <v>0.13953488372093023</v>
      </c>
      <c r="AH436" s="106">
        <f>23/989</f>
        <v>2.3255813953488372E-2</v>
      </c>
      <c r="AI436" s="106">
        <f>851/989</f>
        <v>0.86046511627906974</v>
      </c>
      <c r="AJ436" s="105">
        <v>0.78968655207280081</v>
      </c>
      <c r="AK436" s="105">
        <v>0.13043478260869601</v>
      </c>
      <c r="AL436" s="12">
        <v>0</v>
      </c>
      <c r="AM436" s="12">
        <v>0</v>
      </c>
      <c r="AN436" s="12">
        <v>25</v>
      </c>
      <c r="AO436" s="12">
        <v>282</v>
      </c>
      <c r="AP436" s="12">
        <v>242</v>
      </c>
      <c r="AQ436" s="12">
        <v>232</v>
      </c>
      <c r="AR436" s="12">
        <v>208</v>
      </c>
      <c r="AS436" s="59">
        <v>8.143322475570032E-2</v>
      </c>
      <c r="AT436" s="3">
        <v>9</v>
      </c>
      <c r="AU436" s="3">
        <v>6</v>
      </c>
      <c r="AV436" s="52">
        <v>51.1</v>
      </c>
      <c r="AW436" s="52">
        <v>10</v>
      </c>
      <c r="AX436" s="52">
        <v>17.399999999999999</v>
      </c>
      <c r="AY436" s="71">
        <v>21.5</v>
      </c>
      <c r="AZ436" s="59">
        <v>0.43200740055504161</v>
      </c>
      <c r="BA436" s="59">
        <v>0.29879740980573544</v>
      </c>
      <c r="BB436" s="78">
        <v>92.706596772931604</v>
      </c>
      <c r="BC436" s="49">
        <v>51.952770208901001</v>
      </c>
      <c r="BD436" s="90" t="s">
        <v>83</v>
      </c>
      <c r="BE436" s="90" t="s">
        <v>83</v>
      </c>
      <c r="BF436" s="49">
        <v>18.100000000000001</v>
      </c>
      <c r="BG436" s="49">
        <v>8.9</v>
      </c>
      <c r="BH436" s="49">
        <v>4.7</v>
      </c>
      <c r="BI436" s="49">
        <v>2.4</v>
      </c>
      <c r="BJ436" s="49">
        <v>17.2</v>
      </c>
      <c r="BK436" s="126">
        <v>10390</v>
      </c>
      <c r="BL436" s="126">
        <v>50311</v>
      </c>
      <c r="BM436" s="126">
        <v>54508</v>
      </c>
      <c r="BN436" s="126">
        <v>43509</v>
      </c>
      <c r="BO436" s="59">
        <v>0</v>
      </c>
      <c r="BP436" s="59">
        <v>0.3105</v>
      </c>
      <c r="BQ436" s="59">
        <v>0.23180000000000001</v>
      </c>
      <c r="BR436" s="59">
        <v>0</v>
      </c>
      <c r="BS436" s="59">
        <v>2.4899999999999999E-2</v>
      </c>
      <c r="BT436" s="49">
        <v>12.4</v>
      </c>
      <c r="BU436" s="59">
        <f t="shared" si="30"/>
        <v>0.56720000000000004</v>
      </c>
      <c r="BV436" s="59">
        <v>4.2700000000000002E-2</v>
      </c>
      <c r="BW436" s="59">
        <v>1.0699999999999999E-2</v>
      </c>
      <c r="BX436" s="59">
        <v>4.7899999999999998E-2</v>
      </c>
      <c r="BY436" s="59">
        <v>0</v>
      </c>
      <c r="BZ436" s="59">
        <v>0</v>
      </c>
      <c r="CA436" s="49">
        <v>18.399999999999999</v>
      </c>
      <c r="CB436" s="59">
        <f t="shared" si="31"/>
        <v>0.1013</v>
      </c>
      <c r="CC436" s="59">
        <v>0.23250000000000001</v>
      </c>
      <c r="CD436" s="59">
        <v>0.39989999999999998</v>
      </c>
      <c r="CE436" s="59">
        <v>0.33200000000000002</v>
      </c>
      <c r="CF436" s="59">
        <v>1.0699999999999999E-2</v>
      </c>
      <c r="CG436" s="59">
        <v>2.4899999999999999E-2</v>
      </c>
      <c r="CH436" s="49">
        <v>13.1</v>
      </c>
      <c r="CI436" s="39" t="s">
        <v>221</v>
      </c>
      <c r="CJ436" s="18" t="s">
        <v>479</v>
      </c>
      <c r="CK436" s="20"/>
    </row>
    <row r="437" spans="1:99" x14ac:dyDescent="0.25">
      <c r="A437" s="18" t="s">
        <v>479</v>
      </c>
      <c r="B437" s="39" t="s">
        <v>219</v>
      </c>
      <c r="C437" s="39" t="s">
        <v>222</v>
      </c>
      <c r="D437" s="40">
        <v>68</v>
      </c>
      <c r="E437" s="40" t="s">
        <v>83</v>
      </c>
      <c r="F437" s="40">
        <v>68</v>
      </c>
      <c r="G437" s="162" t="s">
        <v>83</v>
      </c>
      <c r="H437" s="162" t="s">
        <v>83</v>
      </c>
      <c r="I437" s="163">
        <v>3</v>
      </c>
      <c r="J437" s="163">
        <v>28</v>
      </c>
      <c r="K437" s="163">
        <v>19</v>
      </c>
      <c r="L437" s="163">
        <v>14</v>
      </c>
      <c r="M437" s="163">
        <v>4</v>
      </c>
      <c r="N437" s="115">
        <v>5.1711026615969602E-2</v>
      </c>
      <c r="O437" s="115">
        <v>5.1711026615969602E-2</v>
      </c>
      <c r="P437" s="116" t="s">
        <v>83</v>
      </c>
      <c r="Q437" s="116" t="s">
        <v>83</v>
      </c>
      <c r="R437" s="115">
        <v>0.27272727272727298</v>
      </c>
      <c r="S437" s="115">
        <v>6.6825775656324596E-2</v>
      </c>
      <c r="T437" s="115">
        <v>5.21978021978022E-2</v>
      </c>
      <c r="U437" s="115">
        <v>4.4585987261146501E-2</v>
      </c>
      <c r="V437" s="115">
        <v>1.9323671497584499E-2</v>
      </c>
      <c r="W437" s="40">
        <v>1176</v>
      </c>
      <c r="X437" s="40">
        <f t="shared" si="32"/>
        <v>1176</v>
      </c>
      <c r="Y437" s="40">
        <f t="shared" si="33"/>
        <v>1176</v>
      </c>
      <c r="Z437" s="105">
        <v>0.47108843537415002</v>
      </c>
      <c r="AA437" s="105">
        <v>0.52891156462584998</v>
      </c>
      <c r="AB437" s="106">
        <f>3/1176</f>
        <v>2.5510204081632651E-3</v>
      </c>
      <c r="AC437" s="106">
        <f>21/1176</f>
        <v>1.7857142857142856E-2</v>
      </c>
      <c r="AD437" s="106">
        <f>405/1176</f>
        <v>0.34438775510204084</v>
      </c>
      <c r="AE437" s="106">
        <f>291/1176</f>
        <v>0.24744897959183673</v>
      </c>
      <c r="AF437" s="106">
        <f>5/1176</f>
        <v>4.2517006802721092E-3</v>
      </c>
      <c r="AG437" s="106">
        <f>437/1176</f>
        <v>0.37159863945578231</v>
      </c>
      <c r="AH437" s="106">
        <f>14/1176</f>
        <v>1.1904761904761904E-2</v>
      </c>
      <c r="AI437" s="106">
        <f>739/1176</f>
        <v>0.62840136054421769</v>
      </c>
      <c r="AJ437" s="105">
        <v>0.76105442176870752</v>
      </c>
      <c r="AK437" s="105">
        <v>0.10629251700680301</v>
      </c>
      <c r="AL437" s="12">
        <v>0</v>
      </c>
      <c r="AM437" s="12">
        <v>0</v>
      </c>
      <c r="AN437" s="12">
        <v>8</v>
      </c>
      <c r="AO437" s="12">
        <v>357</v>
      </c>
      <c r="AP437" s="12">
        <v>321</v>
      </c>
      <c r="AQ437" s="12">
        <v>294</v>
      </c>
      <c r="AR437" s="12">
        <v>196</v>
      </c>
      <c r="AS437" s="59">
        <v>2.1917808219178082E-2</v>
      </c>
      <c r="AT437" s="3">
        <v>9</v>
      </c>
      <c r="AU437" s="3">
        <v>6</v>
      </c>
      <c r="AV437" s="52">
        <v>51.9</v>
      </c>
      <c r="AW437" s="52">
        <v>6.8</v>
      </c>
      <c r="AX437" s="52">
        <v>23</v>
      </c>
      <c r="AY437" s="71">
        <v>18.3</v>
      </c>
      <c r="AZ437" s="59">
        <v>0.23972071373157486</v>
      </c>
      <c r="BA437" s="59">
        <v>0.14662529092319629</v>
      </c>
      <c r="BB437" s="77">
        <v>90.067457489054107</v>
      </c>
      <c r="BC437" s="49">
        <v>55.789473684210499</v>
      </c>
      <c r="BD437" s="90" t="s">
        <v>83</v>
      </c>
      <c r="BE437" s="90" t="s">
        <v>83</v>
      </c>
      <c r="BF437" s="49">
        <v>8.6999999999999993</v>
      </c>
      <c r="BG437" s="49">
        <v>8.4</v>
      </c>
      <c r="BH437" s="49">
        <v>3.9</v>
      </c>
      <c r="BI437" s="49">
        <v>4.8</v>
      </c>
      <c r="BJ437" s="49">
        <v>18.399999999999999</v>
      </c>
      <c r="BK437" s="126">
        <v>11125</v>
      </c>
      <c r="BL437" s="126">
        <v>55216</v>
      </c>
      <c r="BM437" s="126">
        <v>49467</v>
      </c>
      <c r="BN437" s="126">
        <v>44773</v>
      </c>
      <c r="BO437" s="59">
        <v>0</v>
      </c>
      <c r="BP437" s="59">
        <v>0.31530000000000002</v>
      </c>
      <c r="BQ437" s="59">
        <v>0.2218</v>
      </c>
      <c r="BR437" s="59">
        <v>0</v>
      </c>
      <c r="BS437" s="59">
        <v>8.2000000000000007E-3</v>
      </c>
      <c r="BT437" s="49">
        <v>20.6</v>
      </c>
      <c r="BU437" s="59">
        <f t="shared" si="30"/>
        <v>0.54530000000000001</v>
      </c>
      <c r="BV437" s="59">
        <v>4.1000000000000002E-2</v>
      </c>
      <c r="BW437" s="59">
        <v>0</v>
      </c>
      <c r="BX437" s="59">
        <v>4.2200000000000001E-2</v>
      </c>
      <c r="BY437" s="59">
        <v>0</v>
      </c>
      <c r="BZ437" s="59">
        <v>0</v>
      </c>
      <c r="CA437" s="49">
        <v>23.9</v>
      </c>
      <c r="CB437" s="59">
        <f t="shared" si="31"/>
        <v>8.3199999999999996E-2</v>
      </c>
      <c r="CC437" s="59">
        <v>0.27229999999999999</v>
      </c>
      <c r="CD437" s="59">
        <v>0.38990000000000002</v>
      </c>
      <c r="CE437" s="59">
        <v>0.32140000000000002</v>
      </c>
      <c r="CF437" s="59">
        <v>8.2000000000000007E-3</v>
      </c>
      <c r="CG437" s="59">
        <v>8.2000000000000007E-3</v>
      </c>
      <c r="CH437" s="49">
        <v>18.100000000000001</v>
      </c>
      <c r="CI437" s="39" t="s">
        <v>222</v>
      </c>
      <c r="CJ437" s="18" t="s">
        <v>479</v>
      </c>
      <c r="CK437" s="20"/>
    </row>
    <row r="438" spans="1:99" x14ac:dyDescent="0.25">
      <c r="A438" s="18" t="s">
        <v>479</v>
      </c>
      <c r="B438" s="39" t="s">
        <v>219</v>
      </c>
      <c r="C438" s="39" t="s">
        <v>223</v>
      </c>
      <c r="D438" s="40">
        <v>81</v>
      </c>
      <c r="E438" s="40" t="s">
        <v>83</v>
      </c>
      <c r="F438" s="40">
        <v>81</v>
      </c>
      <c r="G438" s="162" t="s">
        <v>83</v>
      </c>
      <c r="H438" s="162" t="s">
        <v>83</v>
      </c>
      <c r="I438" s="163">
        <v>5</v>
      </c>
      <c r="J438" s="163">
        <v>29</v>
      </c>
      <c r="K438" s="163">
        <v>22</v>
      </c>
      <c r="L438" s="163">
        <v>17</v>
      </c>
      <c r="M438" s="163">
        <v>8</v>
      </c>
      <c r="N438" s="115">
        <v>3.5202086049543703E-2</v>
      </c>
      <c r="O438" s="115">
        <v>3.5202086049543703E-2</v>
      </c>
      <c r="P438" s="116" t="s">
        <v>83</v>
      </c>
      <c r="Q438" s="116" t="s">
        <v>83</v>
      </c>
      <c r="R438" s="115">
        <v>7.8125E-2</v>
      </c>
      <c r="S438" s="115">
        <v>4.4274809160305302E-2</v>
      </c>
      <c r="T438" s="115">
        <v>3.5256410256410298E-2</v>
      </c>
      <c r="U438" s="115">
        <v>3.3203125E-2</v>
      </c>
      <c r="V438" s="115">
        <v>1.79372197309417E-2</v>
      </c>
      <c r="W438" s="40">
        <v>2102</v>
      </c>
      <c r="X438" s="40">
        <f t="shared" si="32"/>
        <v>2102</v>
      </c>
      <c r="Y438" s="40">
        <f t="shared" si="33"/>
        <v>2102</v>
      </c>
      <c r="Z438" s="105">
        <v>0.50761179828734504</v>
      </c>
      <c r="AA438" s="105">
        <v>0.49238820171265502</v>
      </c>
      <c r="AB438" s="106">
        <f>19/2102</f>
        <v>9.0390104662226457E-3</v>
      </c>
      <c r="AC438" s="106">
        <f>128/2102</f>
        <v>6.0894386298763085E-2</v>
      </c>
      <c r="AD438" s="106">
        <f>1192/2102</f>
        <v>0.56707897240723126</v>
      </c>
      <c r="AE438" s="106">
        <f>258/2102</f>
        <v>0.12274024738344434</v>
      </c>
      <c r="AF438" s="106">
        <f>2/2102</f>
        <v>9.5147478591817321E-4</v>
      </c>
      <c r="AG438" s="106">
        <f>457/2102</f>
        <v>0.21741198858230257</v>
      </c>
      <c r="AH438" s="106">
        <f>46/2102</f>
        <v>2.1883920076117985E-2</v>
      </c>
      <c r="AI438" s="106">
        <f>1645/2102</f>
        <v>0.7825880114176974</v>
      </c>
      <c r="AJ438" s="105">
        <v>0.80685061845861084</v>
      </c>
      <c r="AK438" s="105">
        <v>3.7107516650808803E-2</v>
      </c>
      <c r="AL438" s="12">
        <v>0</v>
      </c>
      <c r="AM438" s="12">
        <v>0</v>
      </c>
      <c r="AN438" s="12">
        <v>55</v>
      </c>
      <c r="AO438" s="12">
        <v>574</v>
      </c>
      <c r="AP438" s="12">
        <v>572</v>
      </c>
      <c r="AQ438" s="12">
        <v>469</v>
      </c>
      <c r="AR438" s="12">
        <v>432</v>
      </c>
      <c r="AS438" s="59">
        <v>8.7440381558028621E-2</v>
      </c>
      <c r="AT438" s="3">
        <v>9</v>
      </c>
      <c r="AU438" s="3">
        <v>6</v>
      </c>
      <c r="AV438" s="52">
        <v>38.6</v>
      </c>
      <c r="AW438" s="52">
        <v>7</v>
      </c>
      <c r="AX438" s="52">
        <v>21.3</v>
      </c>
      <c r="AY438" s="71">
        <v>33.1</v>
      </c>
      <c r="AZ438" s="59">
        <v>0.23205636283575518</v>
      </c>
      <c r="BA438" s="59">
        <v>0.19594892118009688</v>
      </c>
      <c r="BB438" s="78">
        <v>89.356093180631404</v>
      </c>
      <c r="BC438" s="49">
        <v>63.884083044982702</v>
      </c>
      <c r="BD438" s="90" t="s">
        <v>83</v>
      </c>
      <c r="BE438" s="90" t="s">
        <v>83</v>
      </c>
      <c r="BF438" s="49">
        <v>10.4</v>
      </c>
      <c r="BG438" s="49">
        <v>5.4</v>
      </c>
      <c r="BH438" s="49">
        <v>4.4000000000000004</v>
      </c>
      <c r="BI438" s="49">
        <v>2.2000000000000002</v>
      </c>
      <c r="BJ438" s="49">
        <v>18.600000000000001</v>
      </c>
      <c r="BK438" s="126">
        <v>10748</v>
      </c>
      <c r="BL438" s="126">
        <v>52390</v>
      </c>
      <c r="BM438" s="126">
        <v>48161</v>
      </c>
      <c r="BN438" s="126">
        <v>43340</v>
      </c>
      <c r="BO438" s="59">
        <v>0</v>
      </c>
      <c r="BP438" s="59">
        <v>0.3322</v>
      </c>
      <c r="BQ438" s="59">
        <v>0.2097</v>
      </c>
      <c r="BR438" s="59">
        <v>0</v>
      </c>
      <c r="BS438" s="59">
        <v>4.5999999999999999E-3</v>
      </c>
      <c r="BT438" s="49">
        <v>13.6</v>
      </c>
      <c r="BU438" s="59">
        <f t="shared" si="30"/>
        <v>0.5465000000000001</v>
      </c>
      <c r="BV438" s="59">
        <v>4.5999999999999999E-2</v>
      </c>
      <c r="BW438" s="59">
        <v>0</v>
      </c>
      <c r="BX438" s="59">
        <v>4.9299999999999997E-2</v>
      </c>
      <c r="BY438" s="59">
        <v>0</v>
      </c>
      <c r="BZ438" s="59">
        <v>0</v>
      </c>
      <c r="CA438" s="49">
        <v>16.899999999999999</v>
      </c>
      <c r="CB438" s="59">
        <f t="shared" si="31"/>
        <v>9.5299999999999996E-2</v>
      </c>
      <c r="CC438" s="59">
        <v>0.28110000000000002</v>
      </c>
      <c r="CD438" s="59">
        <v>0.3977</v>
      </c>
      <c r="CE438" s="59">
        <v>0.30730000000000002</v>
      </c>
      <c r="CF438" s="59">
        <v>9.1999999999999998E-3</v>
      </c>
      <c r="CG438" s="59">
        <v>4.5999999999999999E-3</v>
      </c>
      <c r="CH438" s="49">
        <v>14.2</v>
      </c>
      <c r="CI438" s="39" t="s">
        <v>223</v>
      </c>
      <c r="CJ438" s="18" t="s">
        <v>479</v>
      </c>
      <c r="CK438" s="20"/>
    </row>
    <row r="439" spans="1:99" x14ac:dyDescent="0.25">
      <c r="A439" s="18" t="s">
        <v>479</v>
      </c>
      <c r="B439" s="39" t="s">
        <v>219</v>
      </c>
      <c r="C439" s="39" t="s">
        <v>224</v>
      </c>
      <c r="D439" s="40">
        <v>12</v>
      </c>
      <c r="E439" s="40">
        <v>4</v>
      </c>
      <c r="F439" s="40">
        <v>8</v>
      </c>
      <c r="G439" s="163">
        <v>2</v>
      </c>
      <c r="H439" s="163">
        <v>2</v>
      </c>
      <c r="I439" s="162" t="s">
        <v>83</v>
      </c>
      <c r="J439" s="163">
        <v>3</v>
      </c>
      <c r="K439" s="163">
        <v>3</v>
      </c>
      <c r="L439" s="163">
        <v>1</v>
      </c>
      <c r="M439" s="163">
        <v>1</v>
      </c>
      <c r="N439" s="115">
        <v>2.62008733624454E-2</v>
      </c>
      <c r="O439" s="115">
        <v>2.7397260273972601E-2</v>
      </c>
      <c r="P439" s="115">
        <v>2.32558139534884E-2</v>
      </c>
      <c r="Q439" s="115">
        <v>2.5000000000000001E-2</v>
      </c>
      <c r="R439" s="116" t="s">
        <v>83</v>
      </c>
      <c r="S439" s="115">
        <v>4.1666666666666699E-2</v>
      </c>
      <c r="T439" s="115">
        <v>4.2857142857142899E-2</v>
      </c>
      <c r="U439" s="115">
        <v>1.20481927710843E-2</v>
      </c>
      <c r="V439" s="115">
        <v>1.49253731343284E-2</v>
      </c>
      <c r="W439" s="40">
        <v>497</v>
      </c>
      <c r="X439" s="40">
        <f t="shared" si="32"/>
        <v>279</v>
      </c>
      <c r="Y439" s="40">
        <f t="shared" si="33"/>
        <v>433</v>
      </c>
      <c r="Z439" s="105">
        <v>0.47686116700201198</v>
      </c>
      <c r="AA439" s="105">
        <v>0.52313883299798802</v>
      </c>
      <c r="AB439" s="106">
        <f>19/497</f>
        <v>3.8229376257545272E-2</v>
      </c>
      <c r="AC439" s="106">
        <f>1/497</f>
        <v>2.012072434607646E-3</v>
      </c>
      <c r="AD439" s="106">
        <f>6/497</f>
        <v>1.2072434607645875E-2</v>
      </c>
      <c r="AE439" s="106">
        <f>55/497</f>
        <v>0.11066398390342053</v>
      </c>
      <c r="AF439" s="106">
        <f>1/497</f>
        <v>2.012072434607646E-3</v>
      </c>
      <c r="AG439" s="106">
        <f>391/497</f>
        <v>0.78672032193158958</v>
      </c>
      <c r="AH439" s="106">
        <f>24/497</f>
        <v>4.8289738430583498E-2</v>
      </c>
      <c r="AI439" s="106">
        <f>106/497</f>
        <v>0.21327967806841047</v>
      </c>
      <c r="AJ439" s="105">
        <v>0.62173038229376254</v>
      </c>
      <c r="AK439" s="105">
        <v>1.81086519114688E-2</v>
      </c>
      <c r="AL439" s="12">
        <v>80</v>
      </c>
      <c r="AM439" s="12">
        <v>74</v>
      </c>
      <c r="AN439" s="12">
        <v>0</v>
      </c>
      <c r="AO439" s="12">
        <v>73</v>
      </c>
      <c r="AP439" s="12">
        <v>66</v>
      </c>
      <c r="AQ439" s="12">
        <v>84</v>
      </c>
      <c r="AR439" s="12">
        <v>56</v>
      </c>
      <c r="AS439" s="59">
        <v>0</v>
      </c>
      <c r="AT439" s="3">
        <v>6</v>
      </c>
      <c r="AU439" s="3">
        <v>6</v>
      </c>
      <c r="AV439" s="52">
        <v>70.2</v>
      </c>
      <c r="AW439" s="52">
        <v>6.2</v>
      </c>
      <c r="AX439" s="52">
        <v>19.7</v>
      </c>
      <c r="AY439" s="71">
        <v>3.9</v>
      </c>
      <c r="AZ439" s="59">
        <v>3.8610038610038609E-2</v>
      </c>
      <c r="BA439" s="59">
        <v>0.15057915057915058</v>
      </c>
      <c r="BB439" s="77">
        <v>93.295635766734605</v>
      </c>
      <c r="BC439" s="49">
        <v>33.590733590733599</v>
      </c>
      <c r="BD439" s="49">
        <v>9.9</v>
      </c>
      <c r="BE439" s="49">
        <v>1.4</v>
      </c>
      <c r="BF439" s="49">
        <v>1.5</v>
      </c>
      <c r="BG439" s="49">
        <v>6</v>
      </c>
      <c r="BH439" s="49">
        <v>3.8</v>
      </c>
      <c r="BI439" s="49">
        <v>1.6</v>
      </c>
      <c r="BJ439" s="49">
        <v>18.100000000000001</v>
      </c>
      <c r="BK439" s="126">
        <v>11471</v>
      </c>
      <c r="BL439" s="126">
        <v>53273</v>
      </c>
      <c r="BM439" s="126">
        <v>44109</v>
      </c>
      <c r="BN439" s="126">
        <v>41861</v>
      </c>
      <c r="BO439" s="59">
        <v>0</v>
      </c>
      <c r="BP439" s="59">
        <v>0.38400000000000001</v>
      </c>
      <c r="BQ439" s="59">
        <v>8.1900000000000001E-2</v>
      </c>
      <c r="BR439" s="59">
        <v>0</v>
      </c>
      <c r="BS439" s="59">
        <v>0</v>
      </c>
      <c r="BT439" s="49">
        <v>13.9</v>
      </c>
      <c r="BU439" s="59">
        <f t="shared" si="30"/>
        <v>0.46589999999999998</v>
      </c>
      <c r="BV439" s="59">
        <v>7.6499999999999999E-2</v>
      </c>
      <c r="BW439" s="59">
        <v>0</v>
      </c>
      <c r="BX439" s="59">
        <v>4.9200000000000001E-2</v>
      </c>
      <c r="BY439" s="59">
        <v>0</v>
      </c>
      <c r="BZ439" s="59">
        <v>0</v>
      </c>
      <c r="CA439" s="49">
        <v>16.3</v>
      </c>
      <c r="CB439" s="59">
        <f t="shared" si="31"/>
        <v>0.12570000000000001</v>
      </c>
      <c r="CC439" s="59">
        <v>0.40760000000000002</v>
      </c>
      <c r="CD439" s="59">
        <v>0.42849999999999999</v>
      </c>
      <c r="CE439" s="59">
        <v>0.16389999999999999</v>
      </c>
      <c r="CF439" s="59">
        <v>0</v>
      </c>
      <c r="CG439" s="59">
        <v>0</v>
      </c>
      <c r="CH439" s="49">
        <v>13.3</v>
      </c>
      <c r="CI439" s="39" t="s">
        <v>224</v>
      </c>
      <c r="CJ439" s="18" t="s">
        <v>479</v>
      </c>
      <c r="CK439" s="20"/>
    </row>
    <row r="440" spans="1:99" x14ac:dyDescent="0.25">
      <c r="A440" s="18" t="s">
        <v>479</v>
      </c>
      <c r="B440" s="39" t="s">
        <v>219</v>
      </c>
      <c r="C440" s="39" t="s">
        <v>225</v>
      </c>
      <c r="D440" s="40">
        <v>1</v>
      </c>
      <c r="E440" s="40">
        <v>0</v>
      </c>
      <c r="F440" s="40">
        <v>1</v>
      </c>
      <c r="G440" s="163">
        <v>0</v>
      </c>
      <c r="H440" s="163">
        <v>0</v>
      </c>
      <c r="I440" s="162" t="s">
        <v>83</v>
      </c>
      <c r="J440" s="163">
        <v>0</v>
      </c>
      <c r="K440" s="163">
        <v>0</v>
      </c>
      <c r="L440" s="163">
        <v>1</v>
      </c>
      <c r="M440" s="163">
        <v>0</v>
      </c>
      <c r="N440" s="115">
        <v>1.3333333333333299E-2</v>
      </c>
      <c r="O440" s="115">
        <v>2.1739130434782601E-2</v>
      </c>
      <c r="P440" s="115">
        <v>0</v>
      </c>
      <c r="Q440" s="115">
        <v>0</v>
      </c>
      <c r="R440" s="116" t="s">
        <v>83</v>
      </c>
      <c r="S440" s="115">
        <v>0</v>
      </c>
      <c r="T440" s="115">
        <v>0</v>
      </c>
      <c r="U440" s="115">
        <v>5.8823529411764698E-2</v>
      </c>
      <c r="V440" s="115">
        <v>0</v>
      </c>
      <c r="W440" s="40">
        <v>139</v>
      </c>
      <c r="X440" s="40">
        <f t="shared" si="32"/>
        <v>39</v>
      </c>
      <c r="Y440" s="40">
        <f t="shared" si="33"/>
        <v>64</v>
      </c>
      <c r="Z440" s="105">
        <v>0.47482014388489202</v>
      </c>
      <c r="AA440" s="105">
        <v>0.52517985611510798</v>
      </c>
      <c r="AB440" s="106">
        <f>14/139</f>
        <v>0.10071942446043165</v>
      </c>
      <c r="AC440" s="106">
        <v>0</v>
      </c>
      <c r="AD440" s="106">
        <f>2/139</f>
        <v>1.4388489208633094E-2</v>
      </c>
      <c r="AE440" s="106">
        <f>4/139</f>
        <v>2.8776978417266189E-2</v>
      </c>
      <c r="AF440" s="106">
        <v>0</v>
      </c>
      <c r="AG440" s="106">
        <f>110/139</f>
        <v>0.79136690647482011</v>
      </c>
      <c r="AH440" s="106">
        <f>9/139</f>
        <v>6.4748201438848921E-2</v>
      </c>
      <c r="AI440" s="106">
        <f>29/139</f>
        <v>0.20863309352517986</v>
      </c>
      <c r="AJ440" s="105">
        <v>0.60431654676258995</v>
      </c>
      <c r="AK440" s="105">
        <v>2.15827338129496E-2</v>
      </c>
      <c r="AL440" s="12">
        <v>12</v>
      </c>
      <c r="AM440" s="12">
        <v>13</v>
      </c>
      <c r="AN440" s="12">
        <v>0</v>
      </c>
      <c r="AO440" s="12">
        <v>8</v>
      </c>
      <c r="AP440" s="12">
        <v>9</v>
      </c>
      <c r="AQ440" s="12">
        <v>14</v>
      </c>
      <c r="AR440" s="12">
        <v>8</v>
      </c>
      <c r="AS440" s="59">
        <v>0</v>
      </c>
      <c r="AT440" s="3">
        <v>1</v>
      </c>
      <c r="AU440" s="3">
        <v>6</v>
      </c>
      <c r="AV440" s="53">
        <v>100</v>
      </c>
      <c r="AW440" s="53">
        <v>0</v>
      </c>
      <c r="AX440" s="53">
        <v>0</v>
      </c>
      <c r="AY440" s="70">
        <v>0</v>
      </c>
      <c r="AZ440" s="59">
        <v>8.9743589743589744E-2</v>
      </c>
      <c r="BA440" s="59">
        <v>1.282051282051282E-2</v>
      </c>
      <c r="BB440" s="78">
        <v>94.541836043360405</v>
      </c>
      <c r="BC440" s="49">
        <v>19.7452229299363</v>
      </c>
      <c r="BD440" s="49">
        <v>20</v>
      </c>
      <c r="BE440" s="49">
        <v>0</v>
      </c>
      <c r="BF440" s="49">
        <v>0</v>
      </c>
      <c r="BG440" s="49">
        <v>11.1</v>
      </c>
      <c r="BH440" s="49">
        <v>0</v>
      </c>
      <c r="BI440" s="49">
        <v>0</v>
      </c>
      <c r="BJ440" s="85"/>
      <c r="BK440" s="126">
        <v>21229</v>
      </c>
      <c r="BL440" s="126">
        <v>54280</v>
      </c>
      <c r="BM440" s="126">
        <v>26012</v>
      </c>
      <c r="BN440" s="126">
        <v>44077</v>
      </c>
      <c r="BO440" s="59">
        <v>0</v>
      </c>
      <c r="BP440" s="125">
        <v>0.44529999999999997</v>
      </c>
      <c r="BQ440" s="125">
        <v>0.1258</v>
      </c>
      <c r="BR440" s="125">
        <v>0</v>
      </c>
      <c r="BS440" s="125">
        <v>0</v>
      </c>
      <c r="BT440" s="85">
        <v>17.899999999999999</v>
      </c>
      <c r="BU440" s="59">
        <f t="shared" si="30"/>
        <v>0.57109999999999994</v>
      </c>
      <c r="BV440" s="59">
        <v>5.8200000000000002E-2</v>
      </c>
      <c r="BW440" s="125">
        <v>5.8200000000000002E-2</v>
      </c>
      <c r="BX440" s="125">
        <v>3.2399999999999998E-2</v>
      </c>
      <c r="BY440" s="125">
        <v>0</v>
      </c>
      <c r="BZ440" s="125">
        <v>0</v>
      </c>
      <c r="CA440" s="85">
        <v>20.100000000000001</v>
      </c>
      <c r="CB440" s="59">
        <f t="shared" si="31"/>
        <v>0.14879999999999999</v>
      </c>
      <c r="CC440" s="59">
        <v>0.2631</v>
      </c>
      <c r="CD440" s="125">
        <v>0.52059999999999995</v>
      </c>
      <c r="CE440" s="125">
        <v>0.21640000000000001</v>
      </c>
      <c r="CF440" s="125">
        <v>0</v>
      </c>
      <c r="CG440" s="125">
        <v>0</v>
      </c>
      <c r="CH440" s="85">
        <v>17.100000000000001</v>
      </c>
      <c r="CI440" s="39" t="s">
        <v>225</v>
      </c>
      <c r="CJ440" s="18" t="s">
        <v>479</v>
      </c>
      <c r="CK440" s="20"/>
    </row>
    <row r="441" spans="1:99" x14ac:dyDescent="0.25">
      <c r="A441" s="18" t="s">
        <v>479</v>
      </c>
      <c r="B441" s="39" t="s">
        <v>219</v>
      </c>
      <c r="C441" s="39" t="s">
        <v>226</v>
      </c>
      <c r="D441" s="40">
        <v>0</v>
      </c>
      <c r="E441" s="40">
        <v>0</v>
      </c>
      <c r="F441" s="40">
        <v>0</v>
      </c>
      <c r="G441" s="163">
        <v>0</v>
      </c>
      <c r="H441" s="163">
        <v>0</v>
      </c>
      <c r="I441" s="162" t="s">
        <v>83</v>
      </c>
      <c r="J441" s="163">
        <v>0</v>
      </c>
      <c r="K441" s="163">
        <v>0</v>
      </c>
      <c r="L441" s="163">
        <v>0</v>
      </c>
      <c r="M441" s="163">
        <v>0</v>
      </c>
      <c r="N441" s="115">
        <v>0</v>
      </c>
      <c r="O441" s="115">
        <v>0</v>
      </c>
      <c r="P441" s="115">
        <v>0</v>
      </c>
      <c r="Q441" s="115">
        <v>0</v>
      </c>
      <c r="R441" s="116" t="s">
        <v>83</v>
      </c>
      <c r="S441" s="115">
        <v>0</v>
      </c>
      <c r="T441" s="115">
        <v>0</v>
      </c>
      <c r="U441" s="115">
        <v>0</v>
      </c>
      <c r="V441" s="115">
        <v>0</v>
      </c>
      <c r="W441" s="40">
        <v>788</v>
      </c>
      <c r="X441" s="40">
        <f t="shared" si="32"/>
        <v>420</v>
      </c>
      <c r="Y441" s="40">
        <f t="shared" si="33"/>
        <v>663</v>
      </c>
      <c r="Z441" s="105">
        <v>0.55456852791878197</v>
      </c>
      <c r="AA441" s="105">
        <v>0.44543147208121803</v>
      </c>
      <c r="AB441" s="106">
        <f>1/788</f>
        <v>1.2690355329949238E-3</v>
      </c>
      <c r="AC441" s="106">
        <f>132/788</f>
        <v>0.16751269035532995</v>
      </c>
      <c r="AD441" s="106">
        <f>59/788</f>
        <v>7.487309644670051E-2</v>
      </c>
      <c r="AE441" s="106">
        <f>98/788</f>
        <v>0.12436548223350254</v>
      </c>
      <c r="AF441" s="106">
        <f>4/788</f>
        <v>5.076142131979695E-3</v>
      </c>
      <c r="AG441" s="106">
        <f>472/788</f>
        <v>0.59898477157360408</v>
      </c>
      <c r="AH441" s="106">
        <f>22/788</f>
        <v>2.7918781725888325E-2</v>
      </c>
      <c r="AI441" s="106">
        <f>316/788</f>
        <v>0.40101522842639592</v>
      </c>
      <c r="AJ441" s="105">
        <v>0.30076142131979694</v>
      </c>
      <c r="AK441" s="105">
        <v>0</v>
      </c>
      <c r="AL441" s="12">
        <v>124</v>
      </c>
      <c r="AM441" s="12">
        <v>119</v>
      </c>
      <c r="AN441" s="12">
        <v>0</v>
      </c>
      <c r="AO441" s="12">
        <v>113</v>
      </c>
      <c r="AP441" s="12">
        <v>97</v>
      </c>
      <c r="AQ441" s="12">
        <v>114</v>
      </c>
      <c r="AR441" s="12">
        <v>96</v>
      </c>
      <c r="AS441" s="59">
        <v>0</v>
      </c>
      <c r="AT441" s="3">
        <v>6</v>
      </c>
      <c r="AU441" s="3">
        <v>7</v>
      </c>
      <c r="AV441" s="52">
        <v>56.9</v>
      </c>
      <c r="AW441" s="52">
        <v>24.8</v>
      </c>
      <c r="AX441" s="52">
        <v>18.3</v>
      </c>
      <c r="AY441" s="70">
        <v>0</v>
      </c>
      <c r="AZ441" s="59">
        <v>3.787878787878788E-2</v>
      </c>
      <c r="BA441" s="59">
        <v>3.787878787878788E-3</v>
      </c>
      <c r="BB441" s="77">
        <v>97.479861359224699</v>
      </c>
      <c r="BC441" s="49">
        <v>3.9092055485498101</v>
      </c>
      <c r="BD441" s="49">
        <v>0</v>
      </c>
      <c r="BE441" s="49">
        <v>0</v>
      </c>
      <c r="BF441" s="49">
        <v>0</v>
      </c>
      <c r="BG441" s="49">
        <v>0</v>
      </c>
      <c r="BH441" s="49">
        <v>0</v>
      </c>
      <c r="BI441" s="49">
        <v>0</v>
      </c>
      <c r="BJ441" s="49">
        <v>29.3</v>
      </c>
      <c r="BK441" s="126">
        <v>10133</v>
      </c>
      <c r="BL441" s="126">
        <v>56625</v>
      </c>
      <c r="BM441" s="126">
        <v>55209</v>
      </c>
      <c r="BN441" s="126">
        <v>51561</v>
      </c>
      <c r="BO441" s="59">
        <v>0</v>
      </c>
      <c r="BP441" s="59">
        <v>0.31619999999999998</v>
      </c>
      <c r="BQ441" s="59">
        <v>0.39150000000000001</v>
      </c>
      <c r="BR441" s="59">
        <v>0</v>
      </c>
      <c r="BS441" s="59">
        <v>0</v>
      </c>
      <c r="BT441" s="49">
        <v>19.600000000000001</v>
      </c>
      <c r="BU441" s="59">
        <f t="shared" si="30"/>
        <v>0.7077</v>
      </c>
      <c r="BV441" s="59">
        <v>3.0099999999999998E-2</v>
      </c>
      <c r="BW441" s="59">
        <v>3.0099999999999998E-2</v>
      </c>
      <c r="BX441" s="59">
        <v>4.5199999999999997E-2</v>
      </c>
      <c r="BY441" s="59">
        <v>0</v>
      </c>
      <c r="BZ441" s="59">
        <v>0</v>
      </c>
      <c r="CA441" s="49">
        <v>20.100000000000001</v>
      </c>
      <c r="CB441" s="59">
        <f t="shared" si="31"/>
        <v>0.10539999999999999</v>
      </c>
      <c r="CC441" s="59">
        <v>0.17180000000000001</v>
      </c>
      <c r="CD441" s="59">
        <v>0.3614</v>
      </c>
      <c r="CE441" s="59">
        <v>0.46679999999999999</v>
      </c>
      <c r="CF441" s="59">
        <v>0</v>
      </c>
      <c r="CG441" s="59">
        <v>0</v>
      </c>
      <c r="CH441" s="49">
        <v>19.3</v>
      </c>
      <c r="CI441" s="39" t="s">
        <v>226</v>
      </c>
      <c r="CJ441" s="18" t="s">
        <v>479</v>
      </c>
      <c r="CK441" s="20"/>
    </row>
    <row r="442" spans="1:99" x14ac:dyDescent="0.25">
      <c r="A442" s="18" t="s">
        <v>479</v>
      </c>
      <c r="B442" s="39" t="s">
        <v>219</v>
      </c>
      <c r="C442" s="39" t="s">
        <v>227</v>
      </c>
      <c r="D442" s="40">
        <v>90</v>
      </c>
      <c r="E442" s="40" t="s">
        <v>83</v>
      </c>
      <c r="F442" s="40">
        <v>90</v>
      </c>
      <c r="G442" s="162" t="s">
        <v>83</v>
      </c>
      <c r="H442" s="162" t="s">
        <v>83</v>
      </c>
      <c r="I442" s="163">
        <v>1</v>
      </c>
      <c r="J442" s="163">
        <v>36</v>
      </c>
      <c r="K442" s="163">
        <v>20</v>
      </c>
      <c r="L442" s="163">
        <v>17</v>
      </c>
      <c r="M442" s="163">
        <v>16</v>
      </c>
      <c r="N442" s="115">
        <v>5.7179161372299898E-2</v>
      </c>
      <c r="O442" s="115">
        <v>5.7179161372299898E-2</v>
      </c>
      <c r="P442" s="116" t="s">
        <v>83</v>
      </c>
      <c r="Q442" s="116" t="s">
        <v>83</v>
      </c>
      <c r="R442" s="115">
        <v>0.2</v>
      </c>
      <c r="S442" s="115">
        <v>6.9632495164410099E-2</v>
      </c>
      <c r="T442" s="115">
        <v>4.6620046620046603E-2</v>
      </c>
      <c r="U442" s="115">
        <v>5.0746268656716401E-2</v>
      </c>
      <c r="V442" s="115">
        <v>5.5555555555555601E-2</v>
      </c>
      <c r="W442" s="40">
        <v>1377</v>
      </c>
      <c r="X442" s="40">
        <f t="shared" si="32"/>
        <v>1377</v>
      </c>
      <c r="Y442" s="40">
        <f t="shared" si="33"/>
        <v>1377</v>
      </c>
      <c r="Z442" s="105">
        <v>0.51706608569353696</v>
      </c>
      <c r="AA442" s="105">
        <v>0.48293391430646299</v>
      </c>
      <c r="AB442" s="106">
        <f>10/1377</f>
        <v>7.2621641249092234E-3</v>
      </c>
      <c r="AC442" s="106">
        <f>67/1377</f>
        <v>4.8656499636891795E-2</v>
      </c>
      <c r="AD442" s="106">
        <f>842/1377</f>
        <v>0.61147421931735657</v>
      </c>
      <c r="AE442" s="106">
        <f>190/1377</f>
        <v>0.13798111837327523</v>
      </c>
      <c r="AF442" s="106">
        <v>0</v>
      </c>
      <c r="AG442" s="106">
        <f>244/1377</f>
        <v>0.17719680464778503</v>
      </c>
      <c r="AH442" s="106">
        <f>24/1377</f>
        <v>1.7429193899782137E-2</v>
      </c>
      <c r="AI442" s="106">
        <f>1133/1377</f>
        <v>0.82280319535221491</v>
      </c>
      <c r="AJ442" s="105">
        <v>0.82861292665214237</v>
      </c>
      <c r="AK442" s="105">
        <v>7.3347857661583193E-2</v>
      </c>
      <c r="AL442" s="12">
        <v>0</v>
      </c>
      <c r="AM442" s="12">
        <v>0</v>
      </c>
      <c r="AN442" s="12">
        <v>5</v>
      </c>
      <c r="AO442" s="12">
        <v>417</v>
      </c>
      <c r="AP442" s="12">
        <v>379</v>
      </c>
      <c r="AQ442" s="12">
        <v>303</v>
      </c>
      <c r="AR442" s="12">
        <v>273</v>
      </c>
      <c r="AS442" s="59">
        <v>1.1848341232227487E-2</v>
      </c>
      <c r="AT442" s="3">
        <v>9</v>
      </c>
      <c r="AU442" s="3">
        <v>6</v>
      </c>
      <c r="AV442" s="52">
        <v>41.1</v>
      </c>
      <c r="AW442" s="52">
        <v>9.6</v>
      </c>
      <c r="AX442" s="52">
        <v>23</v>
      </c>
      <c r="AY442" s="71">
        <v>26.3</v>
      </c>
      <c r="AZ442" s="59">
        <v>0.18335500650195058</v>
      </c>
      <c r="BA442" s="59">
        <v>0.28608582574772434</v>
      </c>
      <c r="BB442" s="78">
        <v>90.8156022411317</v>
      </c>
      <c r="BC442" s="49">
        <v>63.066418373680897</v>
      </c>
      <c r="BD442" s="90" t="s">
        <v>83</v>
      </c>
      <c r="BE442" s="90" t="s">
        <v>83</v>
      </c>
      <c r="BF442" s="49">
        <v>20.2</v>
      </c>
      <c r="BG442" s="49">
        <v>8.6999999999999993</v>
      </c>
      <c r="BH442" s="49">
        <v>6.2</v>
      </c>
      <c r="BI442" s="49">
        <v>6.5</v>
      </c>
      <c r="BJ442" s="49">
        <v>17.100000000000001</v>
      </c>
      <c r="BK442" s="126">
        <v>10403</v>
      </c>
      <c r="BL442" s="126">
        <v>51758</v>
      </c>
      <c r="BM442" s="126">
        <v>52193</v>
      </c>
      <c r="BN442" s="126">
        <v>43447</v>
      </c>
      <c r="BO442" s="59">
        <v>0</v>
      </c>
      <c r="BP442" s="59">
        <v>0.35899999999999999</v>
      </c>
      <c r="BQ442" s="59">
        <v>0.19470000000000001</v>
      </c>
      <c r="BR442" s="59">
        <v>7.3000000000000001E-3</v>
      </c>
      <c r="BS442" s="59">
        <v>0</v>
      </c>
      <c r="BT442" s="49">
        <v>14.7</v>
      </c>
      <c r="BU442" s="59">
        <f t="shared" si="30"/>
        <v>0.56099999999999994</v>
      </c>
      <c r="BV442" s="59">
        <v>2.01E-2</v>
      </c>
      <c r="BW442" s="59">
        <v>1.47E-2</v>
      </c>
      <c r="BX442" s="59">
        <v>4.8300000000000003E-2</v>
      </c>
      <c r="BY442" s="59">
        <v>0</v>
      </c>
      <c r="BZ442" s="59">
        <v>0</v>
      </c>
      <c r="CA442" s="49">
        <v>16.100000000000001</v>
      </c>
      <c r="CB442" s="59">
        <f t="shared" si="31"/>
        <v>8.3100000000000007E-2</v>
      </c>
      <c r="CC442" s="59">
        <v>0.26490000000000002</v>
      </c>
      <c r="CD442" s="59">
        <v>0.43330000000000002</v>
      </c>
      <c r="CE442" s="59">
        <v>0.2797</v>
      </c>
      <c r="CF442" s="59">
        <v>2.1999999999999999E-2</v>
      </c>
      <c r="CG442" s="59">
        <v>0</v>
      </c>
      <c r="CH442" s="49">
        <v>14.7</v>
      </c>
      <c r="CI442" s="39" t="s">
        <v>227</v>
      </c>
      <c r="CJ442" s="18" t="s">
        <v>479</v>
      </c>
      <c r="CK442" s="20"/>
    </row>
    <row r="443" spans="1:99" x14ac:dyDescent="0.25">
      <c r="A443" s="18" t="s">
        <v>479</v>
      </c>
      <c r="B443" s="39" t="s">
        <v>219</v>
      </c>
      <c r="C443" s="39" t="s">
        <v>228</v>
      </c>
      <c r="D443" s="40">
        <v>123</v>
      </c>
      <c r="E443" s="40" t="s">
        <v>83</v>
      </c>
      <c r="F443" s="40">
        <v>123</v>
      </c>
      <c r="G443" s="162" t="s">
        <v>83</v>
      </c>
      <c r="H443" s="162" t="s">
        <v>83</v>
      </c>
      <c r="I443" s="163">
        <v>3</v>
      </c>
      <c r="J443" s="163">
        <v>46</v>
      </c>
      <c r="K443" s="163">
        <v>39</v>
      </c>
      <c r="L443" s="163">
        <v>19</v>
      </c>
      <c r="M443" s="163">
        <v>16</v>
      </c>
      <c r="N443" s="115">
        <v>7.3476702508960601E-2</v>
      </c>
      <c r="O443" s="115">
        <v>7.3476702508960601E-2</v>
      </c>
      <c r="P443" s="116" t="s">
        <v>83</v>
      </c>
      <c r="Q443" s="116" t="s">
        <v>83</v>
      </c>
      <c r="R443" s="115">
        <v>9.0909090909090898E-2</v>
      </c>
      <c r="S443" s="115">
        <v>8.8631984585741799E-2</v>
      </c>
      <c r="T443" s="115">
        <v>8.5714285714285701E-2</v>
      </c>
      <c r="U443" s="115">
        <v>5.4131054131054103E-2</v>
      </c>
      <c r="V443" s="115">
        <v>5.0632911392405097E-2</v>
      </c>
      <c r="W443" s="40">
        <v>1473</v>
      </c>
      <c r="X443" s="40">
        <f t="shared" si="32"/>
        <v>1473</v>
      </c>
      <c r="Y443" s="40">
        <f t="shared" si="33"/>
        <v>1473</v>
      </c>
      <c r="Z443" s="105">
        <v>0.49626612355736599</v>
      </c>
      <c r="AA443" s="105">
        <v>0.50373387644263401</v>
      </c>
      <c r="AB443" s="106">
        <v>0</v>
      </c>
      <c r="AC443" s="106">
        <f>91/1473</f>
        <v>6.1778682959945687E-2</v>
      </c>
      <c r="AD443" s="106">
        <f>302/1473</f>
        <v>0.20502376103190767</v>
      </c>
      <c r="AE443" s="106">
        <f>680/1473</f>
        <v>0.46164290563475902</v>
      </c>
      <c r="AF443" s="106">
        <f>6/1473</f>
        <v>4.0733197556008143E-3</v>
      </c>
      <c r="AG443" s="106">
        <f>378/1473</f>
        <v>0.25661914460285135</v>
      </c>
      <c r="AH443" s="106">
        <f>16/1473</f>
        <v>1.0862186014935505E-2</v>
      </c>
      <c r="AI443" s="106">
        <f>1095/1473</f>
        <v>0.74338085539714871</v>
      </c>
      <c r="AJ443" s="105">
        <v>0.72572980312287849</v>
      </c>
      <c r="AK443" s="105">
        <v>0.276306856754922</v>
      </c>
      <c r="AL443" s="12">
        <v>0</v>
      </c>
      <c r="AM443" s="12">
        <v>0</v>
      </c>
      <c r="AN443" s="12">
        <v>27</v>
      </c>
      <c r="AO443" s="12">
        <v>412</v>
      </c>
      <c r="AP443" s="12">
        <v>407</v>
      </c>
      <c r="AQ443" s="12">
        <v>325</v>
      </c>
      <c r="AR443" s="12">
        <v>302</v>
      </c>
      <c r="AS443" s="59">
        <v>6.1503416856492028E-2</v>
      </c>
      <c r="AT443" s="3">
        <v>9</v>
      </c>
      <c r="AU443" s="3">
        <v>6</v>
      </c>
      <c r="AV443" s="52">
        <v>32.4</v>
      </c>
      <c r="AW443" s="52">
        <v>9.9</v>
      </c>
      <c r="AX443" s="52">
        <v>30.6</v>
      </c>
      <c r="AY443" s="71">
        <v>27.1</v>
      </c>
      <c r="AZ443" s="59">
        <v>0.19105939987752601</v>
      </c>
      <c r="BA443" s="59">
        <v>9.7979179424372315E-2</v>
      </c>
      <c r="BB443" s="77">
        <v>90.669763763172</v>
      </c>
      <c r="BC443" s="49">
        <v>3.3047735618115102</v>
      </c>
      <c r="BD443" s="90" t="s">
        <v>83</v>
      </c>
      <c r="BE443" s="90" t="s">
        <v>83</v>
      </c>
      <c r="BF443" s="49">
        <v>21.8</v>
      </c>
      <c r="BG443" s="49">
        <v>13.9</v>
      </c>
      <c r="BH443" s="49">
        <v>13</v>
      </c>
      <c r="BI443" s="49">
        <v>1.8</v>
      </c>
      <c r="BJ443" s="49">
        <v>19.399999999999999</v>
      </c>
      <c r="BK443" s="126">
        <v>10290</v>
      </c>
      <c r="BL443" s="126">
        <v>48861</v>
      </c>
      <c r="BM443" s="126">
        <v>50100</v>
      </c>
      <c r="BN443" s="126">
        <v>40769</v>
      </c>
      <c r="BO443" s="59">
        <v>0</v>
      </c>
      <c r="BP443" s="59">
        <v>0.39019999999999999</v>
      </c>
      <c r="BQ443" s="59">
        <v>0.1371</v>
      </c>
      <c r="BR443" s="59">
        <v>0</v>
      </c>
      <c r="BS443" s="59">
        <v>3.3E-3</v>
      </c>
      <c r="BT443" s="49">
        <v>9.3000000000000007</v>
      </c>
      <c r="BU443" s="59">
        <f t="shared" si="30"/>
        <v>0.53059999999999996</v>
      </c>
      <c r="BV443" s="59">
        <v>3.2899999999999999E-2</v>
      </c>
      <c r="BW443" s="59">
        <v>0</v>
      </c>
      <c r="BX443" s="59">
        <v>3.95E-2</v>
      </c>
      <c r="BY443" s="59">
        <v>0</v>
      </c>
      <c r="BZ443" s="59">
        <v>6.6E-3</v>
      </c>
      <c r="CA443" s="49">
        <v>13.5</v>
      </c>
      <c r="CB443" s="59">
        <f t="shared" si="31"/>
        <v>7.8999999999999987E-2</v>
      </c>
      <c r="CC443" s="59">
        <v>0.30259999999999998</v>
      </c>
      <c r="CD443" s="59">
        <v>0.45850000000000002</v>
      </c>
      <c r="CE443" s="59">
        <v>0.22900000000000001</v>
      </c>
      <c r="CF443" s="59">
        <v>0</v>
      </c>
      <c r="CG443" s="59">
        <v>9.9000000000000008E-3</v>
      </c>
      <c r="CH443" s="49">
        <v>10.5</v>
      </c>
      <c r="CI443" s="39" t="s">
        <v>228</v>
      </c>
      <c r="CJ443" s="18" t="s">
        <v>479</v>
      </c>
      <c r="CK443" s="20"/>
    </row>
    <row r="444" spans="1:99" x14ac:dyDescent="0.25">
      <c r="A444" s="18" t="s">
        <v>479</v>
      </c>
      <c r="B444" s="39" t="s">
        <v>219</v>
      </c>
      <c r="C444" s="39" t="s">
        <v>229</v>
      </c>
      <c r="D444" s="40">
        <v>23</v>
      </c>
      <c r="E444" s="40" t="s">
        <v>83</v>
      </c>
      <c r="F444" s="40">
        <v>23</v>
      </c>
      <c r="G444" s="162" t="s">
        <v>83</v>
      </c>
      <c r="H444" s="162" t="s">
        <v>83</v>
      </c>
      <c r="I444" s="166">
        <v>2</v>
      </c>
      <c r="J444" s="166">
        <v>13</v>
      </c>
      <c r="K444" s="166">
        <v>5</v>
      </c>
      <c r="L444" s="166">
        <v>3</v>
      </c>
      <c r="M444" s="163">
        <v>0</v>
      </c>
      <c r="N444" s="119">
        <v>2.13358070500928E-2</v>
      </c>
      <c r="O444" s="119">
        <v>2.13358070500928E-2</v>
      </c>
      <c r="P444" s="116" t="s">
        <v>83</v>
      </c>
      <c r="Q444" s="116" t="s">
        <v>83</v>
      </c>
      <c r="R444" s="119">
        <v>3.5087719298245598E-2</v>
      </c>
      <c r="S444" s="119">
        <v>4.7619047619047603E-2</v>
      </c>
      <c r="T444" s="119">
        <v>1.67785234899329E-2</v>
      </c>
      <c r="U444" s="119">
        <v>1.3824884792626699E-2</v>
      </c>
      <c r="V444" s="115">
        <v>0</v>
      </c>
      <c r="W444" s="40">
        <v>989</v>
      </c>
      <c r="X444" s="40">
        <f t="shared" si="32"/>
        <v>989</v>
      </c>
      <c r="Y444" s="40">
        <f t="shared" si="33"/>
        <v>989</v>
      </c>
      <c r="Z444" s="105">
        <v>0.50353892821031299</v>
      </c>
      <c r="AA444" s="105">
        <v>0.49646107178968701</v>
      </c>
      <c r="AB444" s="106">
        <f>8/989</f>
        <v>8.0889787664307385E-3</v>
      </c>
      <c r="AC444" s="106">
        <f>34/989</f>
        <v>3.4378159757330634E-2</v>
      </c>
      <c r="AD444" s="106">
        <f>342/989</f>
        <v>0.34580384226491406</v>
      </c>
      <c r="AE444" s="106">
        <f>196/989</f>
        <v>0.19817997977755308</v>
      </c>
      <c r="AF444" s="106">
        <f>3/989</f>
        <v>3.0333670374115269E-3</v>
      </c>
      <c r="AG444" s="106">
        <f>383/989</f>
        <v>0.38725985844287159</v>
      </c>
      <c r="AH444" s="106">
        <f>23/989</f>
        <v>2.3255813953488372E-2</v>
      </c>
      <c r="AI444" s="106">
        <f>606/989</f>
        <v>0.61274014155712841</v>
      </c>
      <c r="AJ444" s="105">
        <v>0.66936299292214363</v>
      </c>
      <c r="AK444" s="105">
        <v>5.3589484327603597E-2</v>
      </c>
      <c r="AL444" s="12">
        <v>0</v>
      </c>
      <c r="AM444" s="12">
        <v>0</v>
      </c>
      <c r="AN444" s="12">
        <v>54</v>
      </c>
      <c r="AO444" s="12">
        <v>233</v>
      </c>
      <c r="AP444" s="12">
        <v>280</v>
      </c>
      <c r="AQ444" s="12">
        <v>211</v>
      </c>
      <c r="AR444" s="12">
        <v>211</v>
      </c>
      <c r="AS444" s="59">
        <v>0.18815331010452963</v>
      </c>
      <c r="AT444" s="3">
        <v>9</v>
      </c>
      <c r="AU444" s="3">
        <v>6</v>
      </c>
      <c r="AV444" s="52">
        <v>43.1</v>
      </c>
      <c r="AW444" s="52">
        <v>20.7</v>
      </c>
      <c r="AX444" s="52">
        <v>32</v>
      </c>
      <c r="AY444" s="71">
        <v>4.2</v>
      </c>
      <c r="AZ444" s="59">
        <v>0.29859154929577464</v>
      </c>
      <c r="BA444" s="59">
        <v>0.17934272300469484</v>
      </c>
      <c r="BB444" s="78">
        <v>92.315246099143195</v>
      </c>
      <c r="BC444" s="49">
        <v>21.869158878504699</v>
      </c>
      <c r="BD444" s="90" t="s">
        <v>83</v>
      </c>
      <c r="BE444" s="90" t="s">
        <v>83</v>
      </c>
      <c r="BF444" s="49">
        <v>14.2</v>
      </c>
      <c r="BG444" s="49">
        <v>5.2</v>
      </c>
      <c r="BH444" s="49">
        <v>1.5</v>
      </c>
      <c r="BI444" s="49">
        <v>2.2999999999999998</v>
      </c>
      <c r="BJ444" s="49">
        <v>19.899999999999999</v>
      </c>
      <c r="BK444" s="126">
        <v>11026</v>
      </c>
      <c r="BL444" s="126">
        <v>51037</v>
      </c>
      <c r="BM444" s="126">
        <v>46859</v>
      </c>
      <c r="BN444" s="126">
        <v>41947</v>
      </c>
      <c r="BO444" s="59">
        <v>0</v>
      </c>
      <c r="BP444" s="59">
        <v>0.40810000000000002</v>
      </c>
      <c r="BQ444" s="59">
        <v>0.1086</v>
      </c>
      <c r="BR444" s="59">
        <v>9.5999999999999992E-3</v>
      </c>
      <c r="BS444" s="59">
        <v>1.37E-2</v>
      </c>
      <c r="BT444" s="49">
        <v>12.8</v>
      </c>
      <c r="BU444" s="59">
        <f t="shared" si="30"/>
        <v>0.54000000000000015</v>
      </c>
      <c r="BV444" s="59">
        <v>3.5499999999999997E-2</v>
      </c>
      <c r="BW444" s="59">
        <v>9.5999999999999992E-3</v>
      </c>
      <c r="BX444" s="59">
        <v>4.8000000000000001E-2</v>
      </c>
      <c r="BY444" s="59">
        <v>0</v>
      </c>
      <c r="BZ444" s="59">
        <v>0</v>
      </c>
      <c r="CA444" s="49">
        <v>11.2</v>
      </c>
      <c r="CB444" s="59">
        <f t="shared" si="31"/>
        <v>9.3099999999999988E-2</v>
      </c>
      <c r="CC444" s="59">
        <v>0.27750000000000002</v>
      </c>
      <c r="CD444" s="59">
        <v>0.46479999999999999</v>
      </c>
      <c r="CE444" s="59">
        <v>0.2152</v>
      </c>
      <c r="CF444" s="59">
        <v>2.8799999999999999E-2</v>
      </c>
      <c r="CG444" s="59">
        <v>1.37E-2</v>
      </c>
      <c r="CH444" s="49">
        <v>13.3</v>
      </c>
      <c r="CI444" s="39" t="s">
        <v>229</v>
      </c>
      <c r="CJ444" s="18" t="s">
        <v>479</v>
      </c>
      <c r="CK444" s="20"/>
    </row>
    <row r="445" spans="1:99" x14ac:dyDescent="0.25">
      <c r="A445" s="18" t="s">
        <v>479</v>
      </c>
      <c r="B445" s="39" t="s">
        <v>219</v>
      </c>
      <c r="C445" s="39" t="s">
        <v>230</v>
      </c>
      <c r="D445" s="40">
        <v>153</v>
      </c>
      <c r="E445" s="40" t="s">
        <v>83</v>
      </c>
      <c r="F445" s="40">
        <v>153</v>
      </c>
      <c r="G445" s="162" t="s">
        <v>83</v>
      </c>
      <c r="H445" s="162" t="s">
        <v>83</v>
      </c>
      <c r="I445" s="163">
        <v>0</v>
      </c>
      <c r="J445" s="166">
        <v>58</v>
      </c>
      <c r="K445" s="166">
        <v>44</v>
      </c>
      <c r="L445" s="166">
        <v>28</v>
      </c>
      <c r="M445" s="166">
        <v>23</v>
      </c>
      <c r="N445" s="119">
        <v>9.3980343980343994E-2</v>
      </c>
      <c r="O445" s="119">
        <v>9.3980343980343994E-2</v>
      </c>
      <c r="P445" s="116" t="s">
        <v>83</v>
      </c>
      <c r="Q445" s="116" t="s">
        <v>83</v>
      </c>
      <c r="R445" s="115">
        <v>0</v>
      </c>
      <c r="S445" s="119">
        <v>9.96563573883162E-2</v>
      </c>
      <c r="T445" s="119">
        <v>0.117021276595745</v>
      </c>
      <c r="U445" s="119">
        <v>8.0924855491329495E-2</v>
      </c>
      <c r="V445" s="119">
        <v>7.7441077441077394E-2</v>
      </c>
      <c r="W445" s="40">
        <v>1379</v>
      </c>
      <c r="X445" s="40">
        <f t="shared" si="32"/>
        <v>1379</v>
      </c>
      <c r="Y445" s="40">
        <f t="shared" si="33"/>
        <v>1379</v>
      </c>
      <c r="Z445" s="105">
        <v>0.46482958665699797</v>
      </c>
      <c r="AA445" s="105">
        <v>0.53517041334300197</v>
      </c>
      <c r="AB445" s="106">
        <f>3/1379</f>
        <v>2.1754894851341551E-3</v>
      </c>
      <c r="AC445" s="106">
        <f>38/1379</f>
        <v>2.7556200145032631E-2</v>
      </c>
      <c r="AD445" s="106">
        <f>736/1379</f>
        <v>0.5337200870195794</v>
      </c>
      <c r="AE445" s="106">
        <f>408/1379</f>
        <v>0.29586656997824512</v>
      </c>
      <c r="AF445" s="106">
        <f>4/1379</f>
        <v>2.9006526468455403E-3</v>
      </c>
      <c r="AG445" s="106">
        <f>176/1379</f>
        <v>0.12762871646120377</v>
      </c>
      <c r="AH445" s="106">
        <f>14/1379</f>
        <v>1.015228426395939E-2</v>
      </c>
      <c r="AI445" s="106">
        <f>1203/1379</f>
        <v>0.87237128353879623</v>
      </c>
      <c r="AJ445" s="105">
        <v>0.86149383611312547</v>
      </c>
      <c r="AK445" s="105">
        <v>0.21247280638143601</v>
      </c>
      <c r="AL445" s="12">
        <v>0</v>
      </c>
      <c r="AM445" s="12">
        <v>0</v>
      </c>
      <c r="AN445" s="12">
        <v>23</v>
      </c>
      <c r="AO445" s="12">
        <v>457</v>
      </c>
      <c r="AP445" s="12">
        <v>323</v>
      </c>
      <c r="AQ445" s="12">
        <v>298</v>
      </c>
      <c r="AR445" s="12">
        <v>278</v>
      </c>
      <c r="AS445" s="59">
        <v>4.791666666666667E-2</v>
      </c>
      <c r="AT445" s="3">
        <v>9</v>
      </c>
      <c r="AU445" s="3">
        <v>6</v>
      </c>
      <c r="AV445" s="52">
        <v>37.200000000000003</v>
      </c>
      <c r="AW445" s="52">
        <v>8.8000000000000007</v>
      </c>
      <c r="AX445" s="52">
        <v>18.100000000000001</v>
      </c>
      <c r="AY445" s="71">
        <v>35.9</v>
      </c>
      <c r="AZ445" s="59">
        <v>0.31133888532991671</v>
      </c>
      <c r="BA445" s="59">
        <v>0.14541960281870595</v>
      </c>
      <c r="BB445" s="77">
        <v>87.987416766704996</v>
      </c>
      <c r="BC445" s="49">
        <v>75.1875</v>
      </c>
      <c r="BD445" s="90" t="s">
        <v>83</v>
      </c>
      <c r="BE445" s="90" t="s">
        <v>83</v>
      </c>
      <c r="BF445" s="49">
        <v>11.9</v>
      </c>
      <c r="BG445" s="49">
        <v>6.4</v>
      </c>
      <c r="BH445" s="49">
        <v>5.3</v>
      </c>
      <c r="BI445" s="49">
        <v>1.5</v>
      </c>
      <c r="BJ445" s="49">
        <v>17.100000000000001</v>
      </c>
      <c r="BK445" s="126">
        <v>10362</v>
      </c>
      <c r="BL445" s="126">
        <v>49997</v>
      </c>
      <c r="BM445" s="126">
        <v>46572</v>
      </c>
      <c r="BN445" s="126">
        <v>42769</v>
      </c>
      <c r="BO445" s="59">
        <v>7.4999999999999997E-3</v>
      </c>
      <c r="BP445" s="59">
        <v>0.36109999999999998</v>
      </c>
      <c r="BQ445" s="59">
        <v>0.18720000000000001</v>
      </c>
      <c r="BR445" s="59">
        <v>0</v>
      </c>
      <c r="BS445" s="59">
        <v>0</v>
      </c>
      <c r="BT445" s="49">
        <v>12.5</v>
      </c>
      <c r="BU445" s="59">
        <f t="shared" si="30"/>
        <v>0.55579999999999996</v>
      </c>
      <c r="BV445" s="59">
        <v>3.7600000000000001E-2</v>
      </c>
      <c r="BW445" s="59">
        <v>7.4999999999999997E-3</v>
      </c>
      <c r="BX445" s="59">
        <v>4.5100000000000001E-2</v>
      </c>
      <c r="BY445" s="59">
        <v>0</v>
      </c>
      <c r="BZ445" s="59">
        <v>0</v>
      </c>
      <c r="CA445" s="49">
        <v>10.199999999999999</v>
      </c>
      <c r="CB445" s="59">
        <f t="shared" si="31"/>
        <v>9.0200000000000002E-2</v>
      </c>
      <c r="CC445" s="59">
        <v>0.26419999999999999</v>
      </c>
      <c r="CD445" s="59">
        <v>0.44719999999999999</v>
      </c>
      <c r="CE445" s="59">
        <v>0.27360000000000001</v>
      </c>
      <c r="CF445" s="59">
        <v>1.4999999999999999E-2</v>
      </c>
      <c r="CG445" s="59">
        <v>0</v>
      </c>
      <c r="CH445" s="49">
        <v>11.5</v>
      </c>
      <c r="CI445" s="39" t="s">
        <v>230</v>
      </c>
      <c r="CJ445" s="18" t="s">
        <v>479</v>
      </c>
      <c r="CK445" s="20"/>
    </row>
    <row r="446" spans="1:99" x14ac:dyDescent="0.25">
      <c r="A446" s="18" t="s">
        <v>479</v>
      </c>
      <c r="B446" s="39" t="s">
        <v>219</v>
      </c>
      <c r="C446" s="39" t="s">
        <v>231</v>
      </c>
      <c r="D446" s="40">
        <v>1</v>
      </c>
      <c r="E446" s="40">
        <v>0</v>
      </c>
      <c r="F446" s="40">
        <v>1</v>
      </c>
      <c r="G446" s="163">
        <v>0</v>
      </c>
      <c r="H446" s="163">
        <v>0</v>
      </c>
      <c r="I446" s="162" t="s">
        <v>83</v>
      </c>
      <c r="J446" s="166">
        <v>1</v>
      </c>
      <c r="K446" s="163">
        <v>0</v>
      </c>
      <c r="L446" s="163">
        <v>0</v>
      </c>
      <c r="M446" s="163">
        <v>0</v>
      </c>
      <c r="N446" s="119">
        <v>2.3148148148148099E-3</v>
      </c>
      <c r="O446" s="119">
        <v>4.3668122270742399E-3</v>
      </c>
      <c r="P446" s="115">
        <v>0</v>
      </c>
      <c r="Q446" s="115">
        <v>0</v>
      </c>
      <c r="R446" s="116" t="s">
        <v>83</v>
      </c>
      <c r="S446" s="119">
        <v>1.0989010989011E-2</v>
      </c>
      <c r="T446" s="115">
        <v>0</v>
      </c>
      <c r="U446" s="115">
        <v>0</v>
      </c>
      <c r="V446" s="115">
        <v>0</v>
      </c>
      <c r="W446" s="40">
        <v>545</v>
      </c>
      <c r="X446" s="40">
        <f t="shared" si="32"/>
        <v>224</v>
      </c>
      <c r="Y446" s="40">
        <f t="shared" si="33"/>
        <v>421</v>
      </c>
      <c r="Z446" s="105">
        <v>0.464220183486239</v>
      </c>
      <c r="AA446" s="105">
        <v>0.53577981651376205</v>
      </c>
      <c r="AB446" s="106">
        <f>2/545</f>
        <v>3.669724770642202E-3</v>
      </c>
      <c r="AC446" s="106">
        <f>68/545</f>
        <v>0.12477064220183487</v>
      </c>
      <c r="AD446" s="106">
        <f>97/545</f>
        <v>0.1779816513761468</v>
      </c>
      <c r="AE446" s="106">
        <f>70/545</f>
        <v>0.12844036697247707</v>
      </c>
      <c r="AF446" s="106">
        <v>0</v>
      </c>
      <c r="AG446" s="106">
        <f>297/545</f>
        <v>0.54495412844036695</v>
      </c>
      <c r="AH446" s="106">
        <f>11/545</f>
        <v>2.0183486238532111E-2</v>
      </c>
      <c r="AI446" s="106">
        <f>248/545</f>
        <v>0.45504587155963305</v>
      </c>
      <c r="AJ446" s="105">
        <v>0.37798165137614681</v>
      </c>
      <c r="AK446" s="105">
        <v>1.8348623853210999E-3</v>
      </c>
      <c r="AL446" s="12">
        <v>101</v>
      </c>
      <c r="AM446" s="12">
        <v>96</v>
      </c>
      <c r="AN446" s="12">
        <v>0</v>
      </c>
      <c r="AO446" s="12">
        <v>86</v>
      </c>
      <c r="AP446" s="12">
        <v>68</v>
      </c>
      <c r="AQ446" s="12">
        <v>31</v>
      </c>
      <c r="AR446" s="12">
        <v>39</v>
      </c>
      <c r="AS446" s="59">
        <v>0</v>
      </c>
      <c r="AT446" s="3">
        <v>6</v>
      </c>
      <c r="AU446" s="3">
        <v>7</v>
      </c>
      <c r="AV446" s="52">
        <v>46.2</v>
      </c>
      <c r="AW446" s="52">
        <v>19.3</v>
      </c>
      <c r="AX446" s="52">
        <v>26.9</v>
      </c>
      <c r="AY446" s="71">
        <v>7.6</v>
      </c>
      <c r="AZ446" s="59">
        <v>2.333931777378815E-2</v>
      </c>
      <c r="BA446" s="59">
        <v>2.6929982046678635E-2</v>
      </c>
      <c r="BB446" s="78">
        <v>96.788278984150097</v>
      </c>
      <c r="BC446" s="49">
        <v>17.773788150807899</v>
      </c>
      <c r="BD446" s="49">
        <v>0</v>
      </c>
      <c r="BE446" s="49">
        <v>0</v>
      </c>
      <c r="BF446" s="49">
        <v>0</v>
      </c>
      <c r="BG446" s="49">
        <v>0</v>
      </c>
      <c r="BH446" s="49">
        <v>0</v>
      </c>
      <c r="BI446" s="49">
        <v>0</v>
      </c>
      <c r="BJ446" s="49">
        <v>27.8</v>
      </c>
      <c r="BK446" s="126">
        <v>9909</v>
      </c>
      <c r="BL446" s="126">
        <v>50896</v>
      </c>
      <c r="BM446" s="126">
        <v>55211</v>
      </c>
      <c r="BN446" s="126">
        <v>44916</v>
      </c>
      <c r="BO446" s="59">
        <v>0</v>
      </c>
      <c r="BP446" s="59">
        <v>0.2185</v>
      </c>
      <c r="BQ446" s="59">
        <v>0.39700000000000002</v>
      </c>
      <c r="BR446" s="59">
        <v>1.9900000000000001E-2</v>
      </c>
      <c r="BS446" s="59">
        <v>2.6599999999999999E-2</v>
      </c>
      <c r="BT446" s="49">
        <v>11.7</v>
      </c>
      <c r="BU446" s="59">
        <f t="shared" si="30"/>
        <v>0.66200000000000003</v>
      </c>
      <c r="BV446" s="59">
        <v>1.9099999999999999E-2</v>
      </c>
      <c r="BW446" s="59">
        <v>1.9900000000000001E-2</v>
      </c>
      <c r="BX446" s="59">
        <v>3.9699999999999999E-2</v>
      </c>
      <c r="BY446" s="59">
        <v>0</v>
      </c>
      <c r="BZ446" s="59">
        <v>0</v>
      </c>
      <c r="CA446" s="49">
        <v>11.4</v>
      </c>
      <c r="CB446" s="59">
        <f t="shared" si="31"/>
        <v>7.8699999999999992E-2</v>
      </c>
      <c r="CC446" s="59">
        <v>0.2389</v>
      </c>
      <c r="CD446" s="59">
        <v>0.23830000000000001</v>
      </c>
      <c r="CE446" s="59">
        <v>0.47639999999999999</v>
      </c>
      <c r="CF446" s="59">
        <v>1.9900000000000001E-2</v>
      </c>
      <c r="CG446" s="59">
        <v>2.6599999999999999E-2</v>
      </c>
      <c r="CH446" s="49">
        <v>11</v>
      </c>
      <c r="CI446" s="39" t="s">
        <v>231</v>
      </c>
      <c r="CJ446" s="18" t="s">
        <v>479</v>
      </c>
      <c r="CK446" s="20"/>
    </row>
    <row r="447" spans="1:99" ht="15.75" thickBot="1" x14ac:dyDescent="0.3">
      <c r="A447" s="18" t="s">
        <v>479</v>
      </c>
      <c r="B447" s="39" t="s">
        <v>219</v>
      </c>
      <c r="C447" s="39" t="s">
        <v>232</v>
      </c>
      <c r="D447" s="40">
        <v>0</v>
      </c>
      <c r="E447" s="40" t="s">
        <v>83</v>
      </c>
      <c r="F447" s="40">
        <v>0</v>
      </c>
      <c r="G447" s="162" t="s">
        <v>83</v>
      </c>
      <c r="H447" s="162" t="s">
        <v>83</v>
      </c>
      <c r="I447" s="162" t="s">
        <v>83</v>
      </c>
      <c r="J447" s="163">
        <v>0</v>
      </c>
      <c r="K447" s="163">
        <v>0</v>
      </c>
      <c r="L447" s="163">
        <v>0</v>
      </c>
      <c r="M447" s="163">
        <v>0</v>
      </c>
      <c r="N447" s="115">
        <v>0</v>
      </c>
      <c r="O447" s="115">
        <v>0</v>
      </c>
      <c r="P447" s="116" t="s">
        <v>83</v>
      </c>
      <c r="Q447" s="116" t="s">
        <v>83</v>
      </c>
      <c r="R447" s="116" t="s">
        <v>83</v>
      </c>
      <c r="S447" s="115">
        <v>0</v>
      </c>
      <c r="T447" s="115">
        <v>0</v>
      </c>
      <c r="U447" s="115">
        <v>0</v>
      </c>
      <c r="V447" s="115">
        <v>0</v>
      </c>
      <c r="W447" s="40">
        <v>389</v>
      </c>
      <c r="X447" s="40">
        <f t="shared" si="32"/>
        <v>389</v>
      </c>
      <c r="Y447" s="40">
        <f t="shared" si="33"/>
        <v>389</v>
      </c>
      <c r="Z447" s="105">
        <v>0.51413881748071999</v>
      </c>
      <c r="AA447" s="105">
        <v>0.48586118251928001</v>
      </c>
      <c r="AB447" s="106">
        <f>3/389</f>
        <v>7.7120822622107968E-3</v>
      </c>
      <c r="AC447" s="106">
        <f>57/389</f>
        <v>0.14652956298200515</v>
      </c>
      <c r="AD447" s="106">
        <f>123/389</f>
        <v>0.31619537275064269</v>
      </c>
      <c r="AE447" s="106">
        <f>31/389</f>
        <v>7.9691516709511565E-2</v>
      </c>
      <c r="AF447" s="106">
        <f>2/389</f>
        <v>5.1413881748071976E-3</v>
      </c>
      <c r="AG447" s="106">
        <f>156/389</f>
        <v>0.40102827763496146</v>
      </c>
      <c r="AH447" s="106">
        <f>17/389</f>
        <v>4.3701799485861184E-2</v>
      </c>
      <c r="AI447" s="106">
        <f>233/389</f>
        <v>0.59897172236503859</v>
      </c>
      <c r="AJ447" s="105">
        <v>0.43701799485861181</v>
      </c>
      <c r="AK447" s="105">
        <v>0</v>
      </c>
      <c r="AL447" s="12">
        <v>0</v>
      </c>
      <c r="AM447" s="12">
        <v>0</v>
      </c>
      <c r="AN447" s="12">
        <v>0</v>
      </c>
      <c r="AO447" s="12">
        <v>99</v>
      </c>
      <c r="AP447" s="12">
        <v>87</v>
      </c>
      <c r="AQ447" s="12">
        <v>98</v>
      </c>
      <c r="AR447" s="12">
        <v>105</v>
      </c>
      <c r="AS447" s="59">
        <v>0</v>
      </c>
      <c r="AT447" s="3">
        <v>9</v>
      </c>
      <c r="AU447" s="3">
        <v>7</v>
      </c>
      <c r="AV447" s="52">
        <v>66.5</v>
      </c>
      <c r="AW447" s="52">
        <v>15.3</v>
      </c>
      <c r="AX447" s="52">
        <v>17.7</v>
      </c>
      <c r="AY447" s="71">
        <v>0.5</v>
      </c>
      <c r="AZ447" s="59">
        <v>1.7811704834605598E-2</v>
      </c>
      <c r="BA447" s="59">
        <v>2.5445292620865138E-2</v>
      </c>
      <c r="BB447" s="77">
        <v>96.277514669526099</v>
      </c>
      <c r="BC447" s="49">
        <v>0.25445292620865101</v>
      </c>
      <c r="BD447" s="90" t="s">
        <v>83</v>
      </c>
      <c r="BE447" s="90" t="s">
        <v>83</v>
      </c>
      <c r="BF447" s="49">
        <v>0</v>
      </c>
      <c r="BG447" s="49">
        <v>0</v>
      </c>
      <c r="BH447" s="49">
        <v>0</v>
      </c>
      <c r="BI447" s="49">
        <v>0</v>
      </c>
      <c r="BJ447" s="49">
        <v>26.4</v>
      </c>
      <c r="BK447" s="126">
        <v>11496</v>
      </c>
      <c r="BL447" s="126">
        <v>55780</v>
      </c>
      <c r="BM447" s="126">
        <v>43959</v>
      </c>
      <c r="BN447" s="126">
        <v>44487</v>
      </c>
      <c r="BO447" s="59">
        <v>0</v>
      </c>
      <c r="BP447" s="59">
        <v>0.35110000000000002</v>
      </c>
      <c r="BQ447" s="59">
        <v>0.19750000000000001</v>
      </c>
      <c r="BR447" s="59">
        <v>0</v>
      </c>
      <c r="BS447" s="59">
        <v>0</v>
      </c>
      <c r="BT447" s="49">
        <v>14.5</v>
      </c>
      <c r="BU447" s="59">
        <f t="shared" si="30"/>
        <v>0.54859999999999998</v>
      </c>
      <c r="BV447" s="59">
        <v>8.7800000000000003E-2</v>
      </c>
      <c r="BW447" s="59">
        <v>0</v>
      </c>
      <c r="BX447" s="59">
        <v>4.3900000000000002E-2</v>
      </c>
      <c r="BY447" s="59">
        <v>0</v>
      </c>
      <c r="BZ447" s="59">
        <v>0</v>
      </c>
      <c r="CA447" s="49">
        <v>18.5</v>
      </c>
      <c r="CB447" s="59">
        <f t="shared" si="31"/>
        <v>0.13170000000000001</v>
      </c>
      <c r="CC447" s="59">
        <v>0.3417</v>
      </c>
      <c r="CD447" s="59">
        <v>0.373</v>
      </c>
      <c r="CE447" s="59">
        <v>0.2853</v>
      </c>
      <c r="CF447" s="59">
        <v>0</v>
      </c>
      <c r="CG447" s="59">
        <v>0</v>
      </c>
      <c r="CH447" s="49">
        <v>13</v>
      </c>
      <c r="CI447" s="39" t="s">
        <v>232</v>
      </c>
      <c r="CJ447" s="18" t="s">
        <v>479</v>
      </c>
      <c r="CK447" s="20"/>
    </row>
    <row r="448" spans="1:99" s="1" customFormat="1" ht="21" customHeight="1" x14ac:dyDescent="0.25">
      <c r="A448" s="21" t="s">
        <v>0</v>
      </c>
      <c r="B448" s="22" t="s">
        <v>1</v>
      </c>
      <c r="C448" s="22" t="s">
        <v>2</v>
      </c>
      <c r="D448" s="9" t="s">
        <v>3</v>
      </c>
      <c r="E448" s="9" t="s">
        <v>4</v>
      </c>
      <c r="F448" s="9" t="s">
        <v>5</v>
      </c>
      <c r="G448" s="161" t="s">
        <v>565</v>
      </c>
      <c r="H448" s="161" t="s">
        <v>566</v>
      </c>
      <c r="I448" s="161" t="s">
        <v>567</v>
      </c>
      <c r="J448" s="161" t="s">
        <v>568</v>
      </c>
      <c r="K448" s="161" t="s">
        <v>569</v>
      </c>
      <c r="L448" s="161" t="s">
        <v>570</v>
      </c>
      <c r="M448" s="161" t="s">
        <v>571</v>
      </c>
      <c r="N448" s="120" t="s">
        <v>6</v>
      </c>
      <c r="O448" s="120" t="s">
        <v>7</v>
      </c>
      <c r="P448" s="120" t="s">
        <v>8</v>
      </c>
      <c r="Q448" s="120" t="s">
        <v>9</v>
      </c>
      <c r="R448" s="120" t="s">
        <v>10</v>
      </c>
      <c r="S448" s="120" t="s">
        <v>11</v>
      </c>
      <c r="T448" s="120" t="s">
        <v>12</v>
      </c>
      <c r="U448" s="120" t="s">
        <v>13</v>
      </c>
      <c r="V448" s="120" t="s">
        <v>14</v>
      </c>
      <c r="W448" s="41" t="s">
        <v>15</v>
      </c>
      <c r="X448" s="41" t="s">
        <v>16</v>
      </c>
      <c r="Y448" s="41" t="s">
        <v>17</v>
      </c>
      <c r="Z448" s="107" t="s">
        <v>18</v>
      </c>
      <c r="AA448" s="107" t="s">
        <v>19</v>
      </c>
      <c r="AB448" s="95" t="s">
        <v>20</v>
      </c>
      <c r="AC448" s="95" t="s">
        <v>21</v>
      </c>
      <c r="AD448" s="95" t="s">
        <v>22</v>
      </c>
      <c r="AE448" s="95" t="s">
        <v>23</v>
      </c>
      <c r="AF448" s="95" t="s">
        <v>24</v>
      </c>
      <c r="AG448" s="95" t="s">
        <v>25</v>
      </c>
      <c r="AH448" s="95" t="s">
        <v>26</v>
      </c>
      <c r="AI448" s="95" t="s">
        <v>27</v>
      </c>
      <c r="AJ448" s="95" t="s">
        <v>28</v>
      </c>
      <c r="AK448" s="107" t="s">
        <v>29</v>
      </c>
      <c r="AL448" s="42" t="s">
        <v>30</v>
      </c>
      <c r="AM448" s="42" t="s">
        <v>31</v>
      </c>
      <c r="AN448" s="42" t="s">
        <v>32</v>
      </c>
      <c r="AO448" s="42" t="s">
        <v>33</v>
      </c>
      <c r="AP448" s="42" t="s">
        <v>34</v>
      </c>
      <c r="AQ448" s="42" t="s">
        <v>35</v>
      </c>
      <c r="AR448" s="42" t="s">
        <v>36</v>
      </c>
      <c r="AS448" s="100" t="s">
        <v>37</v>
      </c>
      <c r="AT448" s="41" t="s">
        <v>38</v>
      </c>
      <c r="AU448" s="23" t="s">
        <v>39</v>
      </c>
      <c r="AV448" s="51" t="s">
        <v>40</v>
      </c>
      <c r="AW448" s="51" t="s">
        <v>41</v>
      </c>
      <c r="AX448" s="51" t="s">
        <v>42</v>
      </c>
      <c r="AY448" s="66" t="s">
        <v>43</v>
      </c>
      <c r="AZ448" s="58" t="s">
        <v>44</v>
      </c>
      <c r="BA448" s="58" t="s">
        <v>45</v>
      </c>
      <c r="BB448" s="75" t="s">
        <v>46</v>
      </c>
      <c r="BC448" s="83" t="s">
        <v>47</v>
      </c>
      <c r="BD448" s="89" t="s">
        <v>48</v>
      </c>
      <c r="BE448" s="89" t="s">
        <v>49</v>
      </c>
      <c r="BF448" s="89" t="s">
        <v>50</v>
      </c>
      <c r="BG448" s="89" t="s">
        <v>51</v>
      </c>
      <c r="BH448" s="89" t="s">
        <v>52</v>
      </c>
      <c r="BI448" s="89" t="s">
        <v>53</v>
      </c>
      <c r="BJ448" s="86" t="s">
        <v>54</v>
      </c>
      <c r="BK448" s="127" t="s">
        <v>55</v>
      </c>
      <c r="BL448" s="127" t="s">
        <v>56</v>
      </c>
      <c r="BM448" s="127" t="s">
        <v>57</v>
      </c>
      <c r="BN448" s="127" t="s">
        <v>58</v>
      </c>
      <c r="BO448" s="131" t="s">
        <v>59</v>
      </c>
      <c r="BP448" s="131" t="s">
        <v>60</v>
      </c>
      <c r="BQ448" s="131" t="s">
        <v>61</v>
      </c>
      <c r="BR448" s="131" t="s">
        <v>62</v>
      </c>
      <c r="BS448" s="131" t="s">
        <v>63</v>
      </c>
      <c r="BT448" s="131" t="s">
        <v>64</v>
      </c>
      <c r="BU448" s="131" t="s">
        <v>65</v>
      </c>
      <c r="BV448" s="132" t="s">
        <v>66</v>
      </c>
      <c r="BW448" s="132" t="s">
        <v>67</v>
      </c>
      <c r="BX448" s="132" t="s">
        <v>68</v>
      </c>
      <c r="BY448" s="132" t="s">
        <v>69</v>
      </c>
      <c r="BZ448" s="132" t="s">
        <v>70</v>
      </c>
      <c r="CA448" s="132" t="s">
        <v>71</v>
      </c>
      <c r="CB448" s="132" t="s">
        <v>72</v>
      </c>
      <c r="CC448" s="123" t="s">
        <v>73</v>
      </c>
      <c r="CD448" s="123" t="s">
        <v>74</v>
      </c>
      <c r="CE448" s="123" t="s">
        <v>75</v>
      </c>
      <c r="CF448" s="123" t="s">
        <v>76</v>
      </c>
      <c r="CG448" s="123" t="s">
        <v>77</v>
      </c>
      <c r="CH448" s="123" t="s">
        <v>78</v>
      </c>
      <c r="CI448" s="22" t="s">
        <v>2</v>
      </c>
      <c r="CJ448" s="21" t="s">
        <v>0</v>
      </c>
      <c r="CK448" s="24" t="s">
        <v>79</v>
      </c>
      <c r="CL448"/>
      <c r="CM448"/>
      <c r="CN448"/>
      <c r="CO448"/>
      <c r="CP448"/>
      <c r="CQ448"/>
      <c r="CR448"/>
      <c r="CS448"/>
      <c r="CT448"/>
      <c r="CU448"/>
    </row>
    <row r="449" spans="1:89" x14ac:dyDescent="0.25">
      <c r="A449" s="18" t="s">
        <v>479</v>
      </c>
      <c r="B449" s="39" t="s">
        <v>233</v>
      </c>
      <c r="C449" s="39" t="s">
        <v>234</v>
      </c>
      <c r="D449" s="40">
        <v>0</v>
      </c>
      <c r="E449" s="40">
        <v>0</v>
      </c>
      <c r="F449" s="40">
        <v>0</v>
      </c>
      <c r="G449" s="163">
        <v>0</v>
      </c>
      <c r="H449" s="163">
        <v>0</v>
      </c>
      <c r="I449" s="162" t="s">
        <v>83</v>
      </c>
      <c r="J449" s="163">
        <v>0</v>
      </c>
      <c r="K449" s="163">
        <v>0</v>
      </c>
      <c r="L449" s="163">
        <v>0</v>
      </c>
      <c r="M449" s="163">
        <v>0</v>
      </c>
      <c r="N449" s="115">
        <v>0</v>
      </c>
      <c r="O449" s="115">
        <v>0</v>
      </c>
      <c r="P449" s="115">
        <v>0</v>
      </c>
      <c r="Q449" s="115">
        <v>0</v>
      </c>
      <c r="R449" s="116" t="s">
        <v>83</v>
      </c>
      <c r="S449" s="115">
        <v>0</v>
      </c>
      <c r="T449" s="115">
        <v>0</v>
      </c>
      <c r="U449" s="115">
        <v>0</v>
      </c>
      <c r="V449" s="115">
        <v>0</v>
      </c>
      <c r="W449" s="40">
        <v>234</v>
      </c>
      <c r="X449" s="40">
        <f t="shared" ref="X449:X480" si="34">SUM(AN449:AR449)</f>
        <v>134</v>
      </c>
      <c r="Y449" s="40">
        <f t="shared" ref="Y449:Y480" si="35">SUM(AL449:AR449)</f>
        <v>207</v>
      </c>
      <c r="Z449" s="105">
        <v>0.48290598290598302</v>
      </c>
      <c r="AA449" s="105">
        <v>0.51709401709401703</v>
      </c>
      <c r="AB449" s="106">
        <f>39/234</f>
        <v>0.16666666666666666</v>
      </c>
      <c r="AC449" s="106">
        <f>1/234</f>
        <v>4.2735042735042739E-3</v>
      </c>
      <c r="AD449" s="106">
        <f>65/234</f>
        <v>0.27777777777777779</v>
      </c>
      <c r="AE449" s="106">
        <f>6/234</f>
        <v>2.564102564102564E-2</v>
      </c>
      <c r="AF449" s="106">
        <v>0</v>
      </c>
      <c r="AG449" s="106">
        <f>116/234</f>
        <v>0.49572649572649574</v>
      </c>
      <c r="AH449" s="106">
        <f>7/234</f>
        <v>2.9914529914529916E-2</v>
      </c>
      <c r="AI449" s="106">
        <f>118/234</f>
        <v>0.50427350427350426</v>
      </c>
      <c r="AJ449" s="105">
        <v>0.52991452991452992</v>
      </c>
      <c r="AK449" s="105">
        <v>4.2735042735042696E-3</v>
      </c>
      <c r="AL449" s="12">
        <v>36</v>
      </c>
      <c r="AM449" s="12">
        <v>37</v>
      </c>
      <c r="AN449" s="12">
        <v>0</v>
      </c>
      <c r="AO449" s="12">
        <v>37</v>
      </c>
      <c r="AP449" s="12">
        <v>39</v>
      </c>
      <c r="AQ449" s="12">
        <v>28</v>
      </c>
      <c r="AR449" s="12">
        <v>30</v>
      </c>
      <c r="AS449" s="59">
        <v>0</v>
      </c>
      <c r="AT449" s="3">
        <v>6</v>
      </c>
      <c r="AU449" s="3">
        <v>6</v>
      </c>
      <c r="AV449" s="52">
        <v>88.1</v>
      </c>
      <c r="AW449" s="52">
        <v>9.6</v>
      </c>
      <c r="AX449" s="52">
        <v>2.2000000000000002</v>
      </c>
      <c r="AY449" s="70">
        <v>0</v>
      </c>
      <c r="AZ449" s="59">
        <v>0.21848739495798319</v>
      </c>
      <c r="BA449" s="59">
        <v>0.16806722689075632</v>
      </c>
      <c r="BB449" s="78">
        <v>93.159485088193406</v>
      </c>
      <c r="BC449" s="49">
        <v>21.848739495798299</v>
      </c>
      <c r="BD449" s="49">
        <v>2.9</v>
      </c>
      <c r="BE449" s="49">
        <v>0</v>
      </c>
      <c r="BF449" s="49">
        <v>2.9</v>
      </c>
      <c r="BG449" s="49">
        <v>0</v>
      </c>
      <c r="BH449" s="49">
        <v>0</v>
      </c>
      <c r="BI449" s="49">
        <v>3.3</v>
      </c>
      <c r="BJ449" s="49">
        <v>20.8</v>
      </c>
      <c r="BK449" s="129">
        <v>13224</v>
      </c>
      <c r="BL449" s="129">
        <v>53010</v>
      </c>
      <c r="BM449" s="129">
        <v>41949</v>
      </c>
      <c r="BN449" s="129">
        <v>42324</v>
      </c>
      <c r="BO449" s="59">
        <v>0</v>
      </c>
      <c r="BP449" s="59">
        <v>0.3014</v>
      </c>
      <c r="BQ449" s="59">
        <v>0.20810000000000001</v>
      </c>
      <c r="BR449" s="59">
        <v>0</v>
      </c>
      <c r="BS449" s="59">
        <v>0</v>
      </c>
      <c r="BT449" s="49">
        <v>14.6</v>
      </c>
      <c r="BU449" s="59">
        <f t="shared" si="30"/>
        <v>0.50950000000000006</v>
      </c>
      <c r="BV449" s="59">
        <v>8.3099999999999993E-2</v>
      </c>
      <c r="BW449" s="59">
        <v>0</v>
      </c>
      <c r="BX449" s="59">
        <v>5.6399999999999999E-2</v>
      </c>
      <c r="BY449" s="59">
        <v>0</v>
      </c>
      <c r="BZ449" s="59">
        <v>0</v>
      </c>
      <c r="CA449" s="49">
        <v>14</v>
      </c>
      <c r="CB449" s="59">
        <f t="shared" si="31"/>
        <v>0.13949999999999999</v>
      </c>
      <c r="CC449" s="59">
        <v>0.3614</v>
      </c>
      <c r="CD449" s="59">
        <v>0.3296</v>
      </c>
      <c r="CE449" s="59">
        <v>0.309</v>
      </c>
      <c r="CF449" s="59">
        <v>0</v>
      </c>
      <c r="CG449" s="59">
        <v>0</v>
      </c>
      <c r="CH449" s="49">
        <v>13.5</v>
      </c>
      <c r="CI449" s="39" t="s">
        <v>234</v>
      </c>
      <c r="CJ449" s="18" t="s">
        <v>479</v>
      </c>
      <c r="CK449" s="20"/>
    </row>
    <row r="450" spans="1:89" x14ac:dyDescent="0.25">
      <c r="A450" s="18" t="s">
        <v>479</v>
      </c>
      <c r="B450" s="39" t="s">
        <v>233</v>
      </c>
      <c r="C450" s="39" t="s">
        <v>235</v>
      </c>
      <c r="D450" s="40">
        <v>1</v>
      </c>
      <c r="E450" s="40">
        <v>0</v>
      </c>
      <c r="F450" s="40">
        <v>1</v>
      </c>
      <c r="G450" s="163">
        <v>0</v>
      </c>
      <c r="H450" s="163">
        <v>0</v>
      </c>
      <c r="I450" s="162" t="s">
        <v>83</v>
      </c>
      <c r="J450" s="163">
        <v>0</v>
      </c>
      <c r="K450" s="166">
        <v>1</v>
      </c>
      <c r="L450" s="163">
        <v>0</v>
      </c>
      <c r="M450" s="163">
        <v>0</v>
      </c>
      <c r="N450" s="119">
        <v>4.5045045045045001E-3</v>
      </c>
      <c r="O450" s="119">
        <v>6.9930069930069904E-3</v>
      </c>
      <c r="P450" s="115">
        <v>0</v>
      </c>
      <c r="Q450" s="115">
        <v>0</v>
      </c>
      <c r="R450" s="116" t="s">
        <v>83</v>
      </c>
      <c r="S450" s="115">
        <v>0</v>
      </c>
      <c r="T450" s="119">
        <v>3.4482758620689703E-2</v>
      </c>
      <c r="U450" s="115">
        <v>0</v>
      </c>
      <c r="V450" s="115">
        <v>0</v>
      </c>
      <c r="W450" s="40">
        <v>522</v>
      </c>
      <c r="X450" s="40">
        <f t="shared" si="34"/>
        <v>135</v>
      </c>
      <c r="Y450" s="40">
        <f t="shared" si="35"/>
        <v>213</v>
      </c>
      <c r="Z450" s="105">
        <v>0.46551724137931</v>
      </c>
      <c r="AA450" s="105">
        <v>0.53448275862068995</v>
      </c>
      <c r="AB450" s="106">
        <f>4/522</f>
        <v>7.6628352490421452E-3</v>
      </c>
      <c r="AC450" s="106">
        <v>0</v>
      </c>
      <c r="AD450" s="106">
        <f>4/522</f>
        <v>7.6628352490421452E-3</v>
      </c>
      <c r="AE450" s="106">
        <f>16/522</f>
        <v>3.0651340996168581E-2</v>
      </c>
      <c r="AF450" s="106">
        <v>0</v>
      </c>
      <c r="AG450" s="106">
        <f>485/522</f>
        <v>0.92911877394636011</v>
      </c>
      <c r="AH450" s="106">
        <f>13/522</f>
        <v>2.4904214559386972E-2</v>
      </c>
      <c r="AI450" s="106">
        <f>37/522</f>
        <v>7.0881226053639848E-2</v>
      </c>
      <c r="AJ450" s="105">
        <v>0.44636015325670497</v>
      </c>
      <c r="AK450" s="105">
        <v>3.83141762452107E-3</v>
      </c>
      <c r="AL450" s="12">
        <v>42</v>
      </c>
      <c r="AM450" s="12">
        <v>36</v>
      </c>
      <c r="AN450" s="12">
        <v>0</v>
      </c>
      <c r="AO450" s="12">
        <v>34</v>
      </c>
      <c r="AP450" s="12">
        <v>28</v>
      </c>
      <c r="AQ450" s="12">
        <v>39</v>
      </c>
      <c r="AR450" s="12">
        <v>34</v>
      </c>
      <c r="AS450" s="59">
        <v>0</v>
      </c>
      <c r="AT450" s="3">
        <v>1</v>
      </c>
      <c r="AU450" s="3">
        <v>6</v>
      </c>
      <c r="AV450" s="52">
        <v>74.400000000000006</v>
      </c>
      <c r="AW450" s="52">
        <v>18.600000000000001</v>
      </c>
      <c r="AX450" s="52">
        <v>4</v>
      </c>
      <c r="AY450" s="71">
        <v>3</v>
      </c>
      <c r="AZ450" s="59">
        <v>0.15257352941176472</v>
      </c>
      <c r="BA450" s="59">
        <v>7.169117647058823E-2</v>
      </c>
      <c r="BB450" s="77">
        <v>95.613105488585703</v>
      </c>
      <c r="BC450" s="49">
        <v>10.980392156862701</v>
      </c>
      <c r="BD450" s="49">
        <v>0</v>
      </c>
      <c r="BE450" s="49">
        <v>0</v>
      </c>
      <c r="BF450" s="49">
        <v>0</v>
      </c>
      <c r="BG450" s="49">
        <v>0</v>
      </c>
      <c r="BH450" s="49">
        <v>2.6</v>
      </c>
      <c r="BI450" s="49">
        <v>0</v>
      </c>
      <c r="BJ450" s="49">
        <v>19.899999999999999</v>
      </c>
      <c r="BK450" s="129">
        <v>10316</v>
      </c>
      <c r="BL450" s="129">
        <v>48583</v>
      </c>
      <c r="BM450" s="129">
        <v>54553</v>
      </c>
      <c r="BN450" s="129">
        <v>39180</v>
      </c>
      <c r="BO450" s="59">
        <v>0</v>
      </c>
      <c r="BP450" s="59">
        <v>0.4158</v>
      </c>
      <c r="BQ450" s="59">
        <v>0.13650000000000001</v>
      </c>
      <c r="BR450" s="59">
        <v>0</v>
      </c>
      <c r="BS450" s="59">
        <v>0</v>
      </c>
      <c r="BT450" s="49">
        <v>12.4</v>
      </c>
      <c r="BU450" s="59">
        <f t="shared" si="30"/>
        <v>0.55230000000000001</v>
      </c>
      <c r="BV450" s="59">
        <v>3.2399999999999998E-2</v>
      </c>
      <c r="BW450" s="59">
        <v>0</v>
      </c>
      <c r="BX450" s="59">
        <v>1.6500000000000001E-2</v>
      </c>
      <c r="BY450" s="59">
        <v>1.2200000000000001E-2</v>
      </c>
      <c r="BZ450" s="59">
        <v>0</v>
      </c>
      <c r="CA450" s="49">
        <v>15.4</v>
      </c>
      <c r="CB450" s="59">
        <f t="shared" si="31"/>
        <v>6.1100000000000002E-2</v>
      </c>
      <c r="CC450" s="59">
        <v>0.3649</v>
      </c>
      <c r="CD450" s="59">
        <v>0.4158</v>
      </c>
      <c r="CE450" s="59">
        <v>0.20699999999999999</v>
      </c>
      <c r="CF450" s="59">
        <v>1.2200000000000001E-2</v>
      </c>
      <c r="CG450" s="59">
        <v>0</v>
      </c>
      <c r="CH450" s="49">
        <v>12.8</v>
      </c>
      <c r="CI450" s="39" t="s">
        <v>235</v>
      </c>
      <c r="CJ450" s="18" t="s">
        <v>479</v>
      </c>
      <c r="CK450" s="20"/>
    </row>
    <row r="451" spans="1:89" x14ac:dyDescent="0.25">
      <c r="A451" s="18" t="s">
        <v>479</v>
      </c>
      <c r="B451" s="39" t="s">
        <v>233</v>
      </c>
      <c r="C451" s="39" t="s">
        <v>236</v>
      </c>
      <c r="D451" s="40">
        <v>1</v>
      </c>
      <c r="E451" s="40">
        <v>0</v>
      </c>
      <c r="F451" s="40">
        <v>1</v>
      </c>
      <c r="G451" s="163">
        <v>0</v>
      </c>
      <c r="H451" s="163">
        <v>0</v>
      </c>
      <c r="I451" s="162" t="s">
        <v>83</v>
      </c>
      <c r="J451" s="163">
        <v>0</v>
      </c>
      <c r="K451" s="163">
        <v>0</v>
      </c>
      <c r="L451" s="163">
        <v>0</v>
      </c>
      <c r="M451" s="166">
        <v>1</v>
      </c>
      <c r="N451" s="119">
        <v>1.1037527593819E-3</v>
      </c>
      <c r="O451" s="119">
        <v>1.6313213703099501E-3</v>
      </c>
      <c r="P451" s="115">
        <v>0</v>
      </c>
      <c r="Q451" s="115">
        <v>0</v>
      </c>
      <c r="R451" s="116" t="s">
        <v>83</v>
      </c>
      <c r="S451" s="115">
        <v>0</v>
      </c>
      <c r="T451" s="115">
        <v>0</v>
      </c>
      <c r="U451" s="115">
        <v>0</v>
      </c>
      <c r="V451" s="119">
        <v>7.2992700729926996E-3</v>
      </c>
      <c r="W451" s="40">
        <v>844</v>
      </c>
      <c r="X451" s="40">
        <f t="shared" si="34"/>
        <v>575</v>
      </c>
      <c r="Y451" s="40">
        <f t="shared" si="35"/>
        <v>844</v>
      </c>
      <c r="Z451" s="105">
        <v>0.476303317535545</v>
      </c>
      <c r="AA451" s="105">
        <v>0.523696682464455</v>
      </c>
      <c r="AB451" s="106">
        <f>1/844</f>
        <v>1.1848341232227489E-3</v>
      </c>
      <c r="AC451" s="106">
        <f>6/844</f>
        <v>7.1090047393364926E-3</v>
      </c>
      <c r="AD451" s="106">
        <f>252/844</f>
        <v>0.29857819905213268</v>
      </c>
      <c r="AE451" s="106">
        <f>10/844</f>
        <v>1.1848341232227487E-2</v>
      </c>
      <c r="AF451" s="106">
        <f>2/844</f>
        <v>2.3696682464454978E-3</v>
      </c>
      <c r="AG451" s="106">
        <f>537/844</f>
        <v>0.63625592417061616</v>
      </c>
      <c r="AH451" s="106">
        <f>36/844</f>
        <v>4.2654028436018961E-2</v>
      </c>
      <c r="AI451" s="106">
        <f>307/844</f>
        <v>0.36374407582938389</v>
      </c>
      <c r="AJ451" s="105">
        <v>0.63625592417061616</v>
      </c>
      <c r="AK451" s="105">
        <v>2.3696682464455E-3</v>
      </c>
      <c r="AL451" s="12">
        <v>140</v>
      </c>
      <c r="AM451" s="12">
        <v>129</v>
      </c>
      <c r="AN451" s="12">
        <v>0</v>
      </c>
      <c r="AO451" s="12">
        <v>177</v>
      </c>
      <c r="AP451" s="12">
        <v>150</v>
      </c>
      <c r="AQ451" s="12">
        <v>114</v>
      </c>
      <c r="AR451" s="12">
        <v>134</v>
      </c>
      <c r="AS451" s="59">
        <v>0</v>
      </c>
      <c r="AT451" s="3">
        <v>7</v>
      </c>
      <c r="AU451" s="3">
        <v>6</v>
      </c>
      <c r="AV451" s="52">
        <v>72.5</v>
      </c>
      <c r="AW451" s="52">
        <v>21.4</v>
      </c>
      <c r="AX451" s="52">
        <v>5.2</v>
      </c>
      <c r="AY451" s="71">
        <v>0.9</v>
      </c>
      <c r="AZ451" s="59">
        <v>2.541436464088398E-2</v>
      </c>
      <c r="BA451" s="59">
        <v>0.19116022099447513</v>
      </c>
      <c r="BB451" s="78">
        <v>93.396417708685405</v>
      </c>
      <c r="BC451" s="49">
        <v>19.116022099447498</v>
      </c>
      <c r="BD451" s="49">
        <v>0.7</v>
      </c>
      <c r="BE451" s="49">
        <v>0.8</v>
      </c>
      <c r="BF451" s="49">
        <v>6.3</v>
      </c>
      <c r="BG451" s="49">
        <v>2.8</v>
      </c>
      <c r="BH451" s="49">
        <v>0.9</v>
      </c>
      <c r="BI451" s="49">
        <v>3.9</v>
      </c>
      <c r="BJ451" s="49">
        <v>19.2</v>
      </c>
      <c r="BK451" s="129">
        <v>10847</v>
      </c>
      <c r="BL451" s="129">
        <v>50937</v>
      </c>
      <c r="BM451" s="129">
        <v>45597</v>
      </c>
      <c r="BN451" s="129">
        <v>42605</v>
      </c>
      <c r="BO451" s="59">
        <v>0</v>
      </c>
      <c r="BP451" s="59">
        <v>0.40770000000000001</v>
      </c>
      <c r="BQ451" s="59">
        <v>0.16800000000000001</v>
      </c>
      <c r="BR451" s="59">
        <v>2.5999999999999999E-3</v>
      </c>
      <c r="BS451" s="59">
        <v>0</v>
      </c>
      <c r="BT451" s="49">
        <v>13.6</v>
      </c>
      <c r="BU451" s="59">
        <f t="shared" ref="BU451:BU514" si="36">SUM(BO451:BS451)</f>
        <v>0.57830000000000004</v>
      </c>
      <c r="BV451" s="59">
        <v>4.0800000000000003E-2</v>
      </c>
      <c r="BW451" s="59">
        <v>1.0200000000000001E-2</v>
      </c>
      <c r="BX451" s="59">
        <v>4.0300000000000002E-2</v>
      </c>
      <c r="BY451" s="59">
        <v>0</v>
      </c>
      <c r="BZ451" s="59">
        <v>0</v>
      </c>
      <c r="CA451" s="49">
        <v>14.1</v>
      </c>
      <c r="CB451" s="59">
        <f t="shared" ref="CB451:CB514" si="37">SUM(BV451:BZ451)</f>
        <v>9.1300000000000006E-2</v>
      </c>
      <c r="CC451" s="59">
        <v>0.30919999999999997</v>
      </c>
      <c r="CD451" s="59">
        <v>0.42809999999999998</v>
      </c>
      <c r="CE451" s="59">
        <v>0.2601</v>
      </c>
      <c r="CF451" s="59">
        <v>2.5999999999999999E-3</v>
      </c>
      <c r="CG451" s="59">
        <v>0</v>
      </c>
      <c r="CH451" s="49">
        <v>13.5</v>
      </c>
      <c r="CI451" s="39" t="s">
        <v>236</v>
      </c>
      <c r="CJ451" s="18" t="s">
        <v>479</v>
      </c>
      <c r="CK451" s="20"/>
    </row>
    <row r="452" spans="1:89" x14ac:dyDescent="0.25">
      <c r="A452" s="18" t="s">
        <v>479</v>
      </c>
      <c r="B452" s="39" t="s">
        <v>233</v>
      </c>
      <c r="C452" s="39" t="s">
        <v>237</v>
      </c>
      <c r="D452" s="40">
        <v>0</v>
      </c>
      <c r="E452" s="40">
        <v>0</v>
      </c>
      <c r="F452" s="40">
        <v>0</v>
      </c>
      <c r="G452" s="163">
        <v>0</v>
      </c>
      <c r="H452" s="163">
        <v>0</v>
      </c>
      <c r="I452" s="162" t="s">
        <v>83</v>
      </c>
      <c r="J452" s="163">
        <v>0</v>
      </c>
      <c r="K452" s="163">
        <v>0</v>
      </c>
      <c r="L452" s="163">
        <v>0</v>
      </c>
      <c r="M452" s="163">
        <v>0</v>
      </c>
      <c r="N452" s="115">
        <v>0</v>
      </c>
      <c r="O452" s="115">
        <v>0</v>
      </c>
      <c r="P452" s="115">
        <v>0</v>
      </c>
      <c r="Q452" s="115">
        <v>0</v>
      </c>
      <c r="R452" s="116" t="s">
        <v>83</v>
      </c>
      <c r="S452" s="115">
        <v>0</v>
      </c>
      <c r="T452" s="115">
        <v>0</v>
      </c>
      <c r="U452" s="115">
        <v>0</v>
      </c>
      <c r="V452" s="115">
        <v>0</v>
      </c>
      <c r="W452" s="40">
        <v>675</v>
      </c>
      <c r="X452" s="40">
        <f t="shared" si="34"/>
        <v>205</v>
      </c>
      <c r="Y452" s="40">
        <f t="shared" si="35"/>
        <v>302</v>
      </c>
      <c r="Z452" s="105">
        <v>0.50666666666666704</v>
      </c>
      <c r="AA452" s="105">
        <v>0.49333333333333301</v>
      </c>
      <c r="AB452" s="106">
        <f>1/675</f>
        <v>1.4814814814814814E-3</v>
      </c>
      <c r="AC452" s="106">
        <f>2/675</f>
        <v>2.9629629629629628E-3</v>
      </c>
      <c r="AD452" s="106">
        <f>38/675</f>
        <v>5.6296296296296296E-2</v>
      </c>
      <c r="AE452" s="106">
        <f>15/675</f>
        <v>2.2222222222222223E-2</v>
      </c>
      <c r="AF452" s="106">
        <v>0</v>
      </c>
      <c r="AG452" s="106">
        <f>606/675</f>
        <v>0.89777777777777779</v>
      </c>
      <c r="AH452" s="106">
        <f>13/675</f>
        <v>1.9259259259259261E-2</v>
      </c>
      <c r="AI452" s="106">
        <f>69/675</f>
        <v>0.10222222222222223</v>
      </c>
      <c r="AJ452" s="105">
        <v>0.52296296296296296</v>
      </c>
      <c r="AK452" s="105">
        <v>5.92592592592593E-3</v>
      </c>
      <c r="AL452" s="12">
        <v>54</v>
      </c>
      <c r="AM452" s="12">
        <v>43</v>
      </c>
      <c r="AN452" s="12">
        <v>0</v>
      </c>
      <c r="AO452" s="12">
        <v>68</v>
      </c>
      <c r="AP452" s="12">
        <v>43</v>
      </c>
      <c r="AQ452" s="12">
        <v>39</v>
      </c>
      <c r="AR452" s="12">
        <v>55</v>
      </c>
      <c r="AS452" s="59">
        <v>0</v>
      </c>
      <c r="AT452" s="3">
        <v>1</v>
      </c>
      <c r="AU452" s="3">
        <v>6</v>
      </c>
      <c r="AV452" s="52">
        <v>65.900000000000006</v>
      </c>
      <c r="AW452" s="52">
        <v>27</v>
      </c>
      <c r="AX452" s="52">
        <v>6.1</v>
      </c>
      <c r="AY452" s="71">
        <v>1</v>
      </c>
      <c r="AZ452" s="59">
        <v>5.5096418732782371E-2</v>
      </c>
      <c r="BA452" s="59">
        <v>6.8870523415977963E-2</v>
      </c>
      <c r="BB452" s="77">
        <v>95.465755055529996</v>
      </c>
      <c r="BC452" s="49">
        <v>15.0584795321637</v>
      </c>
      <c r="BD452" s="49">
        <v>1.8</v>
      </c>
      <c r="BE452" s="49">
        <v>2.4</v>
      </c>
      <c r="BF452" s="49">
        <v>0</v>
      </c>
      <c r="BG452" s="49">
        <v>0</v>
      </c>
      <c r="BH452" s="49">
        <v>0</v>
      </c>
      <c r="BI452" s="49">
        <v>3.7</v>
      </c>
      <c r="BJ452" s="49">
        <v>19.399999999999999</v>
      </c>
      <c r="BK452" s="129">
        <v>10234</v>
      </c>
      <c r="BL452" s="129">
        <v>48308</v>
      </c>
      <c r="BM452" s="129">
        <v>43924</v>
      </c>
      <c r="BN452" s="129">
        <v>36997</v>
      </c>
      <c r="BO452" s="59">
        <v>0</v>
      </c>
      <c r="BP452" s="59">
        <v>0.3826</v>
      </c>
      <c r="BQ452" s="59">
        <v>0.11749999999999999</v>
      </c>
      <c r="BR452" s="59">
        <v>1.5699999999999999E-2</v>
      </c>
      <c r="BS452" s="59">
        <v>0</v>
      </c>
      <c r="BT452" s="49">
        <v>14.3</v>
      </c>
      <c r="BU452" s="59">
        <f t="shared" si="36"/>
        <v>0.51580000000000004</v>
      </c>
      <c r="BV452" s="59">
        <v>3.7600000000000001E-2</v>
      </c>
      <c r="BW452" s="59">
        <v>1.1599999999999999E-2</v>
      </c>
      <c r="BX452" s="59">
        <v>0</v>
      </c>
      <c r="BY452" s="59">
        <v>1.1900000000000001E-2</v>
      </c>
      <c r="BZ452" s="59">
        <v>0</v>
      </c>
      <c r="CA452" s="49">
        <v>17.100000000000001</v>
      </c>
      <c r="CB452" s="59">
        <f t="shared" si="37"/>
        <v>6.1100000000000002E-2</v>
      </c>
      <c r="CC452" s="59">
        <v>0.3952</v>
      </c>
      <c r="CD452" s="59">
        <v>0.41920000000000002</v>
      </c>
      <c r="CE452" s="59">
        <v>0.15809999999999999</v>
      </c>
      <c r="CF452" s="59">
        <v>2.76E-2</v>
      </c>
      <c r="CG452" s="59">
        <v>0</v>
      </c>
      <c r="CH452" s="49">
        <v>12.3</v>
      </c>
      <c r="CI452" s="39" t="s">
        <v>237</v>
      </c>
      <c r="CJ452" s="18" t="s">
        <v>479</v>
      </c>
      <c r="CK452" s="20"/>
    </row>
    <row r="453" spans="1:89" x14ac:dyDescent="0.25">
      <c r="A453" s="18" t="s">
        <v>479</v>
      </c>
      <c r="B453" s="39" t="s">
        <v>233</v>
      </c>
      <c r="C453" s="39" t="s">
        <v>238</v>
      </c>
      <c r="D453" s="40">
        <v>2</v>
      </c>
      <c r="E453" s="40">
        <v>0</v>
      </c>
      <c r="F453" s="40">
        <v>2</v>
      </c>
      <c r="G453" s="163">
        <v>0</v>
      </c>
      <c r="H453" s="163">
        <v>0</v>
      </c>
      <c r="I453" s="162" t="s">
        <v>83</v>
      </c>
      <c r="J453" s="166">
        <v>1</v>
      </c>
      <c r="K453" s="163">
        <v>0</v>
      </c>
      <c r="L453" s="166">
        <v>1</v>
      </c>
      <c r="M453" s="163">
        <v>0</v>
      </c>
      <c r="N453" s="119">
        <v>4.5045045045045001E-3</v>
      </c>
      <c r="O453" s="119">
        <v>6.6889632107023402E-3</v>
      </c>
      <c r="P453" s="115">
        <v>0</v>
      </c>
      <c r="Q453" s="115">
        <v>0</v>
      </c>
      <c r="R453" s="116" t="s">
        <v>83</v>
      </c>
      <c r="S453" s="119">
        <v>1.3333333333333299E-2</v>
      </c>
      <c r="T453" s="115">
        <v>0</v>
      </c>
      <c r="U453" s="119">
        <v>1.6129032258064498E-2</v>
      </c>
      <c r="V453" s="115">
        <v>0</v>
      </c>
      <c r="W453" s="40">
        <v>417</v>
      </c>
      <c r="X453" s="40">
        <f t="shared" si="34"/>
        <v>281</v>
      </c>
      <c r="Y453" s="40">
        <f t="shared" si="35"/>
        <v>417</v>
      </c>
      <c r="Z453" s="105">
        <v>0.46762589928057602</v>
      </c>
      <c r="AA453" s="105">
        <v>0.53237410071942404</v>
      </c>
      <c r="AB453" s="106">
        <f>3/417</f>
        <v>7.1942446043165471E-3</v>
      </c>
      <c r="AC453" s="106">
        <f>2/417</f>
        <v>4.7961630695443642E-3</v>
      </c>
      <c r="AD453" s="106">
        <f>35/417</f>
        <v>8.3932853717026384E-2</v>
      </c>
      <c r="AE453" s="106">
        <f>2/417</f>
        <v>4.7961630695443642E-3</v>
      </c>
      <c r="AF453" s="106">
        <v>0</v>
      </c>
      <c r="AG453" s="106">
        <f>346/417</f>
        <v>0.82973621103117501</v>
      </c>
      <c r="AH453" s="106">
        <f>29/417</f>
        <v>6.9544364508393283E-2</v>
      </c>
      <c r="AI453" s="106">
        <f>71/417</f>
        <v>0.17026378896882494</v>
      </c>
      <c r="AJ453" s="105">
        <v>0.58992805755395683</v>
      </c>
      <c r="AK453" s="105">
        <v>0</v>
      </c>
      <c r="AL453" s="12">
        <v>73</v>
      </c>
      <c r="AM453" s="12">
        <v>63</v>
      </c>
      <c r="AN453" s="12">
        <v>0</v>
      </c>
      <c r="AO453" s="12">
        <v>69</v>
      </c>
      <c r="AP453" s="12">
        <v>89</v>
      </c>
      <c r="AQ453" s="12">
        <v>58</v>
      </c>
      <c r="AR453" s="12">
        <v>65</v>
      </c>
      <c r="AS453" s="59">
        <v>0</v>
      </c>
      <c r="AT453" s="3">
        <v>7</v>
      </c>
      <c r="AU453" s="3">
        <v>6</v>
      </c>
      <c r="AV453" s="52">
        <v>78.5</v>
      </c>
      <c r="AW453" s="52">
        <v>10.4</v>
      </c>
      <c r="AX453" s="52">
        <v>10.8</v>
      </c>
      <c r="AY453" s="71">
        <v>0.4</v>
      </c>
      <c r="AZ453" s="59">
        <v>0.1463963963963964</v>
      </c>
      <c r="BA453" s="59">
        <v>9.45945945945946E-2</v>
      </c>
      <c r="BB453" s="78">
        <v>92.2633637189832</v>
      </c>
      <c r="BC453" s="49">
        <v>10.360360360360399</v>
      </c>
      <c r="BD453" s="49">
        <v>4.0999999999999996</v>
      </c>
      <c r="BE453" s="49">
        <v>1.7</v>
      </c>
      <c r="BF453" s="49">
        <v>1.5</v>
      </c>
      <c r="BG453" s="49">
        <v>3.8</v>
      </c>
      <c r="BH453" s="49">
        <v>0</v>
      </c>
      <c r="BI453" s="49">
        <v>1.5</v>
      </c>
      <c r="BJ453" s="49">
        <v>18.600000000000001</v>
      </c>
      <c r="BK453" s="129">
        <v>10426</v>
      </c>
      <c r="BL453" s="129">
        <v>52352</v>
      </c>
      <c r="BM453" s="129">
        <v>45412</v>
      </c>
      <c r="BN453" s="129">
        <v>39062</v>
      </c>
      <c r="BO453" s="59">
        <v>0</v>
      </c>
      <c r="BP453" s="59">
        <v>0.31190000000000001</v>
      </c>
      <c r="BQ453" s="59">
        <v>0.1694</v>
      </c>
      <c r="BR453" s="59">
        <v>5.1000000000000004E-3</v>
      </c>
      <c r="BS453" s="59">
        <v>0</v>
      </c>
      <c r="BT453" s="49">
        <v>11.6</v>
      </c>
      <c r="BU453" s="59">
        <f t="shared" si="36"/>
        <v>0.4864</v>
      </c>
      <c r="BV453" s="59">
        <v>4.0899999999999999E-2</v>
      </c>
      <c r="BW453" s="59">
        <v>2.0500000000000001E-2</v>
      </c>
      <c r="BX453" s="59">
        <v>2.0500000000000001E-2</v>
      </c>
      <c r="BY453" s="59">
        <v>0</v>
      </c>
      <c r="BZ453" s="59">
        <v>0</v>
      </c>
      <c r="CA453" s="49">
        <v>11.8</v>
      </c>
      <c r="CB453" s="59">
        <f t="shared" si="37"/>
        <v>8.1900000000000001E-2</v>
      </c>
      <c r="CC453" s="59">
        <v>0.39340000000000003</v>
      </c>
      <c r="CD453" s="59">
        <v>0.3861</v>
      </c>
      <c r="CE453" s="59">
        <v>0.21540000000000001</v>
      </c>
      <c r="CF453" s="59">
        <v>5.1000000000000004E-3</v>
      </c>
      <c r="CG453" s="59">
        <v>0</v>
      </c>
      <c r="CH453" s="49">
        <v>12</v>
      </c>
      <c r="CI453" s="39" t="s">
        <v>238</v>
      </c>
      <c r="CJ453" s="18" t="s">
        <v>479</v>
      </c>
      <c r="CK453" s="20"/>
    </row>
    <row r="454" spans="1:89" x14ac:dyDescent="0.25">
      <c r="A454" s="18" t="s">
        <v>479</v>
      </c>
      <c r="B454" s="39" t="s">
        <v>233</v>
      </c>
      <c r="C454" s="39" t="s">
        <v>239</v>
      </c>
      <c r="D454" s="40">
        <v>0</v>
      </c>
      <c r="E454" s="40" t="s">
        <v>83</v>
      </c>
      <c r="F454" s="40">
        <v>0</v>
      </c>
      <c r="G454" s="162" t="s">
        <v>83</v>
      </c>
      <c r="H454" s="162" t="s">
        <v>83</v>
      </c>
      <c r="I454" s="162" t="s">
        <v>83</v>
      </c>
      <c r="J454" s="163">
        <v>0</v>
      </c>
      <c r="K454" s="163">
        <v>0</v>
      </c>
      <c r="L454" s="163">
        <v>0</v>
      </c>
      <c r="M454" s="163">
        <v>0</v>
      </c>
      <c r="N454" s="115">
        <v>0</v>
      </c>
      <c r="O454" s="115">
        <v>0</v>
      </c>
      <c r="P454" s="116" t="s">
        <v>83</v>
      </c>
      <c r="Q454" s="116" t="s">
        <v>83</v>
      </c>
      <c r="R454" s="116" t="s">
        <v>83</v>
      </c>
      <c r="S454" s="115">
        <v>0</v>
      </c>
      <c r="T454" s="115">
        <v>0</v>
      </c>
      <c r="U454" s="115">
        <v>0</v>
      </c>
      <c r="V454" s="115">
        <v>0</v>
      </c>
      <c r="W454" s="40">
        <v>351</v>
      </c>
      <c r="X454" s="40">
        <f t="shared" si="34"/>
        <v>351</v>
      </c>
      <c r="Y454" s="40">
        <f t="shared" si="35"/>
        <v>351</v>
      </c>
      <c r="Z454" s="105">
        <v>0.45584045584045602</v>
      </c>
      <c r="AA454" s="105">
        <v>0.54415954415954404</v>
      </c>
      <c r="AB454" s="106">
        <v>0</v>
      </c>
      <c r="AC454" s="106">
        <f>1/351</f>
        <v>2.8490028490028491E-3</v>
      </c>
      <c r="AD454" s="106">
        <f>67/351</f>
        <v>0.19088319088319089</v>
      </c>
      <c r="AE454" s="106">
        <f>3/351</f>
        <v>8.5470085470085479E-3</v>
      </c>
      <c r="AF454" s="106">
        <v>0</v>
      </c>
      <c r="AG454" s="106">
        <f>261/351</f>
        <v>0.74358974358974361</v>
      </c>
      <c r="AH454" s="106">
        <f>19/351</f>
        <v>5.4131054131054131E-2</v>
      </c>
      <c r="AI454" s="106">
        <f>90/351</f>
        <v>0.25641025641025639</v>
      </c>
      <c r="AJ454" s="105">
        <v>0.5669515669515669</v>
      </c>
      <c r="AK454" s="105">
        <v>0</v>
      </c>
      <c r="AL454" s="12">
        <v>0</v>
      </c>
      <c r="AM454" s="12">
        <v>0</v>
      </c>
      <c r="AN454" s="12">
        <v>0</v>
      </c>
      <c r="AO454" s="12">
        <v>99</v>
      </c>
      <c r="AP454" s="12">
        <v>88</v>
      </c>
      <c r="AQ454" s="12">
        <v>86</v>
      </c>
      <c r="AR454" s="12">
        <v>78</v>
      </c>
      <c r="AS454" s="59">
        <v>0</v>
      </c>
      <c r="AT454" s="3">
        <v>9</v>
      </c>
      <c r="AU454" s="3">
        <v>6</v>
      </c>
      <c r="AV454" s="52">
        <v>71.599999999999994</v>
      </c>
      <c r="AW454" s="52">
        <v>23.9</v>
      </c>
      <c r="AX454" s="52">
        <v>3.6</v>
      </c>
      <c r="AY454" s="71">
        <v>1</v>
      </c>
      <c r="AZ454" s="59">
        <v>2.4590163934426229E-2</v>
      </c>
      <c r="BA454" s="59">
        <v>0.21311475409836064</v>
      </c>
      <c r="BB454" s="77">
        <v>93.083137267806293</v>
      </c>
      <c r="BC454" s="49">
        <v>24.661246612466101</v>
      </c>
      <c r="BD454" s="90" t="s">
        <v>83</v>
      </c>
      <c r="BE454" s="90" t="s">
        <v>83</v>
      </c>
      <c r="BF454" s="49">
        <v>3.1</v>
      </c>
      <c r="BG454" s="49">
        <v>1.2</v>
      </c>
      <c r="BH454" s="49">
        <v>0</v>
      </c>
      <c r="BI454" s="49">
        <v>0</v>
      </c>
      <c r="BJ454" s="49">
        <v>20.100000000000001</v>
      </c>
      <c r="BK454" s="129">
        <v>10966</v>
      </c>
      <c r="BL454" s="129">
        <v>51801</v>
      </c>
      <c r="BM454" s="129">
        <v>40893</v>
      </c>
      <c r="BN454" s="129">
        <v>38986</v>
      </c>
      <c r="BO454" s="59">
        <v>0</v>
      </c>
      <c r="BP454" s="59">
        <v>0.27810000000000001</v>
      </c>
      <c r="BQ454" s="59">
        <v>0.18079999999999999</v>
      </c>
      <c r="BR454" s="59">
        <v>5.5999999999999999E-3</v>
      </c>
      <c r="BS454" s="59">
        <v>0</v>
      </c>
      <c r="BT454" s="49">
        <v>10.199999999999999</v>
      </c>
      <c r="BU454" s="59">
        <f t="shared" si="36"/>
        <v>0.46449999999999997</v>
      </c>
      <c r="BV454" s="59">
        <v>6.6799999999999998E-2</v>
      </c>
      <c r="BW454" s="59">
        <v>0</v>
      </c>
      <c r="BX454" s="59">
        <v>4.4499999999999998E-2</v>
      </c>
      <c r="BY454" s="59">
        <v>0</v>
      </c>
      <c r="BZ454" s="59">
        <v>0</v>
      </c>
      <c r="CA454" s="49">
        <v>17.600000000000001</v>
      </c>
      <c r="CB454" s="59">
        <f t="shared" si="37"/>
        <v>0.1113</v>
      </c>
      <c r="CC454" s="59">
        <v>0.43359999999999999</v>
      </c>
      <c r="CD454" s="59">
        <v>0.3004</v>
      </c>
      <c r="CE454" s="59">
        <v>0.26040000000000002</v>
      </c>
      <c r="CF454" s="59">
        <v>5.5999999999999999E-3</v>
      </c>
      <c r="CG454" s="59">
        <v>0</v>
      </c>
      <c r="CH454" s="49">
        <v>12.4</v>
      </c>
      <c r="CI454" s="39" t="s">
        <v>239</v>
      </c>
      <c r="CJ454" s="18" t="s">
        <v>479</v>
      </c>
      <c r="CK454" s="20"/>
    </row>
    <row r="455" spans="1:89" x14ac:dyDescent="0.25">
      <c r="A455" s="18" t="s">
        <v>479</v>
      </c>
      <c r="B455" s="39" t="s">
        <v>240</v>
      </c>
      <c r="C455" s="39" t="s">
        <v>241</v>
      </c>
      <c r="D455" s="40">
        <v>61</v>
      </c>
      <c r="E455" s="40" t="s">
        <v>83</v>
      </c>
      <c r="F455" s="40">
        <v>61</v>
      </c>
      <c r="G455" s="162" t="s">
        <v>83</v>
      </c>
      <c r="H455" s="162" t="s">
        <v>83</v>
      </c>
      <c r="I455" s="163">
        <v>0</v>
      </c>
      <c r="J455" s="163">
        <v>32</v>
      </c>
      <c r="K455" s="163">
        <v>13</v>
      </c>
      <c r="L455" s="163">
        <v>9</v>
      </c>
      <c r="M455" s="163">
        <v>7</v>
      </c>
      <c r="N455" s="115">
        <v>2.95399515738499E-2</v>
      </c>
      <c r="O455" s="115">
        <v>2.95399515738499E-2</v>
      </c>
      <c r="P455" s="116" t="s">
        <v>83</v>
      </c>
      <c r="Q455" s="116" t="s">
        <v>83</v>
      </c>
      <c r="R455" s="115">
        <v>0</v>
      </c>
      <c r="S455" s="115">
        <v>4.3715846994535498E-2</v>
      </c>
      <c r="T455" s="115">
        <v>2.6209677419354802E-2</v>
      </c>
      <c r="U455" s="115">
        <v>2.0044543429844099E-2</v>
      </c>
      <c r="V455" s="115">
        <v>2.0348837209302299E-2</v>
      </c>
      <c r="W455" s="40">
        <v>1873</v>
      </c>
      <c r="X455" s="40">
        <f t="shared" si="34"/>
        <v>1873</v>
      </c>
      <c r="Y455" s="40">
        <f t="shared" si="35"/>
        <v>1873</v>
      </c>
      <c r="Z455" s="105">
        <v>0.49813134009610199</v>
      </c>
      <c r="AA455" s="105">
        <v>0.50186865990389795</v>
      </c>
      <c r="AB455" s="106">
        <f>4/1873</f>
        <v>2.1356113187399892E-3</v>
      </c>
      <c r="AC455" s="106">
        <f>26/1873</f>
        <v>1.3881473571809931E-2</v>
      </c>
      <c r="AD455" s="106">
        <f>788/1873</f>
        <v>0.4207154297917779</v>
      </c>
      <c r="AE455" s="106">
        <f>148/1873</f>
        <v>7.901761879337961E-2</v>
      </c>
      <c r="AF455" s="106">
        <f>1/1873</f>
        <v>5.339028296849973E-4</v>
      </c>
      <c r="AG455" s="106">
        <f>900/1873</f>
        <v>0.48051254671649762</v>
      </c>
      <c r="AH455" s="106">
        <f>6/1873</f>
        <v>3.2034169781099838E-3</v>
      </c>
      <c r="AI455" s="106">
        <f>973/1873</f>
        <v>0.51948745328350243</v>
      </c>
      <c r="AJ455" s="105">
        <v>0.63908168713294178</v>
      </c>
      <c r="AK455" s="105">
        <v>2.9898558462359899E-2</v>
      </c>
      <c r="AL455" s="12">
        <v>0</v>
      </c>
      <c r="AM455" s="12">
        <v>0</v>
      </c>
      <c r="AN455" s="12">
        <v>40</v>
      </c>
      <c r="AO455" s="12">
        <v>647</v>
      </c>
      <c r="AP455" s="12">
        <v>443</v>
      </c>
      <c r="AQ455" s="12">
        <v>420</v>
      </c>
      <c r="AR455" s="12">
        <v>323</v>
      </c>
      <c r="AS455" s="59">
        <v>5.8224163027656477E-2</v>
      </c>
      <c r="AT455" s="3">
        <v>9</v>
      </c>
      <c r="AU455" s="3">
        <v>6</v>
      </c>
      <c r="AV455" s="52">
        <v>40.799999999999997</v>
      </c>
      <c r="AW455" s="52">
        <v>18.5</v>
      </c>
      <c r="AX455" s="52">
        <v>38.9</v>
      </c>
      <c r="AY455" s="71">
        <v>1.9</v>
      </c>
      <c r="AZ455" s="59">
        <v>0.23084479371316308</v>
      </c>
      <c r="BA455" s="59">
        <v>0.16355599214145383</v>
      </c>
      <c r="BB455" s="78">
        <v>91.510794126767493</v>
      </c>
      <c r="BC455" s="49">
        <v>42.518159806295401</v>
      </c>
      <c r="BD455" s="90" t="s">
        <v>83</v>
      </c>
      <c r="BE455" s="90" t="s">
        <v>83</v>
      </c>
      <c r="BF455" s="49">
        <v>16.5</v>
      </c>
      <c r="BG455" s="49">
        <v>6.1</v>
      </c>
      <c r="BH455" s="49">
        <v>4.3</v>
      </c>
      <c r="BI455" s="49">
        <v>3.2</v>
      </c>
      <c r="BJ455" s="49">
        <v>18.8</v>
      </c>
      <c r="BK455" s="129">
        <v>8477</v>
      </c>
      <c r="BL455" s="129">
        <v>42172</v>
      </c>
      <c r="BM455" s="129">
        <v>36785</v>
      </c>
      <c r="BN455" s="129">
        <v>35978</v>
      </c>
      <c r="BO455" s="59">
        <v>6.8999999999999999E-3</v>
      </c>
      <c r="BP455" s="59">
        <v>0.41799999999999998</v>
      </c>
      <c r="BQ455" s="59">
        <v>0.16889999999999999</v>
      </c>
      <c r="BR455" s="59">
        <v>6.8999999999999999E-3</v>
      </c>
      <c r="BS455" s="59">
        <v>0</v>
      </c>
      <c r="BT455" s="49">
        <v>9.1</v>
      </c>
      <c r="BU455" s="59">
        <f t="shared" si="36"/>
        <v>0.60070000000000001</v>
      </c>
      <c r="BV455" s="59">
        <v>5.5300000000000002E-2</v>
      </c>
      <c r="BW455" s="59">
        <v>0</v>
      </c>
      <c r="BX455" s="59">
        <v>3.5400000000000001E-2</v>
      </c>
      <c r="BY455" s="59">
        <v>0</v>
      </c>
      <c r="BZ455" s="59">
        <v>0</v>
      </c>
      <c r="CA455" s="49">
        <v>11.2</v>
      </c>
      <c r="CB455" s="59">
        <f t="shared" si="37"/>
        <v>9.0700000000000003E-2</v>
      </c>
      <c r="CC455" s="59">
        <v>0.28139999999999998</v>
      </c>
      <c r="CD455" s="59">
        <v>0.45200000000000001</v>
      </c>
      <c r="CE455" s="59">
        <v>0.2596</v>
      </c>
      <c r="CF455" s="59">
        <v>6.8999999999999999E-3</v>
      </c>
      <c r="CG455" s="59">
        <v>0</v>
      </c>
      <c r="CH455" s="49">
        <v>9.1999999999999993</v>
      </c>
      <c r="CI455" s="39" t="s">
        <v>241</v>
      </c>
      <c r="CJ455" s="18" t="s">
        <v>479</v>
      </c>
      <c r="CK455" s="20"/>
    </row>
    <row r="456" spans="1:89" x14ac:dyDescent="0.25">
      <c r="A456" s="18" t="s">
        <v>479</v>
      </c>
      <c r="B456" s="39" t="s">
        <v>240</v>
      </c>
      <c r="C456" s="39" t="s">
        <v>242</v>
      </c>
      <c r="D456" s="40">
        <v>59</v>
      </c>
      <c r="E456" s="40" t="s">
        <v>83</v>
      </c>
      <c r="F456" s="40">
        <v>59</v>
      </c>
      <c r="G456" s="162" t="s">
        <v>83</v>
      </c>
      <c r="H456" s="162" t="s">
        <v>83</v>
      </c>
      <c r="I456" s="163">
        <v>1</v>
      </c>
      <c r="J456" s="163">
        <v>21</v>
      </c>
      <c r="K456" s="163">
        <v>21</v>
      </c>
      <c r="L456" s="163">
        <v>8</v>
      </c>
      <c r="M456" s="163">
        <v>8</v>
      </c>
      <c r="N456" s="115">
        <v>4.5736434108527103E-2</v>
      </c>
      <c r="O456" s="115">
        <v>4.5736434108527103E-2</v>
      </c>
      <c r="P456" s="116" t="s">
        <v>83</v>
      </c>
      <c r="Q456" s="116" t="s">
        <v>83</v>
      </c>
      <c r="R456" s="115">
        <v>3.2258064516128997E-2</v>
      </c>
      <c r="S456" s="115">
        <v>4.6052631578947401E-2</v>
      </c>
      <c r="T456" s="115">
        <v>7.0707070707070704E-2</v>
      </c>
      <c r="U456" s="115">
        <v>3.1128404669260701E-2</v>
      </c>
      <c r="V456" s="115">
        <v>3.2128514056224897E-2</v>
      </c>
      <c r="W456" s="40">
        <v>1134</v>
      </c>
      <c r="X456" s="40">
        <f t="shared" si="34"/>
        <v>1134</v>
      </c>
      <c r="Y456" s="40">
        <f t="shared" si="35"/>
        <v>1134</v>
      </c>
      <c r="Z456" s="105">
        <v>0.431216931216931</v>
      </c>
      <c r="AA456" s="105">
        <v>0.56878306878306895</v>
      </c>
      <c r="AB456" s="106">
        <f>6/1134</f>
        <v>5.2910052910052907E-3</v>
      </c>
      <c r="AC456" s="106">
        <f>7/1134</f>
        <v>6.1728395061728392E-3</v>
      </c>
      <c r="AD456" s="106">
        <f>669/1134</f>
        <v>0.58994708994709</v>
      </c>
      <c r="AE456" s="106">
        <f>42/1134</f>
        <v>3.7037037037037035E-2</v>
      </c>
      <c r="AF456" s="106">
        <v>0</v>
      </c>
      <c r="AG456" s="106">
        <f>407/1134</f>
        <v>0.35890652557319225</v>
      </c>
      <c r="AH456" s="106">
        <f>3/1134</f>
        <v>2.6455026455026454E-3</v>
      </c>
      <c r="AI456" s="106">
        <f>727/1134</f>
        <v>0.64109347442680775</v>
      </c>
      <c r="AJ456" s="105">
        <v>0.72310405643738973</v>
      </c>
      <c r="AK456" s="105">
        <v>7.9365079365079395E-3</v>
      </c>
      <c r="AL456" s="12">
        <v>0</v>
      </c>
      <c r="AM456" s="12">
        <v>0</v>
      </c>
      <c r="AN456" s="12">
        <v>28</v>
      </c>
      <c r="AO456" s="12">
        <v>383</v>
      </c>
      <c r="AP456" s="12">
        <v>252</v>
      </c>
      <c r="AQ456" s="12">
        <v>233</v>
      </c>
      <c r="AR456" s="12">
        <v>238</v>
      </c>
      <c r="AS456" s="59">
        <v>6.8126520681265207E-2</v>
      </c>
      <c r="AT456" s="3">
        <v>9</v>
      </c>
      <c r="AU456" s="3">
        <v>6</v>
      </c>
      <c r="AV456" s="52">
        <v>65.7</v>
      </c>
      <c r="AW456" s="52">
        <v>14.3</v>
      </c>
      <c r="AX456" s="52">
        <v>19.8</v>
      </c>
      <c r="AY456" s="71">
        <v>0.2</v>
      </c>
      <c r="AZ456" s="59">
        <v>0.30885873902633681</v>
      </c>
      <c r="BA456" s="59">
        <v>0.24261771747805266</v>
      </c>
      <c r="BB456" s="77">
        <v>90.259605785773502</v>
      </c>
      <c r="BC456" s="49">
        <v>48.598130841121502</v>
      </c>
      <c r="BD456" s="90" t="s">
        <v>83</v>
      </c>
      <c r="BE456" s="90" t="s">
        <v>83</v>
      </c>
      <c r="BF456" s="49">
        <v>12.8</v>
      </c>
      <c r="BG456" s="49">
        <v>4.2</v>
      </c>
      <c r="BH456" s="49">
        <v>8.8000000000000007</v>
      </c>
      <c r="BI456" s="49">
        <v>3.2</v>
      </c>
      <c r="BJ456" s="49">
        <v>17.7</v>
      </c>
      <c r="BK456" s="129">
        <v>9108</v>
      </c>
      <c r="BL456" s="129">
        <v>43026</v>
      </c>
      <c r="BM456" s="129">
        <v>36238</v>
      </c>
      <c r="BN456" s="129">
        <v>37048</v>
      </c>
      <c r="BO456" s="59">
        <v>0</v>
      </c>
      <c r="BP456" s="59">
        <v>0.39829999999999999</v>
      </c>
      <c r="BQ456" s="59">
        <v>0.1633</v>
      </c>
      <c r="BR456" s="59">
        <v>1.03E-2</v>
      </c>
      <c r="BS456" s="59">
        <v>0</v>
      </c>
      <c r="BT456" s="49">
        <v>9.9</v>
      </c>
      <c r="BU456" s="59">
        <f t="shared" si="36"/>
        <v>0.57189999999999996</v>
      </c>
      <c r="BV456" s="59">
        <v>7.2099999999999997E-2</v>
      </c>
      <c r="BW456" s="59">
        <v>0</v>
      </c>
      <c r="BX456" s="59">
        <v>2.4400000000000002E-2</v>
      </c>
      <c r="BY456" s="59">
        <v>1.03E-2</v>
      </c>
      <c r="BZ456" s="59">
        <v>0</v>
      </c>
      <c r="CA456" s="49">
        <v>14.3</v>
      </c>
      <c r="CB456" s="59">
        <f t="shared" si="37"/>
        <v>0.10680000000000001</v>
      </c>
      <c r="CC456" s="59">
        <v>0.27350000000000002</v>
      </c>
      <c r="CD456" s="59">
        <v>0.45739999999999997</v>
      </c>
      <c r="CE456" s="59">
        <v>0.24859999999999999</v>
      </c>
      <c r="CF456" s="59">
        <v>2.06E-2</v>
      </c>
      <c r="CG456" s="59">
        <v>0</v>
      </c>
      <c r="CH456" s="49">
        <v>9.8000000000000007</v>
      </c>
      <c r="CI456" s="39" t="s">
        <v>242</v>
      </c>
      <c r="CJ456" s="18" t="s">
        <v>479</v>
      </c>
      <c r="CK456" s="20"/>
    </row>
    <row r="457" spans="1:89" x14ac:dyDescent="0.25">
      <c r="A457" s="18" t="s">
        <v>479</v>
      </c>
      <c r="B457" s="39" t="s">
        <v>240</v>
      </c>
      <c r="C457" s="39" t="s">
        <v>243</v>
      </c>
      <c r="D457" s="40">
        <v>54</v>
      </c>
      <c r="E457" s="40" t="s">
        <v>83</v>
      </c>
      <c r="F457" s="40">
        <v>54</v>
      </c>
      <c r="G457" s="162" t="s">
        <v>83</v>
      </c>
      <c r="H457" s="162" t="s">
        <v>83</v>
      </c>
      <c r="I457" s="163">
        <v>0</v>
      </c>
      <c r="J457" s="163">
        <v>20</v>
      </c>
      <c r="K457" s="163">
        <v>14</v>
      </c>
      <c r="L457" s="163">
        <v>10</v>
      </c>
      <c r="M457" s="163">
        <v>10</v>
      </c>
      <c r="N457" s="115">
        <v>2.53998118532455E-2</v>
      </c>
      <c r="O457" s="115">
        <v>2.5411764705882401E-2</v>
      </c>
      <c r="P457" s="116" t="s">
        <v>83</v>
      </c>
      <c r="Q457" s="116" t="s">
        <v>83</v>
      </c>
      <c r="R457" s="115">
        <v>0</v>
      </c>
      <c r="S457" s="115">
        <v>3.2258064516128997E-2</v>
      </c>
      <c r="T457" s="115">
        <v>2.4911032028469799E-2</v>
      </c>
      <c r="U457" s="115">
        <v>1.8975332068311201E-2</v>
      </c>
      <c r="V457" s="115">
        <v>2.4813895781637701E-2</v>
      </c>
      <c r="W457" s="40">
        <v>1936</v>
      </c>
      <c r="X457" s="40">
        <f t="shared" si="34"/>
        <v>1936</v>
      </c>
      <c r="Y457" s="40">
        <f t="shared" si="35"/>
        <v>1936</v>
      </c>
      <c r="Z457" s="105">
        <v>0.50258264462809898</v>
      </c>
      <c r="AA457" s="105">
        <v>0.49741735537190102</v>
      </c>
      <c r="AB457" s="106">
        <f>5/1936</f>
        <v>2.5826446280991736E-3</v>
      </c>
      <c r="AC457" s="106">
        <f>40/1936</f>
        <v>2.0661157024793389E-2</v>
      </c>
      <c r="AD457" s="106">
        <f>527/1936</f>
        <v>0.27221074380165289</v>
      </c>
      <c r="AE457" s="106">
        <f>65/1936</f>
        <v>3.3574380165289255E-2</v>
      </c>
      <c r="AF457" s="106">
        <f>3/1936</f>
        <v>1.5495867768595042E-3</v>
      </c>
      <c r="AG457" s="106">
        <f>1287/1936</f>
        <v>0.66477272727272729</v>
      </c>
      <c r="AH457" s="106">
        <f>9/1936</f>
        <v>4.6487603305785125E-3</v>
      </c>
      <c r="AI457" s="106">
        <f>649/1936</f>
        <v>0.33522727272727271</v>
      </c>
      <c r="AJ457" s="105">
        <v>0.45041322314049587</v>
      </c>
      <c r="AK457" s="105">
        <v>8.7809917355371903E-3</v>
      </c>
      <c r="AL457" s="12">
        <v>0</v>
      </c>
      <c r="AM457" s="12">
        <v>0</v>
      </c>
      <c r="AN457" s="12">
        <v>10</v>
      </c>
      <c r="AO457" s="12">
        <v>557</v>
      </c>
      <c r="AP457" s="12">
        <v>507</v>
      </c>
      <c r="AQ457" s="12">
        <v>485</v>
      </c>
      <c r="AR457" s="12">
        <v>377</v>
      </c>
      <c r="AS457" s="59">
        <v>1.7636684303350969E-2</v>
      </c>
      <c r="AT457" s="3">
        <v>9</v>
      </c>
      <c r="AU457" s="3">
        <v>6</v>
      </c>
      <c r="AV457" s="52">
        <v>48.6</v>
      </c>
      <c r="AW457" s="52">
        <v>21.9</v>
      </c>
      <c r="AX457" s="52">
        <v>27.7</v>
      </c>
      <c r="AY457" s="71">
        <v>1.8</v>
      </c>
      <c r="AZ457" s="59">
        <v>0.20637184973846887</v>
      </c>
      <c r="BA457" s="59">
        <v>0.12505943889681406</v>
      </c>
      <c r="BB457" s="78">
        <v>93.510789682808607</v>
      </c>
      <c r="BC457" s="49">
        <v>30.214152700186201</v>
      </c>
      <c r="BD457" s="90" t="s">
        <v>83</v>
      </c>
      <c r="BE457" s="90" t="s">
        <v>83</v>
      </c>
      <c r="BF457" s="49">
        <v>6.8</v>
      </c>
      <c r="BG457" s="49">
        <v>8.3000000000000007</v>
      </c>
      <c r="BH457" s="49">
        <v>4.4000000000000004</v>
      </c>
      <c r="BI457" s="49">
        <v>2.7</v>
      </c>
      <c r="BJ457" s="49">
        <v>20.3</v>
      </c>
      <c r="BK457" s="129">
        <v>8025</v>
      </c>
      <c r="BL457" s="129">
        <v>43158</v>
      </c>
      <c r="BM457" s="129">
        <v>38001</v>
      </c>
      <c r="BN457" s="129">
        <v>37473</v>
      </c>
      <c r="BO457" s="59">
        <v>0</v>
      </c>
      <c r="BP457" s="59">
        <v>0.40589999999999998</v>
      </c>
      <c r="BQ457" s="59">
        <v>0.22389999999999999</v>
      </c>
      <c r="BR457" s="59">
        <v>0</v>
      </c>
      <c r="BS457" s="59">
        <v>7.4999999999999997E-3</v>
      </c>
      <c r="BT457" s="49">
        <v>12</v>
      </c>
      <c r="BU457" s="59">
        <f t="shared" si="36"/>
        <v>0.63729999999999987</v>
      </c>
      <c r="BV457" s="59">
        <v>5.5599999999999997E-2</v>
      </c>
      <c r="BW457" s="59">
        <v>0</v>
      </c>
      <c r="BX457" s="59">
        <v>3.1699999999999999E-2</v>
      </c>
      <c r="BY457" s="59">
        <v>0</v>
      </c>
      <c r="BZ457" s="59">
        <v>0</v>
      </c>
      <c r="CA457" s="49">
        <v>15.1</v>
      </c>
      <c r="CB457" s="59">
        <f t="shared" si="37"/>
        <v>8.7299999999999989E-2</v>
      </c>
      <c r="CC457" s="59">
        <v>0.2495</v>
      </c>
      <c r="CD457" s="59">
        <v>0.4209</v>
      </c>
      <c r="CE457" s="59">
        <v>0.3221</v>
      </c>
      <c r="CF457" s="59">
        <v>0</v>
      </c>
      <c r="CG457" s="59">
        <v>7.4999999999999997E-3</v>
      </c>
      <c r="CH457" s="49">
        <v>11.5</v>
      </c>
      <c r="CI457" s="39" t="s">
        <v>243</v>
      </c>
      <c r="CJ457" s="18" t="s">
        <v>479</v>
      </c>
      <c r="CK457" s="20"/>
    </row>
    <row r="458" spans="1:89" x14ac:dyDescent="0.25">
      <c r="A458" s="18" t="s">
        <v>479</v>
      </c>
      <c r="B458" s="39" t="s">
        <v>240</v>
      </c>
      <c r="C458" s="39" t="s">
        <v>244</v>
      </c>
      <c r="D458" s="40">
        <v>42</v>
      </c>
      <c r="E458" s="40" t="s">
        <v>83</v>
      </c>
      <c r="F458" s="40">
        <v>42</v>
      </c>
      <c r="G458" s="162" t="s">
        <v>83</v>
      </c>
      <c r="H458" s="162" t="s">
        <v>83</v>
      </c>
      <c r="I458" s="163">
        <v>0</v>
      </c>
      <c r="J458" s="163">
        <v>17</v>
      </c>
      <c r="K458" s="163">
        <v>9</v>
      </c>
      <c r="L458" s="163">
        <v>11</v>
      </c>
      <c r="M458" s="163">
        <v>5</v>
      </c>
      <c r="N458" s="115">
        <v>1.60796324655436E-2</v>
      </c>
      <c r="O458" s="115">
        <v>1.60796324655436E-2</v>
      </c>
      <c r="P458" s="116" t="s">
        <v>83</v>
      </c>
      <c r="Q458" s="116" t="s">
        <v>83</v>
      </c>
      <c r="R458" s="115">
        <v>0</v>
      </c>
      <c r="S458" s="115">
        <v>2.1546261089987299E-2</v>
      </c>
      <c r="T458" s="115">
        <v>1.40625E-2</v>
      </c>
      <c r="U458" s="115">
        <v>1.88679245283019E-2</v>
      </c>
      <c r="V458" s="115">
        <v>8.5178875638841599E-3</v>
      </c>
      <c r="W458" s="40">
        <v>2462</v>
      </c>
      <c r="X458" s="40">
        <f t="shared" si="34"/>
        <v>2462</v>
      </c>
      <c r="Y458" s="40">
        <f t="shared" si="35"/>
        <v>2462</v>
      </c>
      <c r="Z458" s="105">
        <v>0.53899268887083696</v>
      </c>
      <c r="AA458" s="105">
        <v>0.46100731112916299</v>
      </c>
      <c r="AB458" s="106">
        <f>8/2462</f>
        <v>3.249390739236393E-3</v>
      </c>
      <c r="AC458" s="106">
        <f>128/2462</f>
        <v>5.1990251827782288E-2</v>
      </c>
      <c r="AD458" s="106">
        <f>790/2462</f>
        <v>0.32087733549959385</v>
      </c>
      <c r="AE458" s="106">
        <f>124/2462</f>
        <v>5.0365556458164096E-2</v>
      </c>
      <c r="AF458" s="106">
        <f>4/2462</f>
        <v>1.6246953696181965E-3</v>
      </c>
      <c r="AG458" s="106">
        <f>1390/2462</f>
        <v>0.56458164094232333</v>
      </c>
      <c r="AH458" s="106">
        <f>18/2462</f>
        <v>7.311129163281885E-3</v>
      </c>
      <c r="AI458" s="106">
        <f>1072/2462</f>
        <v>0.43541835905767667</v>
      </c>
      <c r="AJ458" s="105">
        <v>0.43257514216084486</v>
      </c>
      <c r="AK458" s="105">
        <v>3.5337124289195797E-2</v>
      </c>
      <c r="AL458" s="12">
        <v>0</v>
      </c>
      <c r="AM458" s="12">
        <v>0</v>
      </c>
      <c r="AN458" s="12">
        <v>11</v>
      </c>
      <c r="AO458" s="12">
        <v>726</v>
      </c>
      <c r="AP458" s="12">
        <v>604</v>
      </c>
      <c r="AQ458" s="12">
        <v>550</v>
      </c>
      <c r="AR458" s="12">
        <v>571</v>
      </c>
      <c r="AS458" s="59">
        <v>1.4925373134328358E-2</v>
      </c>
      <c r="AT458" s="3">
        <v>9</v>
      </c>
      <c r="AU458" s="3">
        <v>6</v>
      </c>
      <c r="AV458" s="52">
        <v>53.2</v>
      </c>
      <c r="AW458" s="52">
        <v>19.7</v>
      </c>
      <c r="AX458" s="52">
        <v>26.7</v>
      </c>
      <c r="AY458" s="71">
        <v>0.4</v>
      </c>
      <c r="AZ458" s="59">
        <v>0.18632347291586632</v>
      </c>
      <c r="BA458" s="59">
        <v>9.4890510948905105E-2</v>
      </c>
      <c r="BB458" s="77">
        <v>94.6861105102507</v>
      </c>
      <c r="BC458" s="49">
        <v>23.578786722625001</v>
      </c>
      <c r="BD458" s="90" t="s">
        <v>83</v>
      </c>
      <c r="BE458" s="90" t="s">
        <v>83</v>
      </c>
      <c r="BF458" s="49">
        <v>8.6999999999999993</v>
      </c>
      <c r="BG458" s="49">
        <v>6.5</v>
      </c>
      <c r="BH458" s="49">
        <v>2.7</v>
      </c>
      <c r="BI458" s="49">
        <v>3</v>
      </c>
      <c r="BJ458" s="49">
        <v>22.4</v>
      </c>
      <c r="BK458" s="129">
        <v>8737</v>
      </c>
      <c r="BL458" s="129">
        <v>41966</v>
      </c>
      <c r="BM458" s="129">
        <v>39836</v>
      </c>
      <c r="BN458" s="129">
        <v>36814</v>
      </c>
      <c r="BO458" s="59">
        <v>0</v>
      </c>
      <c r="BP458" s="59">
        <v>0.3972</v>
      </c>
      <c r="BQ458" s="59">
        <v>0.24349999999999999</v>
      </c>
      <c r="BR458" s="59">
        <v>0</v>
      </c>
      <c r="BS458" s="59">
        <v>1.4999999999999999E-2</v>
      </c>
      <c r="BT458" s="49">
        <v>9.4</v>
      </c>
      <c r="BU458" s="59">
        <f t="shared" si="36"/>
        <v>0.65570000000000006</v>
      </c>
      <c r="BV458" s="59">
        <v>3.49E-2</v>
      </c>
      <c r="BW458" s="59">
        <v>5.0000000000000001E-3</v>
      </c>
      <c r="BX458" s="59">
        <v>2.3400000000000001E-2</v>
      </c>
      <c r="BY458" s="59">
        <v>0</v>
      </c>
      <c r="BZ458" s="59">
        <v>5.4999999999999997E-3</v>
      </c>
      <c r="CA458" s="49">
        <v>13.6</v>
      </c>
      <c r="CB458" s="59">
        <f t="shared" si="37"/>
        <v>6.88E-2</v>
      </c>
      <c r="CC458" s="59">
        <v>0.2465</v>
      </c>
      <c r="CD458" s="59">
        <v>0.43219999999999997</v>
      </c>
      <c r="CE458" s="59">
        <v>0.30070000000000002</v>
      </c>
      <c r="CF458" s="59">
        <v>0</v>
      </c>
      <c r="CG458" s="59">
        <v>2.0500000000000001E-2</v>
      </c>
      <c r="CH458" s="49">
        <v>9.6999999999999993</v>
      </c>
      <c r="CI458" s="39" t="s">
        <v>244</v>
      </c>
      <c r="CJ458" s="18" t="s">
        <v>479</v>
      </c>
      <c r="CK458" s="20"/>
    </row>
    <row r="459" spans="1:89" x14ac:dyDescent="0.25">
      <c r="A459" s="18" t="s">
        <v>479</v>
      </c>
      <c r="B459" s="39" t="s">
        <v>240</v>
      </c>
      <c r="C459" s="39" t="s">
        <v>245</v>
      </c>
      <c r="D459" s="40">
        <v>71</v>
      </c>
      <c r="E459" s="40" t="s">
        <v>83</v>
      </c>
      <c r="F459" s="40">
        <v>71</v>
      </c>
      <c r="G459" s="162" t="s">
        <v>83</v>
      </c>
      <c r="H459" s="162" t="s">
        <v>83</v>
      </c>
      <c r="I459" s="163">
        <v>0</v>
      </c>
      <c r="J459" s="163">
        <v>31</v>
      </c>
      <c r="K459" s="163">
        <v>11</v>
      </c>
      <c r="L459" s="163">
        <v>13</v>
      </c>
      <c r="M459" s="163">
        <v>16</v>
      </c>
      <c r="N459" s="115">
        <v>8.2366589327146203E-2</v>
      </c>
      <c r="O459" s="115">
        <v>8.2366589327146203E-2</v>
      </c>
      <c r="P459" s="116" t="s">
        <v>83</v>
      </c>
      <c r="Q459" s="116" t="s">
        <v>83</v>
      </c>
      <c r="R459" s="115">
        <v>0</v>
      </c>
      <c r="S459" s="115">
        <v>0.10472972972973001</v>
      </c>
      <c r="T459" s="115">
        <v>5.3658536585365901E-2</v>
      </c>
      <c r="U459" s="115">
        <v>7.3863636363636395E-2</v>
      </c>
      <c r="V459" s="115">
        <v>9.8765432098765399E-2</v>
      </c>
      <c r="W459" s="40">
        <v>697</v>
      </c>
      <c r="X459" s="40">
        <f t="shared" si="34"/>
        <v>697</v>
      </c>
      <c r="Y459" s="40">
        <f t="shared" si="35"/>
        <v>697</v>
      </c>
      <c r="Z459" s="105">
        <v>0.49497847919655702</v>
      </c>
      <c r="AA459" s="105">
        <v>0.50502152080344298</v>
      </c>
      <c r="AB459" s="106">
        <v>0</v>
      </c>
      <c r="AC459" s="106">
        <f>2/697</f>
        <v>2.8694404591104736E-3</v>
      </c>
      <c r="AD459" s="106">
        <f>649/697</f>
        <v>0.93113342898134865</v>
      </c>
      <c r="AE459" s="106">
        <f>4/697</f>
        <v>5.7388809182209472E-3</v>
      </c>
      <c r="AF459" s="106">
        <v>0</v>
      </c>
      <c r="AG459" s="106">
        <f>40/697</f>
        <v>5.7388809182209469E-2</v>
      </c>
      <c r="AH459" s="106">
        <f>2/697</f>
        <v>2.8694404591104736E-3</v>
      </c>
      <c r="AI459" s="106">
        <f>657/697</f>
        <v>0.94261119081779055</v>
      </c>
      <c r="AJ459" s="105">
        <v>0.85652797704447636</v>
      </c>
      <c r="AK459" s="105">
        <v>1.4347202295552401E-3</v>
      </c>
      <c r="AL459" s="12">
        <v>0</v>
      </c>
      <c r="AM459" s="12">
        <v>0</v>
      </c>
      <c r="AN459" s="12">
        <v>15</v>
      </c>
      <c r="AO459" s="12">
        <v>230</v>
      </c>
      <c r="AP459" s="12">
        <v>164</v>
      </c>
      <c r="AQ459" s="12">
        <v>149</v>
      </c>
      <c r="AR459" s="12">
        <v>139</v>
      </c>
      <c r="AS459" s="59">
        <v>6.1224489795918366E-2</v>
      </c>
      <c r="AT459" s="3">
        <v>9</v>
      </c>
      <c r="AU459" s="3">
        <v>6</v>
      </c>
      <c r="AV459" s="52">
        <v>74.3</v>
      </c>
      <c r="AW459" s="52">
        <v>21.1</v>
      </c>
      <c r="AX459" s="52">
        <v>4.5999999999999996</v>
      </c>
      <c r="AY459" s="70">
        <v>0</v>
      </c>
      <c r="AZ459" s="59">
        <v>0.39242053789731052</v>
      </c>
      <c r="BA459" s="59">
        <v>0.28728606356968217</v>
      </c>
      <c r="BB459" s="78">
        <v>88.0305674996807</v>
      </c>
      <c r="BC459" s="49">
        <v>54.964539007092199</v>
      </c>
      <c r="BD459" s="90" t="s">
        <v>83</v>
      </c>
      <c r="BE459" s="90" t="s">
        <v>83</v>
      </c>
      <c r="BF459" s="49">
        <v>21.1</v>
      </c>
      <c r="BG459" s="49">
        <v>21.7</v>
      </c>
      <c r="BH459" s="49">
        <v>14.3</v>
      </c>
      <c r="BI459" s="49">
        <v>6.5</v>
      </c>
      <c r="BJ459" s="49">
        <v>17</v>
      </c>
      <c r="BK459" s="129">
        <v>11153</v>
      </c>
      <c r="BL459" s="129">
        <v>40615</v>
      </c>
      <c r="BM459" s="129">
        <v>40001</v>
      </c>
      <c r="BN459" s="129">
        <v>34539</v>
      </c>
      <c r="BO459" s="59">
        <v>0</v>
      </c>
      <c r="BP459" s="59">
        <v>0.35680000000000001</v>
      </c>
      <c r="BQ459" s="59">
        <v>0.1221</v>
      </c>
      <c r="BR459" s="59">
        <v>1.17E-2</v>
      </c>
      <c r="BS459" s="59">
        <v>0</v>
      </c>
      <c r="BT459" s="49">
        <v>7.5</v>
      </c>
      <c r="BU459" s="59">
        <f t="shared" si="36"/>
        <v>0.49059999999999998</v>
      </c>
      <c r="BV459" s="59">
        <v>7.0000000000000007E-2</v>
      </c>
      <c r="BW459" s="59">
        <v>0</v>
      </c>
      <c r="BX459" s="59">
        <v>4.8099999999999997E-2</v>
      </c>
      <c r="BY459" s="59">
        <v>0</v>
      </c>
      <c r="BZ459" s="59">
        <v>0</v>
      </c>
      <c r="CA459" s="49">
        <v>10.9</v>
      </c>
      <c r="CB459" s="59">
        <f t="shared" si="37"/>
        <v>0.11810000000000001</v>
      </c>
      <c r="CC459" s="59">
        <v>0.3337</v>
      </c>
      <c r="CD459" s="59">
        <v>0.39410000000000001</v>
      </c>
      <c r="CE459" s="59">
        <v>0.24879999999999999</v>
      </c>
      <c r="CF459" s="59">
        <v>1.17E-2</v>
      </c>
      <c r="CG459" s="59">
        <v>1.17E-2</v>
      </c>
      <c r="CH459" s="49">
        <v>7.8</v>
      </c>
      <c r="CI459" s="39" t="s">
        <v>245</v>
      </c>
      <c r="CJ459" s="18" t="s">
        <v>479</v>
      </c>
      <c r="CK459" s="20"/>
    </row>
    <row r="460" spans="1:89" x14ac:dyDescent="0.25">
      <c r="A460" s="18" t="s">
        <v>479</v>
      </c>
      <c r="B460" s="39" t="s">
        <v>240</v>
      </c>
      <c r="C460" s="39" t="s">
        <v>246</v>
      </c>
      <c r="D460" s="40">
        <v>0</v>
      </c>
      <c r="E460" s="40" t="s">
        <v>83</v>
      </c>
      <c r="F460" s="40">
        <v>0</v>
      </c>
      <c r="G460" s="162" t="s">
        <v>83</v>
      </c>
      <c r="H460" s="162" t="s">
        <v>83</v>
      </c>
      <c r="I460" s="162" t="s">
        <v>83</v>
      </c>
      <c r="J460" s="163">
        <v>0</v>
      </c>
      <c r="K460" s="163">
        <v>0</v>
      </c>
      <c r="L460" s="163">
        <v>0</v>
      </c>
      <c r="M460" s="163">
        <v>0</v>
      </c>
      <c r="N460" s="115">
        <v>0</v>
      </c>
      <c r="O460" s="115">
        <v>0</v>
      </c>
      <c r="P460" s="116" t="s">
        <v>83</v>
      </c>
      <c r="Q460" s="116" t="s">
        <v>83</v>
      </c>
      <c r="R460" s="116" t="s">
        <v>83</v>
      </c>
      <c r="S460" s="115">
        <v>0</v>
      </c>
      <c r="T460" s="115">
        <v>0</v>
      </c>
      <c r="U460" s="115">
        <v>0</v>
      </c>
      <c r="V460" s="115">
        <v>0</v>
      </c>
      <c r="W460" s="40">
        <v>261</v>
      </c>
      <c r="X460" s="40">
        <f t="shared" si="34"/>
        <v>261</v>
      </c>
      <c r="Y460" s="40">
        <f t="shared" si="35"/>
        <v>261</v>
      </c>
      <c r="Z460" s="105">
        <v>0.59386973180076597</v>
      </c>
      <c r="AA460" s="105">
        <v>0.40613026819923398</v>
      </c>
      <c r="AB460" s="106">
        <f>2/261</f>
        <v>7.6628352490421452E-3</v>
      </c>
      <c r="AC460" s="106">
        <f>14/261</f>
        <v>5.3639846743295021E-2</v>
      </c>
      <c r="AD460" s="106">
        <f>64/261</f>
        <v>0.24521072796934865</v>
      </c>
      <c r="AE460" s="106">
        <f>12/261</f>
        <v>4.5977011494252873E-2</v>
      </c>
      <c r="AF460" s="106">
        <v>0</v>
      </c>
      <c r="AG460" s="106">
        <f>166/261</f>
        <v>0.63601532567049812</v>
      </c>
      <c r="AH460" s="106">
        <f>3/261</f>
        <v>1.1494252873563218E-2</v>
      </c>
      <c r="AI460" s="106">
        <f>95/261</f>
        <v>0.36398467432950193</v>
      </c>
      <c r="AJ460" s="105">
        <v>0.41379310344827586</v>
      </c>
      <c r="AK460" s="105">
        <v>0</v>
      </c>
      <c r="AL460" s="12">
        <v>0</v>
      </c>
      <c r="AM460" s="12">
        <v>0</v>
      </c>
      <c r="AN460" s="12">
        <v>0</v>
      </c>
      <c r="AO460" s="12">
        <v>77</v>
      </c>
      <c r="AP460" s="12">
        <v>76</v>
      </c>
      <c r="AQ460" s="12">
        <v>66</v>
      </c>
      <c r="AR460" s="12">
        <v>42</v>
      </c>
      <c r="AS460" s="59">
        <v>0</v>
      </c>
      <c r="AT460" s="3">
        <v>9</v>
      </c>
      <c r="AU460" s="3">
        <v>8</v>
      </c>
      <c r="AV460" s="52">
        <v>68.7</v>
      </c>
      <c r="AW460" s="52">
        <v>22.9</v>
      </c>
      <c r="AX460" s="52">
        <v>8.4</v>
      </c>
      <c r="AY460" s="70">
        <v>0</v>
      </c>
      <c r="AZ460" s="59">
        <v>0</v>
      </c>
      <c r="BA460" s="59">
        <v>4.8327137546468404E-2</v>
      </c>
      <c r="BB460" s="78">
        <v>98.071555134833403</v>
      </c>
      <c r="BC460" s="49">
        <v>4.7445255474452503</v>
      </c>
      <c r="BD460" s="90" t="s">
        <v>83</v>
      </c>
      <c r="BE460" s="90" t="s">
        <v>83</v>
      </c>
      <c r="BF460" s="49">
        <v>2.7</v>
      </c>
      <c r="BG460" s="49">
        <v>5.6</v>
      </c>
      <c r="BH460" s="49">
        <v>0</v>
      </c>
      <c r="BI460" s="49">
        <v>2.1</v>
      </c>
      <c r="BJ460" s="49">
        <v>23.3</v>
      </c>
      <c r="BK460" s="129">
        <v>6373</v>
      </c>
      <c r="BL460" s="129">
        <v>38923</v>
      </c>
      <c r="BM460" s="129">
        <v>57131</v>
      </c>
      <c r="BN460" s="129">
        <v>43181</v>
      </c>
      <c r="BO460" s="59">
        <v>0</v>
      </c>
      <c r="BP460" s="59">
        <v>0.49909999999999999</v>
      </c>
      <c r="BQ460" s="59">
        <v>0.2137</v>
      </c>
      <c r="BR460" s="59">
        <v>0</v>
      </c>
      <c r="BS460" s="59">
        <v>0</v>
      </c>
      <c r="BT460" s="49">
        <v>7.3</v>
      </c>
      <c r="BU460" s="59">
        <f t="shared" si="36"/>
        <v>0.71279999999999999</v>
      </c>
      <c r="BV460" s="59">
        <v>9.0499999999999997E-2</v>
      </c>
      <c r="BW460" s="59">
        <v>0</v>
      </c>
      <c r="BX460" s="59">
        <v>0.1041</v>
      </c>
      <c r="BY460" s="59">
        <v>0</v>
      </c>
      <c r="BZ460" s="59">
        <v>0</v>
      </c>
      <c r="CA460" s="49">
        <v>19.7</v>
      </c>
      <c r="CB460" s="59">
        <f t="shared" si="37"/>
        <v>0.1946</v>
      </c>
      <c r="CC460" s="59">
        <v>9.0499999999999997E-2</v>
      </c>
      <c r="CD460" s="59">
        <v>0.49909999999999999</v>
      </c>
      <c r="CE460" s="59">
        <v>0.41039999999999999</v>
      </c>
      <c r="CF460" s="59">
        <v>0</v>
      </c>
      <c r="CG460" s="59">
        <v>0</v>
      </c>
      <c r="CH460" s="49">
        <v>9</v>
      </c>
      <c r="CI460" s="39" t="s">
        <v>246</v>
      </c>
      <c r="CJ460" s="18" t="s">
        <v>479</v>
      </c>
      <c r="CK460" s="20"/>
    </row>
    <row r="461" spans="1:89" x14ac:dyDescent="0.25">
      <c r="A461" s="18" t="s">
        <v>479</v>
      </c>
      <c r="B461" s="39" t="s">
        <v>240</v>
      </c>
      <c r="C461" s="39" t="s">
        <v>247</v>
      </c>
      <c r="D461" s="40">
        <v>2</v>
      </c>
      <c r="E461" s="40">
        <v>0</v>
      </c>
      <c r="F461" s="40">
        <v>2</v>
      </c>
      <c r="G461" s="163">
        <v>0</v>
      </c>
      <c r="H461" s="163">
        <v>0</v>
      </c>
      <c r="I461" s="162" t="s">
        <v>83</v>
      </c>
      <c r="J461" s="163">
        <v>1</v>
      </c>
      <c r="K461" s="163">
        <v>1</v>
      </c>
      <c r="L461" s="163">
        <v>0</v>
      </c>
      <c r="M461" s="163">
        <v>0</v>
      </c>
      <c r="N461" s="115">
        <v>2.6881720430107499E-3</v>
      </c>
      <c r="O461" s="115">
        <v>4.8076923076923097E-3</v>
      </c>
      <c r="P461" s="115">
        <v>0</v>
      </c>
      <c r="Q461" s="115">
        <v>0</v>
      </c>
      <c r="R461" s="116" t="s">
        <v>83</v>
      </c>
      <c r="S461" s="115">
        <v>6.2500000000000003E-3</v>
      </c>
      <c r="T461" s="115">
        <v>7.4626865671641798E-3</v>
      </c>
      <c r="U461" s="115">
        <v>0</v>
      </c>
      <c r="V461" s="115">
        <v>0</v>
      </c>
      <c r="W461" s="40">
        <v>890</v>
      </c>
      <c r="X461" s="40">
        <f t="shared" si="34"/>
        <v>409</v>
      </c>
      <c r="Y461" s="40">
        <f t="shared" si="35"/>
        <v>731</v>
      </c>
      <c r="Z461" s="105">
        <v>0.43483146067415701</v>
      </c>
      <c r="AA461" s="105">
        <v>0.56516853932584299</v>
      </c>
      <c r="AB461" s="106">
        <v>0</v>
      </c>
      <c r="AC461" s="106">
        <f>17/890</f>
        <v>1.9101123595505618E-2</v>
      </c>
      <c r="AD461" s="106">
        <f>336/890</f>
        <v>0.37752808988764047</v>
      </c>
      <c r="AE461" s="106">
        <f>21/890</f>
        <v>2.359550561797753E-2</v>
      </c>
      <c r="AF461" s="106">
        <v>0</v>
      </c>
      <c r="AG461" s="106">
        <f>503/890</f>
        <v>0.56516853932584266</v>
      </c>
      <c r="AH461" s="106">
        <f>13/890</f>
        <v>1.4606741573033709E-2</v>
      </c>
      <c r="AI461" s="106">
        <f>387/890</f>
        <v>0.43483146067415729</v>
      </c>
      <c r="AJ461" s="105">
        <v>0.48426966292134832</v>
      </c>
      <c r="AK461" s="105">
        <v>4.4943820224719096E-3</v>
      </c>
      <c r="AL461" s="12">
        <v>163</v>
      </c>
      <c r="AM461" s="12">
        <v>159</v>
      </c>
      <c r="AN461" s="12">
        <v>0</v>
      </c>
      <c r="AO461" s="12">
        <v>157</v>
      </c>
      <c r="AP461" s="12">
        <v>131</v>
      </c>
      <c r="AQ461" s="12">
        <v>64</v>
      </c>
      <c r="AR461" s="12">
        <v>57</v>
      </c>
      <c r="AS461" s="59">
        <v>0</v>
      </c>
      <c r="AT461" s="3">
        <v>6</v>
      </c>
      <c r="AU461" s="3">
        <v>7</v>
      </c>
      <c r="AV461" s="52">
        <v>35.200000000000003</v>
      </c>
      <c r="AW461" s="52">
        <v>10.1</v>
      </c>
      <c r="AX461" s="52">
        <v>46</v>
      </c>
      <c r="AY461" s="71">
        <v>8.6999999999999993</v>
      </c>
      <c r="AZ461" s="59">
        <v>0.15171650055370986</v>
      </c>
      <c r="BA461" s="59">
        <v>6.4230343300110737E-2</v>
      </c>
      <c r="BB461" s="77">
        <v>95.975402459753994</v>
      </c>
      <c r="BC461" s="49">
        <v>14.0176600441501</v>
      </c>
      <c r="BD461" s="49">
        <v>0.6</v>
      </c>
      <c r="BE461" s="49">
        <v>2.6</v>
      </c>
      <c r="BF461" s="49">
        <v>3.5</v>
      </c>
      <c r="BG461" s="49">
        <v>0</v>
      </c>
      <c r="BH461" s="49">
        <v>0</v>
      </c>
      <c r="BI461" s="49">
        <v>1.8</v>
      </c>
      <c r="BJ461" s="49">
        <v>19.2</v>
      </c>
      <c r="BK461" s="129">
        <v>8369</v>
      </c>
      <c r="BL461" s="129">
        <v>39661</v>
      </c>
      <c r="BM461" s="129">
        <v>35241</v>
      </c>
      <c r="BN461" s="129">
        <v>35119</v>
      </c>
      <c r="BO461" s="59">
        <v>0</v>
      </c>
      <c r="BP461" s="59">
        <v>0.40510000000000002</v>
      </c>
      <c r="BQ461" s="59">
        <v>0.16689999999999999</v>
      </c>
      <c r="BR461" s="59">
        <v>1.38E-2</v>
      </c>
      <c r="BS461" s="59">
        <v>0</v>
      </c>
      <c r="BT461" s="49">
        <v>6.4</v>
      </c>
      <c r="BU461" s="59">
        <f t="shared" si="36"/>
        <v>0.5858000000000001</v>
      </c>
      <c r="BV461" s="59">
        <v>6.8900000000000003E-2</v>
      </c>
      <c r="BW461" s="59">
        <v>0</v>
      </c>
      <c r="BX461" s="59">
        <v>4.1300000000000003E-2</v>
      </c>
      <c r="BY461" s="59">
        <v>0</v>
      </c>
      <c r="BZ461" s="59">
        <v>0</v>
      </c>
      <c r="CA461" s="49">
        <v>8.5</v>
      </c>
      <c r="CB461" s="59">
        <f t="shared" si="37"/>
        <v>0.11020000000000001</v>
      </c>
      <c r="CC461" s="59">
        <v>0.26960000000000001</v>
      </c>
      <c r="CD461" s="59">
        <v>0.43269999999999997</v>
      </c>
      <c r="CE461" s="59">
        <v>0.28399999999999997</v>
      </c>
      <c r="CF461" s="59">
        <v>1.38E-2</v>
      </c>
      <c r="CG461" s="59">
        <v>0</v>
      </c>
      <c r="CH461" s="49">
        <v>7.2</v>
      </c>
      <c r="CI461" s="39" t="s">
        <v>247</v>
      </c>
      <c r="CJ461" s="18" t="s">
        <v>479</v>
      </c>
      <c r="CK461" s="20"/>
    </row>
    <row r="462" spans="1:89" x14ac:dyDescent="0.25">
      <c r="A462" s="18" t="s">
        <v>479</v>
      </c>
      <c r="B462" s="39" t="s">
        <v>248</v>
      </c>
      <c r="C462" s="39" t="s">
        <v>249</v>
      </c>
      <c r="D462" s="40">
        <v>0</v>
      </c>
      <c r="E462" s="40" t="s">
        <v>83</v>
      </c>
      <c r="F462" s="40">
        <v>0</v>
      </c>
      <c r="G462" s="162" t="s">
        <v>83</v>
      </c>
      <c r="H462" s="162" t="s">
        <v>83</v>
      </c>
      <c r="I462" s="163">
        <v>0</v>
      </c>
      <c r="J462" s="163">
        <v>0</v>
      </c>
      <c r="K462" s="163">
        <v>0</v>
      </c>
      <c r="L462" s="163">
        <v>0</v>
      </c>
      <c r="M462" s="163">
        <v>0</v>
      </c>
      <c r="N462" s="115">
        <v>0</v>
      </c>
      <c r="O462" s="115">
        <v>0</v>
      </c>
      <c r="P462" s="116" t="s">
        <v>83</v>
      </c>
      <c r="Q462" s="116" t="s">
        <v>83</v>
      </c>
      <c r="R462" s="115">
        <v>0</v>
      </c>
      <c r="S462" s="115">
        <v>0</v>
      </c>
      <c r="T462" s="115">
        <v>0</v>
      </c>
      <c r="U462" s="115">
        <v>0</v>
      </c>
      <c r="V462" s="115">
        <v>0</v>
      </c>
      <c r="W462" s="40">
        <v>1346</v>
      </c>
      <c r="X462" s="40">
        <f t="shared" si="34"/>
        <v>1346</v>
      </c>
      <c r="Y462" s="40">
        <f t="shared" si="35"/>
        <v>1346</v>
      </c>
      <c r="Z462" s="105">
        <v>0.48662704309063898</v>
      </c>
      <c r="AA462" s="105">
        <v>0.51337295690936102</v>
      </c>
      <c r="AB462" s="106">
        <f>35/1346</f>
        <v>2.6002971768202082E-2</v>
      </c>
      <c r="AC462" s="106">
        <f>9/1346</f>
        <v>6.6864784546805346E-3</v>
      </c>
      <c r="AD462" s="106">
        <f>216/1346</f>
        <v>0.16047548291233285</v>
      </c>
      <c r="AE462" s="106">
        <f>40/1346</f>
        <v>2.9717682020802376E-2</v>
      </c>
      <c r="AF462" s="106">
        <f>1/1346</f>
        <v>7.429420505200594E-4</v>
      </c>
      <c r="AG462" s="106">
        <f>1006/1346</f>
        <v>0.7473997028231798</v>
      </c>
      <c r="AH462" s="106">
        <f>39/1346</f>
        <v>2.8974739970282319E-2</v>
      </c>
      <c r="AI462" s="106">
        <f>340/1346</f>
        <v>0.2526002971768202</v>
      </c>
      <c r="AJ462" s="105">
        <v>0.51634472511144136</v>
      </c>
      <c r="AK462" s="105">
        <v>2.2288261515601799E-3</v>
      </c>
      <c r="AL462" s="12">
        <v>0</v>
      </c>
      <c r="AM462" s="12">
        <v>0</v>
      </c>
      <c r="AN462" s="12">
        <v>8</v>
      </c>
      <c r="AO462" s="12">
        <v>391</v>
      </c>
      <c r="AP462" s="12">
        <v>385</v>
      </c>
      <c r="AQ462" s="12">
        <v>286</v>
      </c>
      <c r="AR462" s="12">
        <v>276</v>
      </c>
      <c r="AS462" s="59">
        <v>2.0050125313283207E-2</v>
      </c>
      <c r="AT462" s="3">
        <v>9</v>
      </c>
      <c r="AU462" s="3">
        <v>6</v>
      </c>
      <c r="AV462" s="52">
        <v>43.1</v>
      </c>
      <c r="AW462" s="52">
        <v>30.9</v>
      </c>
      <c r="AX462" s="52">
        <v>24.1</v>
      </c>
      <c r="AY462" s="71">
        <v>2</v>
      </c>
      <c r="AZ462" s="59">
        <v>0.27871148459383754</v>
      </c>
      <c r="BA462" s="59">
        <v>4.1316526610644257E-2</v>
      </c>
      <c r="BB462" s="78">
        <v>92.476498676539094</v>
      </c>
      <c r="BC462" s="49">
        <v>30.6094182825485</v>
      </c>
      <c r="BD462" s="90" t="s">
        <v>83</v>
      </c>
      <c r="BE462" s="90" t="s">
        <v>83</v>
      </c>
      <c r="BF462" s="49">
        <v>5.5</v>
      </c>
      <c r="BG462" s="49">
        <v>6.4</v>
      </c>
      <c r="BH462" s="49">
        <v>0.7</v>
      </c>
      <c r="BI462" s="49">
        <v>1.4</v>
      </c>
      <c r="BJ462" s="49">
        <v>19.100000000000001</v>
      </c>
      <c r="BK462" s="129">
        <v>9795</v>
      </c>
      <c r="BL462" s="129">
        <v>48011</v>
      </c>
      <c r="BM462" s="129">
        <v>51385</v>
      </c>
      <c r="BN462" s="129">
        <v>42321</v>
      </c>
      <c r="BO462" s="59">
        <v>1.5100000000000001E-2</v>
      </c>
      <c r="BP462" s="59">
        <v>0.3357</v>
      </c>
      <c r="BQ462" s="59">
        <v>0.21740000000000001</v>
      </c>
      <c r="BR462" s="59">
        <v>0</v>
      </c>
      <c r="BS462" s="59">
        <v>0</v>
      </c>
      <c r="BT462" s="49">
        <v>9.9</v>
      </c>
      <c r="BU462" s="59">
        <f t="shared" si="36"/>
        <v>0.56820000000000004</v>
      </c>
      <c r="BV462" s="59">
        <v>3.9300000000000002E-2</v>
      </c>
      <c r="BW462" s="59">
        <v>0</v>
      </c>
      <c r="BX462" s="59">
        <v>3.7900000000000003E-2</v>
      </c>
      <c r="BY462" s="59">
        <v>0</v>
      </c>
      <c r="BZ462" s="59">
        <v>0</v>
      </c>
      <c r="CA462" s="49">
        <v>17.7</v>
      </c>
      <c r="CB462" s="59">
        <f t="shared" si="37"/>
        <v>7.7200000000000005E-2</v>
      </c>
      <c r="CC462" s="59">
        <v>0.3014</v>
      </c>
      <c r="CD462" s="59">
        <v>0.376</v>
      </c>
      <c r="CE462" s="59">
        <v>0.3226</v>
      </c>
      <c r="CF462" s="59">
        <v>0</v>
      </c>
      <c r="CG462" s="59">
        <v>0</v>
      </c>
      <c r="CH462" s="49">
        <v>10.7</v>
      </c>
      <c r="CI462" s="39" t="s">
        <v>249</v>
      </c>
      <c r="CJ462" s="18" t="s">
        <v>479</v>
      </c>
      <c r="CK462" s="20"/>
    </row>
    <row r="463" spans="1:89" x14ac:dyDescent="0.25">
      <c r="A463" s="18" t="s">
        <v>479</v>
      </c>
      <c r="B463" s="39" t="s">
        <v>248</v>
      </c>
      <c r="C463" s="39" t="s">
        <v>250</v>
      </c>
      <c r="D463" s="40">
        <v>6</v>
      </c>
      <c r="E463" s="40" t="s">
        <v>83</v>
      </c>
      <c r="F463" s="40">
        <v>6</v>
      </c>
      <c r="G463" s="162" t="s">
        <v>83</v>
      </c>
      <c r="H463" s="162" t="s">
        <v>83</v>
      </c>
      <c r="I463" s="163">
        <v>0</v>
      </c>
      <c r="J463" s="163">
        <v>0</v>
      </c>
      <c r="K463" s="163">
        <v>1</v>
      </c>
      <c r="L463" s="163">
        <v>1</v>
      </c>
      <c r="M463" s="163">
        <v>4</v>
      </c>
      <c r="N463" s="115">
        <v>5.3763440860215101E-3</v>
      </c>
      <c r="O463" s="115">
        <v>5.3763440860215101E-3</v>
      </c>
      <c r="P463" s="116" t="s">
        <v>83</v>
      </c>
      <c r="Q463" s="116" t="s">
        <v>83</v>
      </c>
      <c r="R463" s="115">
        <v>0</v>
      </c>
      <c r="S463" s="115">
        <v>0</v>
      </c>
      <c r="T463" s="115">
        <v>3.4482758620689698E-3</v>
      </c>
      <c r="U463" s="115">
        <v>4.3478260869565201E-3</v>
      </c>
      <c r="V463" s="115">
        <v>1.5384615384615399E-2</v>
      </c>
      <c r="W463" s="40">
        <v>1056</v>
      </c>
      <c r="X463" s="40">
        <f t="shared" si="34"/>
        <v>1056</v>
      </c>
      <c r="Y463" s="40">
        <f t="shared" si="35"/>
        <v>1056</v>
      </c>
      <c r="Z463" s="105">
        <v>0.501893939393939</v>
      </c>
      <c r="AA463" s="105">
        <v>0.498106060606061</v>
      </c>
      <c r="AB463" s="106">
        <f>86/1056</f>
        <v>8.1439393939393936E-2</v>
      </c>
      <c r="AC463" s="106">
        <f>20/1056</f>
        <v>1.893939393939394E-2</v>
      </c>
      <c r="AD463" s="106">
        <f>38/1056</f>
        <v>3.5984848484848488E-2</v>
      </c>
      <c r="AE463" s="106">
        <f>100/1056</f>
        <v>9.4696969696969696E-2</v>
      </c>
      <c r="AF463" s="106">
        <v>0</v>
      </c>
      <c r="AG463" s="106">
        <f>774/1056</f>
        <v>0.73295454545454541</v>
      </c>
      <c r="AH463" s="106">
        <f>38/1056</f>
        <v>3.5984848484848488E-2</v>
      </c>
      <c r="AI463" s="106">
        <f>282/1056</f>
        <v>0.26704545454545453</v>
      </c>
      <c r="AJ463" s="105">
        <v>0.50473484848484851</v>
      </c>
      <c r="AK463" s="105">
        <v>3.125E-2</v>
      </c>
      <c r="AL463" s="12">
        <v>0</v>
      </c>
      <c r="AM463" s="12">
        <v>0</v>
      </c>
      <c r="AN463" s="12">
        <v>43</v>
      </c>
      <c r="AO463" s="12">
        <v>261</v>
      </c>
      <c r="AP463" s="12">
        <v>284</v>
      </c>
      <c r="AQ463" s="12">
        <v>226</v>
      </c>
      <c r="AR463" s="12">
        <v>242</v>
      </c>
      <c r="AS463" s="59">
        <v>0.14144736842105263</v>
      </c>
      <c r="AT463" s="3">
        <v>9</v>
      </c>
      <c r="AU463" s="3">
        <v>6</v>
      </c>
      <c r="AV463" s="52">
        <v>63.4</v>
      </c>
      <c r="AW463" s="52">
        <v>20</v>
      </c>
      <c r="AX463" s="52">
        <v>16.2</v>
      </c>
      <c r="AY463" s="71">
        <v>0.4</v>
      </c>
      <c r="AZ463" s="59">
        <v>0.18541854185418541</v>
      </c>
      <c r="BA463" s="59">
        <v>5.0405040504050404E-2</v>
      </c>
      <c r="BB463" s="77">
        <v>92.029573985720603</v>
      </c>
      <c r="BC463" s="49">
        <v>32.973944294699002</v>
      </c>
      <c r="BD463" s="90" t="s">
        <v>83</v>
      </c>
      <c r="BE463" s="90" t="s">
        <v>83</v>
      </c>
      <c r="BF463" s="49">
        <v>5.9</v>
      </c>
      <c r="BG463" s="49">
        <v>3.9</v>
      </c>
      <c r="BH463" s="49">
        <v>1.5</v>
      </c>
      <c r="BI463" s="49">
        <v>3.3</v>
      </c>
      <c r="BJ463" s="49">
        <v>19.7</v>
      </c>
      <c r="BK463" s="129">
        <v>10856</v>
      </c>
      <c r="BL463" s="129">
        <v>49480</v>
      </c>
      <c r="BM463" s="129">
        <v>56561</v>
      </c>
      <c r="BN463" s="129">
        <v>41599</v>
      </c>
      <c r="BO463" s="59">
        <v>1.72E-2</v>
      </c>
      <c r="BP463" s="59">
        <v>0.40739999999999998</v>
      </c>
      <c r="BQ463" s="59">
        <v>0.1283</v>
      </c>
      <c r="BR463" s="59">
        <v>0</v>
      </c>
      <c r="BS463" s="59">
        <v>0</v>
      </c>
      <c r="BT463" s="49">
        <v>12.7</v>
      </c>
      <c r="BU463" s="59">
        <f t="shared" si="36"/>
        <v>0.55289999999999995</v>
      </c>
      <c r="BV463" s="59">
        <v>2.5600000000000001E-2</v>
      </c>
      <c r="BW463" s="59">
        <v>8.5000000000000006E-3</v>
      </c>
      <c r="BX463" s="59">
        <v>4.2700000000000002E-2</v>
      </c>
      <c r="BY463" s="59">
        <v>0</v>
      </c>
      <c r="BZ463" s="59">
        <v>0</v>
      </c>
      <c r="CA463" s="49">
        <v>25.3</v>
      </c>
      <c r="CB463" s="59">
        <f t="shared" si="37"/>
        <v>7.6800000000000007E-2</v>
      </c>
      <c r="CC463" s="59">
        <v>0.34460000000000002</v>
      </c>
      <c r="CD463" s="59">
        <v>0.45</v>
      </c>
      <c r="CE463" s="59">
        <v>0.20530000000000001</v>
      </c>
      <c r="CF463" s="59">
        <v>0</v>
      </c>
      <c r="CG463" s="59">
        <v>0</v>
      </c>
      <c r="CH463" s="49">
        <v>13.6</v>
      </c>
      <c r="CI463" s="39" t="s">
        <v>250</v>
      </c>
      <c r="CJ463" s="18" t="s">
        <v>479</v>
      </c>
      <c r="CK463" s="20"/>
    </row>
    <row r="464" spans="1:89" x14ac:dyDescent="0.25">
      <c r="A464" s="18" t="s">
        <v>479</v>
      </c>
      <c r="B464" s="39" t="s">
        <v>248</v>
      </c>
      <c r="C464" s="39" t="s">
        <v>251</v>
      </c>
      <c r="D464" s="40">
        <v>32</v>
      </c>
      <c r="E464" s="40" t="s">
        <v>83</v>
      </c>
      <c r="F464" s="40">
        <v>32</v>
      </c>
      <c r="G464" s="162" t="s">
        <v>83</v>
      </c>
      <c r="H464" s="162" t="s">
        <v>83</v>
      </c>
      <c r="I464" s="163">
        <v>0</v>
      </c>
      <c r="J464" s="163">
        <v>13</v>
      </c>
      <c r="K464" s="163">
        <v>10</v>
      </c>
      <c r="L464" s="163">
        <v>6</v>
      </c>
      <c r="M464" s="163">
        <v>3</v>
      </c>
      <c r="N464" s="115">
        <v>2.1978021978022001E-2</v>
      </c>
      <c r="O464" s="115">
        <v>2.1978021978022001E-2</v>
      </c>
      <c r="P464" s="116" t="s">
        <v>83</v>
      </c>
      <c r="Q464" s="116" t="s">
        <v>83</v>
      </c>
      <c r="R464" s="115">
        <v>0</v>
      </c>
      <c r="S464" s="115">
        <v>3.10262529832936E-2</v>
      </c>
      <c r="T464" s="115">
        <v>2.4691358024691398E-2</v>
      </c>
      <c r="U464" s="115">
        <v>1.9230769230769201E-2</v>
      </c>
      <c r="V464" s="115">
        <v>1.00334448160535E-2</v>
      </c>
      <c r="W464" s="40">
        <v>1361</v>
      </c>
      <c r="X464" s="40">
        <f t="shared" si="34"/>
        <v>1361</v>
      </c>
      <c r="Y464" s="40">
        <f t="shared" si="35"/>
        <v>1361</v>
      </c>
      <c r="Z464" s="105">
        <v>0.51506245407788398</v>
      </c>
      <c r="AA464" s="105">
        <v>0.48493754592211602</v>
      </c>
      <c r="AB464" s="106">
        <f>6/1361</f>
        <v>4.40852314474651E-3</v>
      </c>
      <c r="AC464" s="106">
        <f>7/1361</f>
        <v>5.1432770022042619E-3</v>
      </c>
      <c r="AD464" s="106">
        <f>526/1361</f>
        <v>0.38648052902277735</v>
      </c>
      <c r="AE464" s="106">
        <f>29/1361</f>
        <v>2.1307861866274799E-2</v>
      </c>
      <c r="AF464" s="106">
        <v>0</v>
      </c>
      <c r="AG464" s="106">
        <f>768/1361</f>
        <v>0.56429096252755329</v>
      </c>
      <c r="AH464" s="106">
        <f>25/1361</f>
        <v>1.8368846436443792E-2</v>
      </c>
      <c r="AI464" s="106">
        <f>593/1361</f>
        <v>0.43570903747244671</v>
      </c>
      <c r="AJ464" s="105">
        <v>0.59808963997060982</v>
      </c>
      <c r="AK464" s="105">
        <v>2.9390154298310099E-3</v>
      </c>
      <c r="AL464" s="12">
        <v>0</v>
      </c>
      <c r="AM464" s="12">
        <v>0</v>
      </c>
      <c r="AN464" s="12">
        <v>18</v>
      </c>
      <c r="AO464" s="12">
        <v>381</v>
      </c>
      <c r="AP464" s="12">
        <v>379</v>
      </c>
      <c r="AQ464" s="12">
        <v>300</v>
      </c>
      <c r="AR464" s="12">
        <v>283</v>
      </c>
      <c r="AS464" s="59">
        <v>4.5112781954887216E-2</v>
      </c>
      <c r="AT464" s="3">
        <v>9</v>
      </c>
      <c r="AU464" s="3">
        <v>6</v>
      </c>
      <c r="AV464" s="52">
        <v>58.9</v>
      </c>
      <c r="AW464" s="52">
        <v>22.5</v>
      </c>
      <c r="AX464" s="52">
        <v>17.8</v>
      </c>
      <c r="AY464" s="71">
        <v>0.8</v>
      </c>
      <c r="AZ464" s="59">
        <v>0.28680555555555554</v>
      </c>
      <c r="BA464" s="59">
        <v>0.15902777777777777</v>
      </c>
      <c r="BB464" s="78">
        <v>93.494800134981702</v>
      </c>
      <c r="BC464" s="49">
        <v>30.3448275862069</v>
      </c>
      <c r="BD464" s="90" t="s">
        <v>83</v>
      </c>
      <c r="BE464" s="90" t="s">
        <v>83</v>
      </c>
      <c r="BF464" s="49">
        <v>8.1999999999999993</v>
      </c>
      <c r="BG464" s="49">
        <v>10.1</v>
      </c>
      <c r="BH464" s="49">
        <v>3</v>
      </c>
      <c r="BI464" s="49">
        <v>3.8</v>
      </c>
      <c r="BJ464" s="49">
        <v>19.7</v>
      </c>
      <c r="BK464" s="129">
        <v>10065</v>
      </c>
      <c r="BL464" s="129">
        <v>50459</v>
      </c>
      <c r="BM464" s="129">
        <v>51181</v>
      </c>
      <c r="BN464" s="129">
        <v>41754</v>
      </c>
      <c r="BO464" s="59">
        <v>0</v>
      </c>
      <c r="BP464" s="59">
        <v>0.32219999999999999</v>
      </c>
      <c r="BQ464" s="59">
        <v>0.23400000000000001</v>
      </c>
      <c r="BR464" s="59">
        <v>0</v>
      </c>
      <c r="BS464" s="59">
        <v>0</v>
      </c>
      <c r="BT464" s="49">
        <v>12</v>
      </c>
      <c r="BU464" s="59">
        <f t="shared" si="36"/>
        <v>0.55620000000000003</v>
      </c>
      <c r="BV464" s="59">
        <v>3.6299999999999999E-2</v>
      </c>
      <c r="BW464" s="59">
        <v>0</v>
      </c>
      <c r="BX464" s="59">
        <v>3.6299999999999999E-2</v>
      </c>
      <c r="BY464" s="59">
        <v>0</v>
      </c>
      <c r="BZ464" s="59">
        <v>0</v>
      </c>
      <c r="CA464" s="49">
        <v>20.3</v>
      </c>
      <c r="CB464" s="59">
        <f t="shared" si="37"/>
        <v>7.2599999999999998E-2</v>
      </c>
      <c r="CC464" s="59">
        <v>0.31619999999999998</v>
      </c>
      <c r="CD464" s="59">
        <v>0.37140000000000001</v>
      </c>
      <c r="CE464" s="59">
        <v>0.31169999999999998</v>
      </c>
      <c r="CF464" s="59">
        <v>0</v>
      </c>
      <c r="CG464" s="59">
        <v>6.9999999999999999E-4</v>
      </c>
      <c r="CH464" s="49">
        <v>12.8</v>
      </c>
      <c r="CI464" s="39" t="s">
        <v>251</v>
      </c>
      <c r="CJ464" s="18" t="s">
        <v>479</v>
      </c>
      <c r="CK464" s="20"/>
    </row>
    <row r="465" spans="1:89" x14ac:dyDescent="0.25">
      <c r="A465" s="18" t="s">
        <v>479</v>
      </c>
      <c r="B465" s="39" t="s">
        <v>252</v>
      </c>
      <c r="C465" s="39" t="s">
        <v>253</v>
      </c>
      <c r="D465" s="40">
        <v>0</v>
      </c>
      <c r="E465" s="40" t="s">
        <v>83</v>
      </c>
      <c r="F465" s="40">
        <v>0</v>
      </c>
      <c r="G465" s="162" t="s">
        <v>83</v>
      </c>
      <c r="H465" s="162" t="s">
        <v>83</v>
      </c>
      <c r="I465" s="162" t="s">
        <v>83</v>
      </c>
      <c r="J465" s="163">
        <v>0</v>
      </c>
      <c r="K465" s="163">
        <v>0</v>
      </c>
      <c r="L465" s="163">
        <v>0</v>
      </c>
      <c r="M465" s="163">
        <v>0</v>
      </c>
      <c r="N465" s="115">
        <v>0</v>
      </c>
      <c r="O465" s="115">
        <v>0</v>
      </c>
      <c r="P465" s="116" t="s">
        <v>83</v>
      </c>
      <c r="Q465" s="116" t="s">
        <v>83</v>
      </c>
      <c r="R465" s="116" t="s">
        <v>83</v>
      </c>
      <c r="S465" s="115">
        <v>0</v>
      </c>
      <c r="T465" s="115">
        <v>0</v>
      </c>
      <c r="U465" s="115">
        <v>0</v>
      </c>
      <c r="V465" s="115">
        <v>0</v>
      </c>
      <c r="W465" s="40">
        <v>524</v>
      </c>
      <c r="X465" s="40">
        <f t="shared" si="34"/>
        <v>524</v>
      </c>
      <c r="Y465" s="40">
        <f t="shared" si="35"/>
        <v>524</v>
      </c>
      <c r="Z465" s="105">
        <v>0.50954198473282397</v>
      </c>
      <c r="AA465" s="105">
        <v>0.49045801526717597</v>
      </c>
      <c r="AB465" s="106">
        <f>6/524</f>
        <v>1.1450381679389313E-2</v>
      </c>
      <c r="AC465" s="106">
        <v>0</v>
      </c>
      <c r="AD465" s="106">
        <f>76/524</f>
        <v>0.14503816793893129</v>
      </c>
      <c r="AE465" s="106">
        <f>6/524</f>
        <v>1.1450381679389313E-2</v>
      </c>
      <c r="AF465" s="106">
        <v>0</v>
      </c>
      <c r="AG465" s="106">
        <f>436/524</f>
        <v>0.83206106870229013</v>
      </c>
      <c r="AH465" s="106">
        <v>0</v>
      </c>
      <c r="AI465" s="106">
        <f>88/524</f>
        <v>0.16793893129770993</v>
      </c>
      <c r="AJ465" s="105">
        <v>0.51526717557251911</v>
      </c>
      <c r="AK465" s="105">
        <v>1.90839694656489E-3</v>
      </c>
      <c r="AL465" s="12">
        <v>0</v>
      </c>
      <c r="AM465" s="12">
        <v>0</v>
      </c>
      <c r="AN465" s="12">
        <v>0</v>
      </c>
      <c r="AO465" s="12">
        <v>122</v>
      </c>
      <c r="AP465" s="12">
        <v>158</v>
      </c>
      <c r="AQ465" s="12">
        <v>102</v>
      </c>
      <c r="AR465" s="12">
        <v>142</v>
      </c>
      <c r="AS465" s="59">
        <v>0</v>
      </c>
      <c r="AT465" s="3">
        <v>9</v>
      </c>
      <c r="AU465" s="3">
        <v>6</v>
      </c>
      <c r="AV465" s="52">
        <v>78.400000000000006</v>
      </c>
      <c r="AW465" s="52">
        <v>14.2</v>
      </c>
      <c r="AX465" s="52">
        <v>7.4</v>
      </c>
      <c r="AY465" s="70">
        <v>0</v>
      </c>
      <c r="AZ465" s="59">
        <v>0.16606498194945848</v>
      </c>
      <c r="BA465" s="59">
        <v>0</v>
      </c>
      <c r="BB465" s="77">
        <v>93.358468010758898</v>
      </c>
      <c r="BC465" s="49">
        <v>52.707581227436798</v>
      </c>
      <c r="BD465" s="90" t="s">
        <v>83</v>
      </c>
      <c r="BE465" s="90" t="s">
        <v>83</v>
      </c>
      <c r="BF465" s="49">
        <v>1.7</v>
      </c>
      <c r="BG465" s="49">
        <v>0</v>
      </c>
      <c r="BH465" s="49">
        <v>0</v>
      </c>
      <c r="BI465" s="49">
        <v>2.1</v>
      </c>
      <c r="BJ465" s="49">
        <v>20.100000000000001</v>
      </c>
      <c r="BK465" s="129">
        <v>9827</v>
      </c>
      <c r="BL465" s="129">
        <v>47136</v>
      </c>
      <c r="BM465" s="129">
        <v>53477</v>
      </c>
      <c r="BN465" s="129">
        <v>42304</v>
      </c>
      <c r="BO465" s="59">
        <v>0</v>
      </c>
      <c r="BP465" s="59">
        <v>0.47310000000000002</v>
      </c>
      <c r="BQ465" s="59">
        <v>0.2019</v>
      </c>
      <c r="BR465" s="59">
        <v>2.07E-2</v>
      </c>
      <c r="BS465" s="59">
        <v>0</v>
      </c>
      <c r="BT465" s="49">
        <v>11.1</v>
      </c>
      <c r="BU465" s="59">
        <f t="shared" si="36"/>
        <v>0.6957000000000001</v>
      </c>
      <c r="BV465" s="59">
        <v>2.07E-2</v>
      </c>
      <c r="BW465" s="59">
        <v>0</v>
      </c>
      <c r="BX465" s="59">
        <v>4.1399999999999999E-2</v>
      </c>
      <c r="BY465" s="59">
        <v>1.44E-2</v>
      </c>
      <c r="BZ465" s="59">
        <v>0</v>
      </c>
      <c r="CA465" s="49">
        <v>22.4</v>
      </c>
      <c r="CB465" s="59">
        <f t="shared" si="37"/>
        <v>7.6499999999999999E-2</v>
      </c>
      <c r="CC465" s="59">
        <v>0.2087</v>
      </c>
      <c r="CD465" s="59">
        <v>0.49020000000000002</v>
      </c>
      <c r="CE465" s="59">
        <v>0.26600000000000001</v>
      </c>
      <c r="CF465" s="59">
        <v>3.5099999999999999E-2</v>
      </c>
      <c r="CG465" s="59">
        <v>0</v>
      </c>
      <c r="CH465" s="49">
        <v>12.2</v>
      </c>
      <c r="CI465" s="39" t="s">
        <v>253</v>
      </c>
      <c r="CJ465" s="18" t="s">
        <v>479</v>
      </c>
      <c r="CK465" s="20"/>
    </row>
    <row r="466" spans="1:89" x14ac:dyDescent="0.25">
      <c r="A466" s="18" t="s">
        <v>479</v>
      </c>
      <c r="B466" s="39" t="s">
        <v>252</v>
      </c>
      <c r="C466" s="39" t="s">
        <v>254</v>
      </c>
      <c r="D466" s="40">
        <v>1</v>
      </c>
      <c r="E466" s="40" t="s">
        <v>83</v>
      </c>
      <c r="F466" s="40">
        <v>1</v>
      </c>
      <c r="G466" s="162" t="s">
        <v>83</v>
      </c>
      <c r="H466" s="162" t="s">
        <v>83</v>
      </c>
      <c r="I466" s="162" t="s">
        <v>83</v>
      </c>
      <c r="J466" s="163">
        <v>0</v>
      </c>
      <c r="K466" s="163">
        <v>0</v>
      </c>
      <c r="L466" s="163">
        <v>0</v>
      </c>
      <c r="M466" s="163">
        <v>1</v>
      </c>
      <c r="N466" s="115">
        <v>4.20168067226891E-3</v>
      </c>
      <c r="O466" s="115">
        <v>4.20168067226891E-3</v>
      </c>
      <c r="P466" s="116" t="s">
        <v>83</v>
      </c>
      <c r="Q466" s="116" t="s">
        <v>83</v>
      </c>
      <c r="R466" s="116" t="s">
        <v>83</v>
      </c>
      <c r="S466" s="115">
        <v>0</v>
      </c>
      <c r="T466" s="115">
        <v>0</v>
      </c>
      <c r="U466" s="115">
        <v>0</v>
      </c>
      <c r="V466" s="115">
        <v>2.04081632653061E-2</v>
      </c>
      <c r="W466" s="40">
        <v>226</v>
      </c>
      <c r="X466" s="40">
        <f t="shared" si="34"/>
        <v>226</v>
      </c>
      <c r="Y466" s="40">
        <f t="shared" si="35"/>
        <v>226</v>
      </c>
      <c r="Z466" s="105">
        <v>0.50442477876106195</v>
      </c>
      <c r="AA466" s="105">
        <v>0.49557522123893799</v>
      </c>
      <c r="AB466" s="106">
        <v>0</v>
      </c>
      <c r="AC466" s="106">
        <f>2/226</f>
        <v>8.8495575221238937E-3</v>
      </c>
      <c r="AD466" s="106">
        <f>7/226</f>
        <v>3.0973451327433628E-2</v>
      </c>
      <c r="AE466" s="106">
        <v>0</v>
      </c>
      <c r="AF466" s="106">
        <v>0</v>
      </c>
      <c r="AG466" s="106">
        <f>217/226</f>
        <v>0.96017699115044253</v>
      </c>
      <c r="AH466" s="106">
        <v>0</v>
      </c>
      <c r="AI466" s="106">
        <f>9/226</f>
        <v>3.9823008849557522E-2</v>
      </c>
      <c r="AJ466" s="105">
        <v>0.56194690265486724</v>
      </c>
      <c r="AK466" s="105">
        <v>0</v>
      </c>
      <c r="AL466" s="12">
        <v>0</v>
      </c>
      <c r="AM466" s="12">
        <v>0</v>
      </c>
      <c r="AN466" s="12">
        <v>0</v>
      </c>
      <c r="AO466" s="12">
        <v>63</v>
      </c>
      <c r="AP466" s="12">
        <v>76</v>
      </c>
      <c r="AQ466" s="12">
        <v>41</v>
      </c>
      <c r="AR466" s="12">
        <v>46</v>
      </c>
      <c r="AS466" s="59">
        <v>0</v>
      </c>
      <c r="AT466" s="3">
        <v>9</v>
      </c>
      <c r="AU466" s="3">
        <v>6</v>
      </c>
      <c r="AV466" s="52">
        <v>68.3</v>
      </c>
      <c r="AW466" s="52">
        <v>25</v>
      </c>
      <c r="AX466" s="52">
        <v>6.7</v>
      </c>
      <c r="AY466" s="70">
        <v>0</v>
      </c>
      <c r="AZ466" s="59">
        <v>0.21008403361344538</v>
      </c>
      <c r="BA466" s="59">
        <v>2.100840336134454E-2</v>
      </c>
      <c r="BB466" s="78">
        <v>92.915825099623305</v>
      </c>
      <c r="BC466" s="49">
        <v>48.117154811715501</v>
      </c>
      <c r="BD466" s="90" t="s">
        <v>83</v>
      </c>
      <c r="BE466" s="90" t="s">
        <v>83</v>
      </c>
      <c r="BF466" s="49">
        <v>3.3</v>
      </c>
      <c r="BG466" s="49">
        <v>5.0999999999999996</v>
      </c>
      <c r="BH466" s="49">
        <v>0</v>
      </c>
      <c r="BI466" s="49">
        <v>0</v>
      </c>
      <c r="BJ466" s="49">
        <v>19.100000000000001</v>
      </c>
      <c r="BK466" s="129">
        <v>11551</v>
      </c>
      <c r="BL466" s="129">
        <v>49312</v>
      </c>
      <c r="BM466" s="129">
        <v>48038</v>
      </c>
      <c r="BN466" s="129">
        <v>41092</v>
      </c>
      <c r="BO466" s="59">
        <v>0</v>
      </c>
      <c r="BP466" s="59">
        <v>0.36220000000000002</v>
      </c>
      <c r="BQ466" s="59">
        <v>0.2198</v>
      </c>
      <c r="BR466" s="59">
        <v>0</v>
      </c>
      <c r="BS466" s="59">
        <v>0</v>
      </c>
      <c r="BT466" s="49">
        <v>13.8</v>
      </c>
      <c r="BU466" s="59">
        <f t="shared" si="36"/>
        <v>0.58200000000000007</v>
      </c>
      <c r="BV466" s="59">
        <v>3.5799999999999998E-2</v>
      </c>
      <c r="BW466" s="59">
        <v>0</v>
      </c>
      <c r="BX466" s="59">
        <v>7.6700000000000004E-2</v>
      </c>
      <c r="BY466" s="59">
        <v>0</v>
      </c>
      <c r="BZ466" s="59">
        <v>0</v>
      </c>
      <c r="CA466" s="49">
        <v>14.1</v>
      </c>
      <c r="CB466" s="59">
        <f t="shared" si="37"/>
        <v>0.1125</v>
      </c>
      <c r="CC466" s="59">
        <v>0.30299999999999999</v>
      </c>
      <c r="CD466" s="59">
        <v>0.36220000000000002</v>
      </c>
      <c r="CE466" s="59">
        <v>0.33479999999999999</v>
      </c>
      <c r="CF466" s="59">
        <v>0</v>
      </c>
      <c r="CG466" s="59">
        <v>0</v>
      </c>
      <c r="CH466" s="49">
        <v>13.2</v>
      </c>
      <c r="CI466" s="39" t="s">
        <v>254</v>
      </c>
      <c r="CJ466" s="18" t="s">
        <v>479</v>
      </c>
      <c r="CK466" s="20"/>
    </row>
    <row r="467" spans="1:89" x14ac:dyDescent="0.25">
      <c r="A467" s="18" t="s">
        <v>479</v>
      </c>
      <c r="B467" s="39" t="s">
        <v>255</v>
      </c>
      <c r="C467" s="39" t="s">
        <v>256</v>
      </c>
      <c r="D467" s="40">
        <v>7</v>
      </c>
      <c r="E467" s="40" t="s">
        <v>83</v>
      </c>
      <c r="F467" s="40">
        <v>7</v>
      </c>
      <c r="G467" s="162" t="s">
        <v>83</v>
      </c>
      <c r="H467" s="162" t="s">
        <v>83</v>
      </c>
      <c r="I467" s="163">
        <v>1</v>
      </c>
      <c r="J467" s="163">
        <v>3</v>
      </c>
      <c r="K467" s="163">
        <v>1</v>
      </c>
      <c r="L467" s="163">
        <v>1</v>
      </c>
      <c r="M467" s="163">
        <v>1</v>
      </c>
      <c r="N467" s="115">
        <v>3.3492822966507199E-2</v>
      </c>
      <c r="O467" s="115">
        <v>3.3492822966507199E-2</v>
      </c>
      <c r="P467" s="116" t="s">
        <v>83</v>
      </c>
      <c r="Q467" s="116" t="s">
        <v>83</v>
      </c>
      <c r="R467" s="115">
        <v>0.33333333333333298</v>
      </c>
      <c r="S467" s="115">
        <v>6.5217391304347797E-2</v>
      </c>
      <c r="T467" s="115">
        <v>1.5384615384615399E-2</v>
      </c>
      <c r="U467" s="115">
        <v>0.02</v>
      </c>
      <c r="V467" s="115">
        <v>2.2222222222222199E-2</v>
      </c>
      <c r="W467" s="40">
        <v>183</v>
      </c>
      <c r="X467" s="40">
        <f t="shared" si="34"/>
        <v>183</v>
      </c>
      <c r="Y467" s="40">
        <f t="shared" si="35"/>
        <v>183</v>
      </c>
      <c r="Z467" s="105">
        <v>0.56284153005464499</v>
      </c>
      <c r="AA467" s="105">
        <v>0.43715846994535501</v>
      </c>
      <c r="AB467" s="106">
        <v>0</v>
      </c>
      <c r="AC467" s="106">
        <f>1/183</f>
        <v>5.4644808743169399E-3</v>
      </c>
      <c r="AD467" s="106">
        <f>139/183</f>
        <v>0.7595628415300546</v>
      </c>
      <c r="AE467" s="106">
        <f>1/183</f>
        <v>5.4644808743169399E-3</v>
      </c>
      <c r="AF467" s="106">
        <v>0</v>
      </c>
      <c r="AG467" s="106">
        <f>39/183</f>
        <v>0.21311475409836064</v>
      </c>
      <c r="AH467" s="106">
        <f>3/183</f>
        <v>1.6393442622950821E-2</v>
      </c>
      <c r="AI467" s="106">
        <f>144/183</f>
        <v>0.78688524590163933</v>
      </c>
      <c r="AJ467" s="105">
        <v>0.72131147540983609</v>
      </c>
      <c r="AK467" s="105">
        <v>0</v>
      </c>
      <c r="AL467" s="12">
        <v>0</v>
      </c>
      <c r="AM467" s="12">
        <v>0</v>
      </c>
      <c r="AN467" s="12">
        <v>1</v>
      </c>
      <c r="AO467" s="12">
        <v>40</v>
      </c>
      <c r="AP467" s="12">
        <v>58</v>
      </c>
      <c r="AQ467" s="12">
        <v>43</v>
      </c>
      <c r="AR467" s="12">
        <v>41</v>
      </c>
      <c r="AS467" s="59">
        <v>2.4390243902439025E-2</v>
      </c>
      <c r="AT467" s="3">
        <v>9</v>
      </c>
      <c r="AU467" s="3">
        <v>8</v>
      </c>
      <c r="AV467" s="52">
        <v>94</v>
      </c>
      <c r="AW467" s="52">
        <v>5.2</v>
      </c>
      <c r="AX467" s="52">
        <v>0.9</v>
      </c>
      <c r="AY467" s="70">
        <v>0</v>
      </c>
      <c r="AZ467" s="59">
        <v>0</v>
      </c>
      <c r="BA467" s="59">
        <v>2.8846153846153848E-2</v>
      </c>
      <c r="BB467" s="77">
        <v>97.368240225383104</v>
      </c>
      <c r="BC467" s="49">
        <v>12.9186602870813</v>
      </c>
      <c r="BD467" s="90" t="s">
        <v>83</v>
      </c>
      <c r="BE467" s="90" t="s">
        <v>83</v>
      </c>
      <c r="BF467" s="49">
        <v>0</v>
      </c>
      <c r="BG467" s="49">
        <v>3.7</v>
      </c>
      <c r="BH467" s="49">
        <v>2.8</v>
      </c>
      <c r="BI467" s="49">
        <v>2.4</v>
      </c>
      <c r="BJ467" s="49">
        <v>17.3</v>
      </c>
      <c r="BK467" s="129">
        <v>8510</v>
      </c>
      <c r="BL467" s="129">
        <v>47807</v>
      </c>
      <c r="BM467" s="129">
        <v>67582</v>
      </c>
      <c r="BN467" s="129">
        <v>40085</v>
      </c>
      <c r="BO467" s="59">
        <v>0</v>
      </c>
      <c r="BP467" s="59">
        <v>0.3095</v>
      </c>
      <c r="BQ467" s="59">
        <v>0.30740000000000001</v>
      </c>
      <c r="BR467" s="59">
        <v>0</v>
      </c>
      <c r="BS467" s="59">
        <v>0</v>
      </c>
      <c r="BT467" s="49">
        <v>17.7</v>
      </c>
      <c r="BU467" s="59">
        <f t="shared" si="36"/>
        <v>0.6169</v>
      </c>
      <c r="BV467" s="59">
        <v>0</v>
      </c>
      <c r="BW467" s="59">
        <v>0</v>
      </c>
      <c r="BX467" s="59">
        <v>0</v>
      </c>
      <c r="BY467" s="59">
        <v>0</v>
      </c>
      <c r="BZ467" s="59">
        <v>7.7399999999999997E-2</v>
      </c>
      <c r="CA467" s="49">
        <v>31</v>
      </c>
      <c r="CB467" s="59">
        <f t="shared" si="37"/>
        <v>7.7399999999999997E-2</v>
      </c>
      <c r="CC467" s="59">
        <v>0.2321</v>
      </c>
      <c r="CD467" s="59">
        <v>0.3095</v>
      </c>
      <c r="CE467" s="59">
        <v>0.38100000000000001</v>
      </c>
      <c r="CF467" s="59">
        <v>0</v>
      </c>
      <c r="CG467" s="59">
        <v>7.7399999999999997E-2</v>
      </c>
      <c r="CH467" s="49">
        <v>15.9</v>
      </c>
      <c r="CI467" s="39" t="s">
        <v>256</v>
      </c>
      <c r="CJ467" s="18" t="s">
        <v>479</v>
      </c>
      <c r="CK467" s="20"/>
    </row>
    <row r="468" spans="1:89" x14ac:dyDescent="0.25">
      <c r="A468" s="18" t="s">
        <v>479</v>
      </c>
      <c r="B468" s="39" t="s">
        <v>255</v>
      </c>
      <c r="C468" s="39" t="s">
        <v>257</v>
      </c>
      <c r="D468" s="40">
        <v>0</v>
      </c>
      <c r="E468" s="40">
        <v>0</v>
      </c>
      <c r="F468" s="40">
        <v>0</v>
      </c>
      <c r="G468" s="163">
        <v>0</v>
      </c>
      <c r="H468" s="163">
        <v>0</v>
      </c>
      <c r="I468" s="163">
        <v>0</v>
      </c>
      <c r="J468" s="163">
        <v>0</v>
      </c>
      <c r="K468" s="163">
        <v>0</v>
      </c>
      <c r="L468" s="163">
        <v>0</v>
      </c>
      <c r="M468" s="163">
        <v>0</v>
      </c>
      <c r="N468" s="115">
        <v>0</v>
      </c>
      <c r="O468" s="115">
        <v>0</v>
      </c>
      <c r="P468" s="115">
        <v>0</v>
      </c>
      <c r="Q468" s="115">
        <v>0</v>
      </c>
      <c r="R468" s="115">
        <v>0</v>
      </c>
      <c r="S468" s="115">
        <v>0</v>
      </c>
      <c r="T468" s="115">
        <v>0</v>
      </c>
      <c r="U468" s="115">
        <v>0</v>
      </c>
      <c r="V468" s="115">
        <v>0</v>
      </c>
      <c r="W468" s="40">
        <v>299</v>
      </c>
      <c r="X468" s="40">
        <f t="shared" si="34"/>
        <v>200</v>
      </c>
      <c r="Y468" s="40">
        <f t="shared" si="35"/>
        <v>299</v>
      </c>
      <c r="Z468" s="105">
        <v>0.47826086956521702</v>
      </c>
      <c r="AA468" s="105">
        <v>0.52173913043478304</v>
      </c>
      <c r="AB468" s="106">
        <f>1/299</f>
        <v>3.3444816053511705E-3</v>
      </c>
      <c r="AC468" s="106">
        <v>0</v>
      </c>
      <c r="AD468" s="106">
        <f>25/299</f>
        <v>8.3612040133779264E-2</v>
      </c>
      <c r="AE468" s="106">
        <f>9/299</f>
        <v>3.0100334448160536E-2</v>
      </c>
      <c r="AF468" s="106">
        <v>0</v>
      </c>
      <c r="AG468" s="106">
        <f>264/299</f>
        <v>0.882943143812709</v>
      </c>
      <c r="AH468" s="106">
        <v>0</v>
      </c>
      <c r="AI468" s="106">
        <f>35/299</f>
        <v>0.11705685618729098</v>
      </c>
      <c r="AJ468" s="105">
        <v>0.41137123745819398</v>
      </c>
      <c r="AK468" s="105">
        <v>6.6889632107023402E-3</v>
      </c>
      <c r="AL468" s="12">
        <v>51</v>
      </c>
      <c r="AM468" s="12">
        <v>48</v>
      </c>
      <c r="AN468" s="12">
        <v>1</v>
      </c>
      <c r="AO468" s="12">
        <v>56</v>
      </c>
      <c r="AP468" s="12">
        <v>52</v>
      </c>
      <c r="AQ468" s="12">
        <v>54</v>
      </c>
      <c r="AR468" s="12">
        <v>37</v>
      </c>
      <c r="AS468" s="59">
        <v>1.7543859649122806E-2</v>
      </c>
      <c r="AT468" s="3">
        <v>7</v>
      </c>
      <c r="AU468" s="3">
        <v>6</v>
      </c>
      <c r="AV468" s="52">
        <v>91.7</v>
      </c>
      <c r="AW468" s="52">
        <v>8.3000000000000007</v>
      </c>
      <c r="AX468" s="53">
        <v>0</v>
      </c>
      <c r="AY468" s="70">
        <v>0</v>
      </c>
      <c r="AZ468" s="59">
        <v>0.19496855345911951</v>
      </c>
      <c r="BA468" s="59">
        <v>9.1194968553459113E-2</v>
      </c>
      <c r="BB468" s="77">
        <v>95.674250661633494</v>
      </c>
      <c r="BC468" s="49">
        <v>8.4112149532710294</v>
      </c>
      <c r="BD468" s="49">
        <v>4.0999999999999996</v>
      </c>
      <c r="BE468" s="49">
        <v>2</v>
      </c>
      <c r="BF468" s="49">
        <v>1.9</v>
      </c>
      <c r="BG468" s="49">
        <v>0</v>
      </c>
      <c r="BH468" s="49">
        <v>2.1</v>
      </c>
      <c r="BI468" s="49">
        <v>0</v>
      </c>
      <c r="BJ468" s="49">
        <v>19.899999999999999</v>
      </c>
      <c r="BK468" s="129">
        <v>13906</v>
      </c>
      <c r="BL468" s="129">
        <v>50679</v>
      </c>
      <c r="BM468" s="129">
        <v>50590</v>
      </c>
      <c r="BN468" s="129">
        <v>45296</v>
      </c>
      <c r="BO468" s="59">
        <v>0</v>
      </c>
      <c r="BP468" s="59">
        <v>0.29199999999999998</v>
      </c>
      <c r="BQ468" s="59">
        <v>0.36499999999999999</v>
      </c>
      <c r="BR468" s="59">
        <v>0</v>
      </c>
      <c r="BS468" s="59">
        <v>0</v>
      </c>
      <c r="BT468" s="49">
        <v>13.6</v>
      </c>
      <c r="BU468" s="59">
        <f t="shared" si="36"/>
        <v>0.65700000000000003</v>
      </c>
      <c r="BV468" s="59">
        <v>2.4299999999999999E-2</v>
      </c>
      <c r="BW468" s="59">
        <v>2.4299999999999999E-2</v>
      </c>
      <c r="BX468" s="59">
        <v>4.87E-2</v>
      </c>
      <c r="BY468" s="59">
        <v>0</v>
      </c>
      <c r="BZ468" s="59">
        <v>0</v>
      </c>
      <c r="CA468" s="49">
        <v>13.3</v>
      </c>
      <c r="CB468" s="59">
        <f t="shared" si="37"/>
        <v>9.7299999999999998E-2</v>
      </c>
      <c r="CC468" s="59">
        <v>0.19700000000000001</v>
      </c>
      <c r="CD468" s="59">
        <v>0.3407</v>
      </c>
      <c r="CE468" s="59">
        <v>0.46229999999999999</v>
      </c>
      <c r="CF468" s="59">
        <v>0</v>
      </c>
      <c r="CG468" s="59">
        <v>0</v>
      </c>
      <c r="CH468" s="49">
        <v>12.4</v>
      </c>
      <c r="CI468" s="39" t="s">
        <v>257</v>
      </c>
      <c r="CJ468" s="18" t="s">
        <v>479</v>
      </c>
      <c r="CK468" s="20"/>
    </row>
    <row r="469" spans="1:89" x14ac:dyDescent="0.25">
      <c r="A469" s="18" t="s">
        <v>479</v>
      </c>
      <c r="B469" s="39" t="s">
        <v>255</v>
      </c>
      <c r="C469" s="39" t="s">
        <v>258</v>
      </c>
      <c r="D469" s="40">
        <v>8</v>
      </c>
      <c r="E469" s="40" t="s">
        <v>83</v>
      </c>
      <c r="F469" s="40">
        <v>8</v>
      </c>
      <c r="G469" s="162" t="s">
        <v>83</v>
      </c>
      <c r="H469" s="162" t="s">
        <v>83</v>
      </c>
      <c r="I469" s="163">
        <v>0</v>
      </c>
      <c r="J469" s="163">
        <v>2</v>
      </c>
      <c r="K469" s="163">
        <v>1</v>
      </c>
      <c r="L469" s="163">
        <v>2</v>
      </c>
      <c r="M469" s="163">
        <v>3</v>
      </c>
      <c r="N469" s="115">
        <v>5.8394160583941602E-3</v>
      </c>
      <c r="O469" s="115">
        <v>5.8394160583941602E-3</v>
      </c>
      <c r="P469" s="116" t="s">
        <v>83</v>
      </c>
      <c r="Q469" s="116" t="s">
        <v>83</v>
      </c>
      <c r="R469" s="115">
        <v>0</v>
      </c>
      <c r="S469" s="115">
        <v>5.60224089635854E-3</v>
      </c>
      <c r="T469" s="115">
        <v>2.77008310249307E-3</v>
      </c>
      <c r="U469" s="115">
        <v>6.2893081761006301E-3</v>
      </c>
      <c r="V469" s="115">
        <v>1.0273972602739699E-2</v>
      </c>
      <c r="W469" s="40">
        <v>1315</v>
      </c>
      <c r="X469" s="40">
        <f t="shared" si="34"/>
        <v>1315</v>
      </c>
      <c r="Y469" s="40">
        <f t="shared" si="35"/>
        <v>1315</v>
      </c>
      <c r="Z469" s="105">
        <v>0.52091254752851701</v>
      </c>
      <c r="AA469" s="105">
        <v>0.47908745247148299</v>
      </c>
      <c r="AB469" s="106">
        <f>1/1315</f>
        <v>7.6045627376425851E-4</v>
      </c>
      <c r="AC469" s="106">
        <f>9/1315</f>
        <v>6.8441064638783272E-3</v>
      </c>
      <c r="AD469" s="106">
        <f>654/1315</f>
        <v>0.49733840304182508</v>
      </c>
      <c r="AE469" s="106">
        <f>47/1315</f>
        <v>3.5741444866920151E-2</v>
      </c>
      <c r="AF469" s="106">
        <v>0</v>
      </c>
      <c r="AG469" s="106">
        <f>595/1315</f>
        <v>0.45247148288973382</v>
      </c>
      <c r="AH469" s="106">
        <f>9/1315</f>
        <v>6.8441064638783272E-3</v>
      </c>
      <c r="AI469" s="106">
        <f>720/1315</f>
        <v>0.54752851711026618</v>
      </c>
      <c r="AJ469" s="105">
        <v>0.56577946768060838</v>
      </c>
      <c r="AK469" s="105">
        <v>1.5209125475285201E-2</v>
      </c>
      <c r="AL469" s="12">
        <v>0</v>
      </c>
      <c r="AM469" s="12">
        <v>0</v>
      </c>
      <c r="AN469" s="12">
        <v>41</v>
      </c>
      <c r="AO469" s="12">
        <v>345</v>
      </c>
      <c r="AP469" s="12">
        <v>343</v>
      </c>
      <c r="AQ469" s="12">
        <v>304</v>
      </c>
      <c r="AR469" s="12">
        <v>282</v>
      </c>
      <c r="AS469" s="59">
        <v>0.10621761658031088</v>
      </c>
      <c r="AT469" s="3">
        <v>9</v>
      </c>
      <c r="AU469" s="3">
        <v>6</v>
      </c>
      <c r="AV469" s="52">
        <v>64.7</v>
      </c>
      <c r="AW469" s="52">
        <v>26.4</v>
      </c>
      <c r="AX469" s="52">
        <v>8.4</v>
      </c>
      <c r="AY469" s="71">
        <v>0.5</v>
      </c>
      <c r="AZ469" s="59">
        <v>0.21114369501466276</v>
      </c>
      <c r="BA469" s="59">
        <v>0.12463343108504399</v>
      </c>
      <c r="BB469" s="78">
        <v>94.450782704064196</v>
      </c>
      <c r="BC469" s="49">
        <v>18.241758241758198</v>
      </c>
      <c r="BD469" s="90" t="s">
        <v>83</v>
      </c>
      <c r="BE469" s="90" t="s">
        <v>83</v>
      </c>
      <c r="BF469" s="49">
        <v>0.6</v>
      </c>
      <c r="BG469" s="49">
        <v>1.5</v>
      </c>
      <c r="BH469" s="49">
        <v>1.4</v>
      </c>
      <c r="BI469" s="49">
        <v>1.4</v>
      </c>
      <c r="BJ469" s="49">
        <v>20.3</v>
      </c>
      <c r="BK469" s="129">
        <v>11935</v>
      </c>
      <c r="BL469" s="129">
        <v>50178</v>
      </c>
      <c r="BM469" s="129">
        <v>51105</v>
      </c>
      <c r="BN469" s="129">
        <v>46668</v>
      </c>
      <c r="BO469" s="59">
        <v>0</v>
      </c>
      <c r="BP469" s="59">
        <v>0.34079999999999999</v>
      </c>
      <c r="BQ469" s="59">
        <v>0.33679999999999999</v>
      </c>
      <c r="BR469" s="59">
        <v>0</v>
      </c>
      <c r="BS469" s="59">
        <v>1.04E-2</v>
      </c>
      <c r="BT469" s="49">
        <v>12.3</v>
      </c>
      <c r="BU469" s="59">
        <f t="shared" si="36"/>
        <v>0.68799999999999994</v>
      </c>
      <c r="BV469" s="59">
        <v>2.9000000000000001E-2</v>
      </c>
      <c r="BW469" s="59">
        <v>1.4500000000000001E-2</v>
      </c>
      <c r="BX469" s="59">
        <v>3.61E-2</v>
      </c>
      <c r="BY469" s="59">
        <v>0</v>
      </c>
      <c r="BZ469" s="59">
        <v>4.0000000000000002E-4</v>
      </c>
      <c r="CA469" s="49">
        <v>20</v>
      </c>
      <c r="CB469" s="59">
        <f t="shared" si="37"/>
        <v>0.08</v>
      </c>
      <c r="CC469" s="59">
        <v>0.15210000000000001</v>
      </c>
      <c r="CD469" s="59">
        <v>0.38429999999999997</v>
      </c>
      <c r="CE469" s="59">
        <v>0.45279999999999998</v>
      </c>
      <c r="CF469" s="59">
        <v>0</v>
      </c>
      <c r="CG469" s="59">
        <v>1.0800000000000001E-2</v>
      </c>
      <c r="CH469" s="49">
        <v>12.8</v>
      </c>
      <c r="CI469" s="39" t="s">
        <v>258</v>
      </c>
      <c r="CJ469" s="18" t="s">
        <v>479</v>
      </c>
      <c r="CK469" s="20"/>
    </row>
    <row r="470" spans="1:89" x14ac:dyDescent="0.25">
      <c r="A470" s="18" t="s">
        <v>479</v>
      </c>
      <c r="B470" s="39" t="s">
        <v>255</v>
      </c>
      <c r="C470" s="39" t="s">
        <v>259</v>
      </c>
      <c r="D470" s="40">
        <v>3</v>
      </c>
      <c r="E470" s="40">
        <v>2</v>
      </c>
      <c r="F470" s="40">
        <v>1</v>
      </c>
      <c r="G470" s="163">
        <v>1</v>
      </c>
      <c r="H470" s="163">
        <v>1</v>
      </c>
      <c r="I470" s="163">
        <v>0</v>
      </c>
      <c r="J470" s="163">
        <v>0</v>
      </c>
      <c r="K470" s="163">
        <v>0</v>
      </c>
      <c r="L470" s="163">
        <v>0</v>
      </c>
      <c r="M470" s="163">
        <v>1</v>
      </c>
      <c r="N470" s="115">
        <v>9.8684210526315801E-3</v>
      </c>
      <c r="O470" s="115">
        <v>4.9019607843137298E-3</v>
      </c>
      <c r="P470" s="115">
        <v>1.88679245283019E-2</v>
      </c>
      <c r="Q470" s="115">
        <v>2.1276595744680899E-2</v>
      </c>
      <c r="R470" s="115">
        <v>0</v>
      </c>
      <c r="S470" s="115">
        <v>0</v>
      </c>
      <c r="T470" s="115">
        <v>0</v>
      </c>
      <c r="U470" s="115">
        <v>0</v>
      </c>
      <c r="V470" s="115">
        <v>0.02</v>
      </c>
      <c r="W470" s="40">
        <v>580</v>
      </c>
      <c r="X470" s="40">
        <f t="shared" si="34"/>
        <v>180</v>
      </c>
      <c r="Y470" s="40">
        <f t="shared" si="35"/>
        <v>270</v>
      </c>
      <c r="Z470" s="105">
        <v>0.50862068965517204</v>
      </c>
      <c r="AA470" s="105">
        <v>0.49137931034482801</v>
      </c>
      <c r="AB470" s="106">
        <f>4/580</f>
        <v>6.8965517241379309E-3</v>
      </c>
      <c r="AC470" s="106">
        <v>0</v>
      </c>
      <c r="AD470" s="106">
        <f>244/580</f>
        <v>0.4206896551724138</v>
      </c>
      <c r="AE470" s="106">
        <f>63/580</f>
        <v>0.10862068965517241</v>
      </c>
      <c r="AF470" s="106">
        <v>0</v>
      </c>
      <c r="AG470" s="106">
        <f>264/580</f>
        <v>0.45517241379310347</v>
      </c>
      <c r="AH470" s="106">
        <f>5/580</f>
        <v>8.6206896551724137E-3</v>
      </c>
      <c r="AI470" s="106">
        <f>316/580</f>
        <v>0.54482758620689653</v>
      </c>
      <c r="AJ470" s="105">
        <v>0.7551724137931034</v>
      </c>
      <c r="AK470" s="105">
        <v>6.0344827586206899E-2</v>
      </c>
      <c r="AL470" s="12">
        <v>48</v>
      </c>
      <c r="AM470" s="12">
        <v>42</v>
      </c>
      <c r="AN470" s="12">
        <v>3</v>
      </c>
      <c r="AO470" s="12">
        <v>42</v>
      </c>
      <c r="AP470" s="12">
        <v>42</v>
      </c>
      <c r="AQ470" s="12">
        <v>50</v>
      </c>
      <c r="AR470" s="12">
        <v>43</v>
      </c>
      <c r="AS470" s="59">
        <v>6.6666666666666666E-2</v>
      </c>
      <c r="AT470" s="3">
        <v>1</v>
      </c>
      <c r="AU470" s="3">
        <v>6</v>
      </c>
      <c r="AV470" s="52">
        <v>78.2</v>
      </c>
      <c r="AW470" s="52">
        <v>19.5</v>
      </c>
      <c r="AX470" s="52">
        <v>1.9</v>
      </c>
      <c r="AY470" s="71">
        <v>0.4</v>
      </c>
      <c r="AZ470" s="59">
        <v>3.0911901081916537E-3</v>
      </c>
      <c r="BA470" s="59">
        <v>8.8098918083462138E-2</v>
      </c>
      <c r="BB470" s="77">
        <v>94.512602128727494</v>
      </c>
      <c r="BC470" s="49">
        <v>33.933933933933901</v>
      </c>
      <c r="BD470" s="49">
        <v>0</v>
      </c>
      <c r="BE470" s="49">
        <v>0</v>
      </c>
      <c r="BF470" s="49">
        <v>0</v>
      </c>
      <c r="BG470" s="49">
        <v>0</v>
      </c>
      <c r="BH470" s="49">
        <v>0</v>
      </c>
      <c r="BI470" s="49">
        <v>0</v>
      </c>
      <c r="BJ470" s="49">
        <v>18</v>
      </c>
      <c r="BK470" s="129">
        <v>11690</v>
      </c>
      <c r="BL470" s="129">
        <v>47255</v>
      </c>
      <c r="BM470" s="129">
        <v>55635</v>
      </c>
      <c r="BN470" s="129">
        <v>43341</v>
      </c>
      <c r="BO470" s="59">
        <v>0</v>
      </c>
      <c r="BP470" s="59">
        <v>0.39129999999999998</v>
      </c>
      <c r="BQ470" s="59">
        <v>0.27389999999999998</v>
      </c>
      <c r="BR470" s="59">
        <v>0</v>
      </c>
      <c r="BS470" s="59">
        <v>0</v>
      </c>
      <c r="BT470" s="49">
        <v>10</v>
      </c>
      <c r="BU470" s="59">
        <f t="shared" si="36"/>
        <v>0.66520000000000001</v>
      </c>
      <c r="BV470" s="59">
        <v>3.04E-2</v>
      </c>
      <c r="BW470" s="59">
        <v>0</v>
      </c>
      <c r="BX470" s="59">
        <v>4.5699999999999998E-2</v>
      </c>
      <c r="BY470" s="59">
        <v>0</v>
      </c>
      <c r="BZ470" s="59">
        <v>1.52E-2</v>
      </c>
      <c r="CA470" s="49">
        <v>15.3</v>
      </c>
      <c r="CB470" s="59">
        <f t="shared" si="37"/>
        <v>9.1300000000000006E-2</v>
      </c>
      <c r="CC470" s="59">
        <v>0.18260000000000001</v>
      </c>
      <c r="CD470" s="59">
        <v>0.43690000000000001</v>
      </c>
      <c r="CE470" s="59">
        <v>0.36520000000000002</v>
      </c>
      <c r="CF470" s="59">
        <v>0</v>
      </c>
      <c r="CG470" s="59">
        <v>1.52E-2</v>
      </c>
      <c r="CH470" s="49">
        <v>10.199999999999999</v>
      </c>
      <c r="CI470" s="39" t="s">
        <v>259</v>
      </c>
      <c r="CJ470" s="18" t="s">
        <v>479</v>
      </c>
      <c r="CK470" s="20"/>
    </row>
    <row r="471" spans="1:89" x14ac:dyDescent="0.25">
      <c r="A471" s="18" t="s">
        <v>479</v>
      </c>
      <c r="B471" s="39" t="s">
        <v>260</v>
      </c>
      <c r="C471" s="39" t="s">
        <v>261</v>
      </c>
      <c r="D471" s="40">
        <v>8</v>
      </c>
      <c r="E471" s="40" t="s">
        <v>83</v>
      </c>
      <c r="F471" s="40">
        <v>8</v>
      </c>
      <c r="G471" s="162" t="s">
        <v>83</v>
      </c>
      <c r="H471" s="162" t="s">
        <v>83</v>
      </c>
      <c r="I471" s="162" t="s">
        <v>83</v>
      </c>
      <c r="J471" s="163">
        <v>2</v>
      </c>
      <c r="K471" s="163">
        <v>2</v>
      </c>
      <c r="L471" s="163">
        <v>1</v>
      </c>
      <c r="M471" s="163">
        <v>3</v>
      </c>
      <c r="N471" s="115">
        <v>1.4084507042253501E-2</v>
      </c>
      <c r="O471" s="115">
        <v>1.4084507042253501E-2</v>
      </c>
      <c r="P471" s="116" t="s">
        <v>83</v>
      </c>
      <c r="Q471" s="116" t="s">
        <v>83</v>
      </c>
      <c r="R471" s="116" t="s">
        <v>83</v>
      </c>
      <c r="S471" s="115">
        <v>1.2500000000000001E-2</v>
      </c>
      <c r="T471" s="115">
        <v>1.5625E-2</v>
      </c>
      <c r="U471" s="115">
        <v>6.4516129032258099E-3</v>
      </c>
      <c r="V471" s="115">
        <v>2.4E-2</v>
      </c>
      <c r="W471" s="40">
        <v>528</v>
      </c>
      <c r="X471" s="40">
        <f t="shared" si="34"/>
        <v>528</v>
      </c>
      <c r="Y471" s="40">
        <f t="shared" si="35"/>
        <v>528</v>
      </c>
      <c r="Z471" s="105">
        <v>0.45643939393939398</v>
      </c>
      <c r="AA471" s="105">
        <v>0.54356060606060597</v>
      </c>
      <c r="AB471" s="106">
        <f>1/528</f>
        <v>1.893939393939394E-3</v>
      </c>
      <c r="AC471" s="106">
        <f>2/528</f>
        <v>3.787878787878788E-3</v>
      </c>
      <c r="AD471" s="106">
        <f>57/528</f>
        <v>0.10795454545454546</v>
      </c>
      <c r="AE471" s="106">
        <f>25/528</f>
        <v>4.7348484848484848E-2</v>
      </c>
      <c r="AF471" s="106">
        <v>0</v>
      </c>
      <c r="AG471" s="106">
        <f>442/528</f>
        <v>0.83712121212121215</v>
      </c>
      <c r="AH471" s="106">
        <f>1/528</f>
        <v>1.893939393939394E-3</v>
      </c>
      <c r="AI471" s="106">
        <f>86/528</f>
        <v>0.16287878787878787</v>
      </c>
      <c r="AJ471" s="105">
        <v>0.57765151515151514</v>
      </c>
      <c r="AK471" s="105">
        <v>5.6818181818181802E-3</v>
      </c>
      <c r="AL471" s="12">
        <v>0</v>
      </c>
      <c r="AM471" s="12">
        <v>0</v>
      </c>
      <c r="AN471" s="12">
        <v>0</v>
      </c>
      <c r="AO471" s="12">
        <v>146</v>
      </c>
      <c r="AP471" s="12">
        <v>116</v>
      </c>
      <c r="AQ471" s="12">
        <v>146</v>
      </c>
      <c r="AR471" s="12">
        <v>120</v>
      </c>
      <c r="AS471" s="59">
        <v>0</v>
      </c>
      <c r="AT471" s="3">
        <v>9</v>
      </c>
      <c r="AU471" s="3">
        <v>6</v>
      </c>
      <c r="AV471" s="52">
        <v>72.099999999999994</v>
      </c>
      <c r="AW471" s="52">
        <v>15</v>
      </c>
      <c r="AX471" s="52">
        <v>12.6</v>
      </c>
      <c r="AY471" s="71">
        <v>0.3</v>
      </c>
      <c r="AZ471" s="59">
        <v>0</v>
      </c>
      <c r="BA471" s="59">
        <v>0.15714285714285714</v>
      </c>
      <c r="BB471" s="78">
        <v>93.276582285383995</v>
      </c>
      <c r="BC471" s="49">
        <v>27.807486631016001</v>
      </c>
      <c r="BD471" s="90" t="s">
        <v>83</v>
      </c>
      <c r="BE471" s="90" t="s">
        <v>83</v>
      </c>
      <c r="BF471" s="49">
        <v>0.7</v>
      </c>
      <c r="BG471" s="49">
        <v>0.9</v>
      </c>
      <c r="BH471" s="49">
        <v>0.7</v>
      </c>
      <c r="BI471" s="49">
        <v>0.8</v>
      </c>
      <c r="BJ471" s="49">
        <v>19.7</v>
      </c>
      <c r="BK471" s="129">
        <v>9279</v>
      </c>
      <c r="BL471" s="129">
        <v>50977</v>
      </c>
      <c r="BM471" s="129">
        <v>53129</v>
      </c>
      <c r="BN471" s="129">
        <v>41781</v>
      </c>
      <c r="BO471" s="59">
        <v>1.7000000000000001E-2</v>
      </c>
      <c r="BP471" s="59">
        <v>0.39129999999999998</v>
      </c>
      <c r="BQ471" s="59">
        <v>0.1792</v>
      </c>
      <c r="BR471" s="59">
        <v>0</v>
      </c>
      <c r="BS471" s="59">
        <v>0</v>
      </c>
      <c r="BT471" s="49">
        <v>12.4</v>
      </c>
      <c r="BU471" s="59">
        <f t="shared" si="36"/>
        <v>0.58750000000000002</v>
      </c>
      <c r="BV471" s="59">
        <v>3.4000000000000002E-2</v>
      </c>
      <c r="BW471" s="59">
        <v>0</v>
      </c>
      <c r="BX471" s="59">
        <v>3.4000000000000002E-2</v>
      </c>
      <c r="BY471" s="59">
        <v>0</v>
      </c>
      <c r="BZ471" s="59">
        <v>0</v>
      </c>
      <c r="CA471" s="49">
        <v>24.5</v>
      </c>
      <c r="CB471" s="59">
        <f t="shared" si="37"/>
        <v>6.8000000000000005E-2</v>
      </c>
      <c r="CC471" s="59">
        <v>0.32869999999999999</v>
      </c>
      <c r="CD471" s="59">
        <v>0.42409999999999998</v>
      </c>
      <c r="CE471" s="59">
        <v>0.24729999999999999</v>
      </c>
      <c r="CF471" s="59">
        <v>0</v>
      </c>
      <c r="CG471" s="59">
        <v>0</v>
      </c>
      <c r="CH471" s="49">
        <v>12.3</v>
      </c>
      <c r="CI471" s="39" t="s">
        <v>261</v>
      </c>
      <c r="CJ471" s="18" t="s">
        <v>479</v>
      </c>
      <c r="CK471" s="20"/>
    </row>
    <row r="472" spans="1:89" x14ac:dyDescent="0.25">
      <c r="A472" s="18" t="s">
        <v>479</v>
      </c>
      <c r="B472" s="39" t="s">
        <v>260</v>
      </c>
      <c r="C472" s="39" t="s">
        <v>262</v>
      </c>
      <c r="D472" s="40">
        <v>88</v>
      </c>
      <c r="E472" s="40" t="s">
        <v>83</v>
      </c>
      <c r="F472" s="40">
        <v>88</v>
      </c>
      <c r="G472" s="162" t="s">
        <v>83</v>
      </c>
      <c r="H472" s="162" t="s">
        <v>83</v>
      </c>
      <c r="I472" s="163">
        <v>0</v>
      </c>
      <c r="J472" s="163">
        <v>27</v>
      </c>
      <c r="K472" s="163">
        <v>26</v>
      </c>
      <c r="L472" s="163">
        <v>18</v>
      </c>
      <c r="M472" s="163">
        <v>17</v>
      </c>
      <c r="N472" s="101">
        <f>88/2529</f>
        <v>3.4796362198497431E-2</v>
      </c>
      <c r="O472" s="101">
        <f>88/2529</f>
        <v>3.4796362198497431E-2</v>
      </c>
      <c r="P472" s="116" t="s">
        <v>83</v>
      </c>
      <c r="Q472" s="116" t="s">
        <v>83</v>
      </c>
      <c r="R472" s="115">
        <v>0</v>
      </c>
      <c r="S472" s="115">
        <v>3.6241610738254999E-2</v>
      </c>
      <c r="T472" s="115">
        <v>3.92749244712991E-2</v>
      </c>
      <c r="U472" s="115">
        <v>2.9900332225913599E-2</v>
      </c>
      <c r="V472" s="115">
        <v>3.3398821218074699E-2</v>
      </c>
      <c r="W472" s="6">
        <v>2292</v>
      </c>
      <c r="X472" s="40">
        <f t="shared" si="34"/>
        <v>2292</v>
      </c>
      <c r="Y472" s="40">
        <f t="shared" si="35"/>
        <v>2292</v>
      </c>
      <c r="Z472" s="61">
        <f>1148/2292</f>
        <v>0.50087260034904013</v>
      </c>
      <c r="AA472" s="61">
        <f>1144/2292</f>
        <v>0.49912739965095987</v>
      </c>
      <c r="AB472" s="61">
        <f>9/2292</f>
        <v>3.9267015706806281E-3</v>
      </c>
      <c r="AC472" s="61">
        <f>30/2292</f>
        <v>1.3089005235602094E-2</v>
      </c>
      <c r="AD472" s="61">
        <f>257/2292</f>
        <v>0.11212914485165794</v>
      </c>
      <c r="AE472" s="61">
        <f>117/2292</f>
        <v>5.1047120418848166E-2</v>
      </c>
      <c r="AF472" s="61">
        <f>1/2292</f>
        <v>4.3630017452006982E-4</v>
      </c>
      <c r="AG472" s="61">
        <f>1872/2292</f>
        <v>0.81675392670157065</v>
      </c>
      <c r="AH472" s="61">
        <f>6/2292</f>
        <v>2.617801047120419E-3</v>
      </c>
      <c r="AI472" s="61">
        <f>420/2292</f>
        <v>0.18324607329842932</v>
      </c>
      <c r="AJ472" s="61">
        <f>980/2292</f>
        <v>0.42757417102966844</v>
      </c>
      <c r="AK472" s="61">
        <f>20/2292</f>
        <v>8.7260034904013961E-3</v>
      </c>
      <c r="AL472" s="3">
        <v>0</v>
      </c>
      <c r="AM472" s="3">
        <v>0</v>
      </c>
      <c r="AN472" s="3">
        <v>11</v>
      </c>
      <c r="AO472" s="3">
        <v>676</v>
      </c>
      <c r="AP472" s="3">
        <v>591</v>
      </c>
      <c r="AQ472" s="3">
        <v>551</v>
      </c>
      <c r="AR472" s="3">
        <v>463</v>
      </c>
      <c r="AS472" s="59">
        <v>1.6011644832605532E-2</v>
      </c>
      <c r="AT472" s="3">
        <v>9</v>
      </c>
      <c r="AU472" s="3">
        <v>6</v>
      </c>
      <c r="AV472" s="56">
        <v>54.537885095753538</v>
      </c>
      <c r="AW472" s="56">
        <v>23.1473771856786</v>
      </c>
      <c r="AX472" s="56">
        <v>21.149042464612823</v>
      </c>
      <c r="AY472" s="72">
        <v>1.1656952539550374</v>
      </c>
      <c r="AZ472" s="59">
        <v>0</v>
      </c>
      <c r="BA472" s="61">
        <v>0.19066317626527052</v>
      </c>
      <c r="BB472" s="77">
        <v>93.571628962738103</v>
      </c>
      <c r="BC472" s="77">
        <v>20.395</v>
      </c>
      <c r="BD472" s="90" t="s">
        <v>83</v>
      </c>
      <c r="BE472" s="90" t="s">
        <v>83</v>
      </c>
      <c r="BF472" s="49">
        <v>4.5</v>
      </c>
      <c r="BG472" s="49">
        <v>3.6</v>
      </c>
      <c r="BH472" s="49">
        <v>1.4</v>
      </c>
      <c r="BI472" s="49">
        <v>2.4</v>
      </c>
      <c r="BJ472" s="49">
        <v>20.7</v>
      </c>
      <c r="BK472" s="129">
        <v>8027</v>
      </c>
      <c r="BL472" s="129">
        <v>50885</v>
      </c>
      <c r="BM472" s="129">
        <v>45105</v>
      </c>
      <c r="BN472" s="129">
        <v>38358</v>
      </c>
      <c r="BO472" s="59">
        <v>6.4000000000000003E-3</v>
      </c>
      <c r="BP472" s="59">
        <v>0.35949999999999999</v>
      </c>
      <c r="BQ472" s="59">
        <v>0.16370000000000001</v>
      </c>
      <c r="BR472" s="59">
        <v>0</v>
      </c>
      <c r="BS472" s="59">
        <v>0</v>
      </c>
      <c r="BT472" s="49">
        <v>13.3</v>
      </c>
      <c r="BU472" s="59">
        <f t="shared" si="36"/>
        <v>0.52960000000000007</v>
      </c>
      <c r="BV472" s="59">
        <v>2.58E-2</v>
      </c>
      <c r="BW472" s="59">
        <v>6.4000000000000003E-3</v>
      </c>
      <c r="BX472" s="59">
        <v>2.58E-2</v>
      </c>
      <c r="BY472" s="59">
        <v>0</v>
      </c>
      <c r="BZ472" s="59">
        <v>0</v>
      </c>
      <c r="CA472" s="49">
        <v>15.6</v>
      </c>
      <c r="CB472" s="59">
        <f t="shared" si="37"/>
        <v>5.7999999999999996E-2</v>
      </c>
      <c r="CC472" s="59">
        <v>0.39910000000000001</v>
      </c>
      <c r="CD472" s="59">
        <v>0.3821</v>
      </c>
      <c r="CE472" s="59">
        <v>0.21879999999999999</v>
      </c>
      <c r="CF472" s="59">
        <v>0</v>
      </c>
      <c r="CG472" s="59">
        <v>0</v>
      </c>
      <c r="CH472" s="49">
        <v>11.6</v>
      </c>
      <c r="CI472" s="39" t="s">
        <v>262</v>
      </c>
      <c r="CJ472" s="18" t="s">
        <v>479</v>
      </c>
      <c r="CK472" s="20"/>
    </row>
    <row r="473" spans="1:89" x14ac:dyDescent="0.25">
      <c r="A473" s="18" t="s">
        <v>479</v>
      </c>
      <c r="B473" s="39" t="s">
        <v>260</v>
      </c>
      <c r="C473" s="39" t="s">
        <v>263</v>
      </c>
      <c r="D473" s="40">
        <v>15</v>
      </c>
      <c r="E473" s="40">
        <v>0</v>
      </c>
      <c r="F473" s="40">
        <v>15</v>
      </c>
      <c r="G473" s="163">
        <v>0</v>
      </c>
      <c r="H473" s="163">
        <v>0</v>
      </c>
      <c r="I473" s="162" t="s">
        <v>83</v>
      </c>
      <c r="J473" s="163">
        <v>3</v>
      </c>
      <c r="K473" s="163">
        <v>1</v>
      </c>
      <c r="L473" s="163">
        <v>6</v>
      </c>
      <c r="M473" s="163">
        <v>5</v>
      </c>
      <c r="N473" s="115">
        <v>2.29709035222052E-2</v>
      </c>
      <c r="O473" s="115">
        <v>3.1914893617021302E-2</v>
      </c>
      <c r="P473" s="115">
        <v>0</v>
      </c>
      <c r="Q473" s="115">
        <v>0</v>
      </c>
      <c r="R473" s="116" t="s">
        <v>83</v>
      </c>
      <c r="S473" s="115">
        <v>2.1428571428571401E-2</v>
      </c>
      <c r="T473" s="115">
        <v>8.4033613445378096E-3</v>
      </c>
      <c r="U473" s="115">
        <v>4.9586776859504099E-2</v>
      </c>
      <c r="V473" s="115">
        <v>5.5555555555555601E-2</v>
      </c>
      <c r="W473" s="40">
        <v>658</v>
      </c>
      <c r="X473" s="40">
        <f t="shared" si="34"/>
        <v>415</v>
      </c>
      <c r="Y473" s="40">
        <f t="shared" si="35"/>
        <v>578</v>
      </c>
      <c r="Z473" s="105">
        <v>0.48176291793313097</v>
      </c>
      <c r="AA473" s="105">
        <v>0.51823708206686903</v>
      </c>
      <c r="AB473" s="106">
        <v>0</v>
      </c>
      <c r="AC473" s="106">
        <f>1/658</f>
        <v>1.5197568389057751E-3</v>
      </c>
      <c r="AD473" s="106">
        <f>12/658</f>
        <v>1.82370820668693E-2</v>
      </c>
      <c r="AE473" s="106">
        <f>13/658</f>
        <v>1.9756838905775075E-2</v>
      </c>
      <c r="AF473" s="106">
        <v>0</v>
      </c>
      <c r="AG473" s="106">
        <f>631/658</f>
        <v>0.95896656534954405</v>
      </c>
      <c r="AH473" s="106">
        <f>1/658</f>
        <v>1.5197568389057751E-3</v>
      </c>
      <c r="AI473" s="106">
        <f>27/658</f>
        <v>4.1033434650455926E-2</v>
      </c>
      <c r="AJ473" s="105">
        <v>0.49088145896656538</v>
      </c>
      <c r="AK473" s="105">
        <v>1.5197568389057801E-3</v>
      </c>
      <c r="AL473" s="12">
        <v>87</v>
      </c>
      <c r="AM473" s="12">
        <v>76</v>
      </c>
      <c r="AN473" s="12">
        <v>0</v>
      </c>
      <c r="AO473" s="12">
        <v>121</v>
      </c>
      <c r="AP473" s="12">
        <v>108</v>
      </c>
      <c r="AQ473" s="12">
        <v>104</v>
      </c>
      <c r="AR473" s="12">
        <v>82</v>
      </c>
      <c r="AS473" s="59">
        <v>0</v>
      </c>
      <c r="AT473" s="3">
        <v>6</v>
      </c>
      <c r="AU473" s="3">
        <v>6</v>
      </c>
      <c r="AV473" s="52">
        <v>66.2</v>
      </c>
      <c r="AW473" s="52">
        <v>23.3</v>
      </c>
      <c r="AX473" s="52">
        <v>10</v>
      </c>
      <c r="AY473" s="71">
        <v>0.5</v>
      </c>
      <c r="AZ473" s="59">
        <v>0</v>
      </c>
      <c r="BA473" s="59">
        <v>0.15143246930422918</v>
      </c>
      <c r="BB473" s="78">
        <v>94.806558294983304</v>
      </c>
      <c r="BC473" s="49">
        <v>13.143631436314401</v>
      </c>
      <c r="BD473" s="49">
        <v>3.4</v>
      </c>
      <c r="BE473" s="49">
        <v>7</v>
      </c>
      <c r="BF473" s="49">
        <v>7</v>
      </c>
      <c r="BG473" s="49">
        <v>4.7</v>
      </c>
      <c r="BH473" s="49">
        <v>5.0999999999999996</v>
      </c>
      <c r="BI473" s="49">
        <v>3.8</v>
      </c>
      <c r="BJ473" s="49">
        <v>19.7</v>
      </c>
      <c r="BK473" s="129">
        <v>8280</v>
      </c>
      <c r="BL473" s="129">
        <v>51901</v>
      </c>
      <c r="BM473" s="129">
        <v>48696</v>
      </c>
      <c r="BN473" s="129">
        <v>43463</v>
      </c>
      <c r="BO473" s="59">
        <v>0</v>
      </c>
      <c r="BP473" s="59">
        <v>0.41610000000000003</v>
      </c>
      <c r="BQ473" s="59">
        <v>0.18770000000000001</v>
      </c>
      <c r="BR473" s="59">
        <v>0</v>
      </c>
      <c r="BS473" s="59">
        <v>3.3599999999999998E-2</v>
      </c>
      <c r="BT473" s="49">
        <v>15.2</v>
      </c>
      <c r="BU473" s="59">
        <f t="shared" si="36"/>
        <v>0.63739999999999997</v>
      </c>
      <c r="BV473" s="59">
        <v>3.3599999999999998E-2</v>
      </c>
      <c r="BW473" s="59">
        <v>0</v>
      </c>
      <c r="BX473" s="59">
        <v>3.3599999999999998E-2</v>
      </c>
      <c r="BY473" s="59">
        <v>0</v>
      </c>
      <c r="BZ473" s="59">
        <v>0</v>
      </c>
      <c r="CA473" s="49">
        <v>14.7</v>
      </c>
      <c r="CB473" s="59">
        <f t="shared" si="37"/>
        <v>6.7199999999999996E-2</v>
      </c>
      <c r="CC473" s="59">
        <v>0.26190000000000002</v>
      </c>
      <c r="CD473" s="59">
        <v>0.4496</v>
      </c>
      <c r="CE473" s="59">
        <v>0.23810000000000001</v>
      </c>
      <c r="CF473" s="59">
        <v>1.6799999999999999E-2</v>
      </c>
      <c r="CG473" s="59">
        <v>3.3599999999999998E-2</v>
      </c>
      <c r="CH473" s="49">
        <v>14.9</v>
      </c>
      <c r="CI473" s="39" t="s">
        <v>263</v>
      </c>
      <c r="CJ473" s="18" t="s">
        <v>479</v>
      </c>
      <c r="CK473" s="20"/>
    </row>
    <row r="474" spans="1:89" x14ac:dyDescent="0.25">
      <c r="A474" s="18" t="s">
        <v>479</v>
      </c>
      <c r="B474" s="39" t="s">
        <v>260</v>
      </c>
      <c r="C474" s="39" t="s">
        <v>264</v>
      </c>
      <c r="D474" s="40">
        <v>14</v>
      </c>
      <c r="E474" s="40">
        <v>1</v>
      </c>
      <c r="F474" s="40">
        <v>13</v>
      </c>
      <c r="G474" s="163">
        <v>0</v>
      </c>
      <c r="H474" s="163">
        <v>1</v>
      </c>
      <c r="I474" s="162" t="s">
        <v>83</v>
      </c>
      <c r="J474" s="163">
        <v>6</v>
      </c>
      <c r="K474" s="163">
        <v>4</v>
      </c>
      <c r="L474" s="163">
        <v>3</v>
      </c>
      <c r="M474" s="163">
        <v>0</v>
      </c>
      <c r="N474" s="115">
        <v>3.1818181818181801E-2</v>
      </c>
      <c r="O474" s="115">
        <v>4.4673539518900303E-2</v>
      </c>
      <c r="P474" s="115">
        <v>0</v>
      </c>
      <c r="Q474" s="115">
        <v>1.3333333333333299E-2</v>
      </c>
      <c r="R474" s="116" t="s">
        <v>83</v>
      </c>
      <c r="S474" s="115">
        <v>6.1224489795918401E-2</v>
      </c>
      <c r="T474" s="115">
        <v>4.81927710843374E-2</v>
      </c>
      <c r="U474" s="115">
        <v>4.91803278688525E-2</v>
      </c>
      <c r="V474" s="115">
        <v>0</v>
      </c>
      <c r="W474" s="40">
        <v>401</v>
      </c>
      <c r="X474" s="40">
        <f t="shared" si="34"/>
        <v>266</v>
      </c>
      <c r="Y474" s="40">
        <f t="shared" si="35"/>
        <v>401</v>
      </c>
      <c r="Z474" s="105">
        <v>0.48877805486284298</v>
      </c>
      <c r="AA474" s="105">
        <v>0.51122194513715702</v>
      </c>
      <c r="AB474" s="106">
        <v>0</v>
      </c>
      <c r="AC474" s="106">
        <f>1/401</f>
        <v>2.4937655860349127E-3</v>
      </c>
      <c r="AD474" s="106">
        <f>9/401</f>
        <v>2.2443890274314215E-2</v>
      </c>
      <c r="AE474" s="106">
        <f>10/401</f>
        <v>2.4937655860349128E-2</v>
      </c>
      <c r="AF474" s="106">
        <v>0</v>
      </c>
      <c r="AG474" s="106">
        <f>378/401</f>
        <v>0.94264339152119703</v>
      </c>
      <c r="AH474" s="106">
        <f>3/401</f>
        <v>7.481296758104738E-3</v>
      </c>
      <c r="AI474" s="106">
        <f>23/401</f>
        <v>5.7356608478802994E-2</v>
      </c>
      <c r="AJ474" s="105">
        <v>0.40399002493765584</v>
      </c>
      <c r="AK474" s="105">
        <v>2.4937655860349101E-3</v>
      </c>
      <c r="AL474" s="12">
        <v>68</v>
      </c>
      <c r="AM474" s="12">
        <v>67</v>
      </c>
      <c r="AN474" s="12">
        <v>0</v>
      </c>
      <c r="AO474" s="12">
        <v>85</v>
      </c>
      <c r="AP474" s="12">
        <v>78</v>
      </c>
      <c r="AQ474" s="12">
        <v>61</v>
      </c>
      <c r="AR474" s="12">
        <v>42</v>
      </c>
      <c r="AS474" s="59">
        <v>0</v>
      </c>
      <c r="AT474" s="3">
        <v>7</v>
      </c>
      <c r="AU474" s="3">
        <v>6</v>
      </c>
      <c r="AV474" s="52">
        <v>67.5</v>
      </c>
      <c r="AW474" s="52">
        <v>21.3</v>
      </c>
      <c r="AX474" s="52">
        <v>10.4</v>
      </c>
      <c r="AY474" s="71">
        <v>0.8</v>
      </c>
      <c r="AZ474" s="59">
        <v>0</v>
      </c>
      <c r="BA474" s="59">
        <v>0.21345707656612528</v>
      </c>
      <c r="BB474" s="77">
        <v>92.368101353696602</v>
      </c>
      <c r="BC474" s="49">
        <v>17.782909930715899</v>
      </c>
      <c r="BD474" s="49">
        <v>4.5</v>
      </c>
      <c r="BE474" s="49">
        <v>6.5</v>
      </c>
      <c r="BF474" s="49">
        <v>1.2</v>
      </c>
      <c r="BG474" s="49">
        <v>4.2</v>
      </c>
      <c r="BH474" s="49">
        <v>0</v>
      </c>
      <c r="BI474" s="49">
        <v>0</v>
      </c>
      <c r="BJ474" s="49">
        <v>22</v>
      </c>
      <c r="BK474" s="129">
        <v>10376</v>
      </c>
      <c r="BL474" s="129">
        <v>52722</v>
      </c>
      <c r="BM474" s="129">
        <v>51137</v>
      </c>
      <c r="BN474" s="129">
        <v>39825</v>
      </c>
      <c r="BO474" s="59">
        <v>0</v>
      </c>
      <c r="BP474" s="59">
        <v>0.35420000000000001</v>
      </c>
      <c r="BQ474" s="59">
        <v>0.1484</v>
      </c>
      <c r="BR474" s="59">
        <v>0</v>
      </c>
      <c r="BS474" s="59">
        <v>0</v>
      </c>
      <c r="BT474" s="49">
        <v>16.600000000000001</v>
      </c>
      <c r="BU474" s="59">
        <f t="shared" si="36"/>
        <v>0.50260000000000005</v>
      </c>
      <c r="BV474" s="59">
        <v>3.7900000000000003E-2</v>
      </c>
      <c r="BW474" s="59">
        <v>0</v>
      </c>
      <c r="BX474" s="59">
        <v>3.7900000000000003E-2</v>
      </c>
      <c r="BY474" s="59">
        <v>0</v>
      </c>
      <c r="BZ474" s="59">
        <v>0</v>
      </c>
      <c r="CA474" s="49">
        <v>17.2</v>
      </c>
      <c r="CB474" s="59">
        <f t="shared" si="37"/>
        <v>7.5800000000000006E-2</v>
      </c>
      <c r="CC474" s="59">
        <v>0.4027</v>
      </c>
      <c r="CD474" s="59">
        <v>0.37319999999999998</v>
      </c>
      <c r="CE474" s="59">
        <v>0.22409999999999999</v>
      </c>
      <c r="CF474" s="59">
        <v>0</v>
      </c>
      <c r="CG474" s="59">
        <v>0</v>
      </c>
      <c r="CH474" s="49">
        <v>14.1</v>
      </c>
      <c r="CI474" s="39" t="s">
        <v>264</v>
      </c>
      <c r="CJ474" s="18" t="s">
        <v>479</v>
      </c>
      <c r="CK474" s="20"/>
    </row>
    <row r="475" spans="1:89" x14ac:dyDescent="0.25">
      <c r="A475" s="18" t="s">
        <v>479</v>
      </c>
      <c r="B475" s="39" t="s">
        <v>260</v>
      </c>
      <c r="C475" s="39" t="s">
        <v>265</v>
      </c>
      <c r="D475" s="40">
        <v>8</v>
      </c>
      <c r="E475" s="40">
        <v>2</v>
      </c>
      <c r="F475" s="40">
        <v>6</v>
      </c>
      <c r="G475" s="163">
        <v>1</v>
      </c>
      <c r="H475" s="163">
        <v>1</v>
      </c>
      <c r="I475" s="163">
        <v>1</v>
      </c>
      <c r="J475" s="163">
        <v>1</v>
      </c>
      <c r="K475" s="163">
        <v>1</v>
      </c>
      <c r="L475" s="163">
        <v>2</v>
      </c>
      <c r="M475" s="163">
        <v>1</v>
      </c>
      <c r="N475" s="115">
        <v>2.4615384615384601E-2</v>
      </c>
      <c r="O475" s="115">
        <v>2.92682926829268E-2</v>
      </c>
      <c r="P475" s="115">
        <v>1.63934426229508E-2</v>
      </c>
      <c r="Q475" s="115">
        <v>1.6949152542372899E-2</v>
      </c>
      <c r="R475" s="115">
        <v>0.2</v>
      </c>
      <c r="S475" s="115">
        <v>2.0833333333333301E-2</v>
      </c>
      <c r="T475" s="115">
        <v>1.85185185185185E-2</v>
      </c>
      <c r="U475" s="115">
        <v>3.9215686274509803E-2</v>
      </c>
      <c r="V475" s="115">
        <v>2.1276595744680899E-2</v>
      </c>
      <c r="W475" s="40">
        <v>718</v>
      </c>
      <c r="X475" s="40">
        <f t="shared" si="34"/>
        <v>189</v>
      </c>
      <c r="Y475" s="40">
        <f t="shared" si="35"/>
        <v>302</v>
      </c>
      <c r="Z475" s="105">
        <v>0.49164345403899701</v>
      </c>
      <c r="AA475" s="105">
        <v>0.50835654596100299</v>
      </c>
      <c r="AB475" s="106">
        <v>0</v>
      </c>
      <c r="AC475" s="106">
        <v>0</v>
      </c>
      <c r="AD475" s="106">
        <f>4/718</f>
        <v>5.5710306406685237E-3</v>
      </c>
      <c r="AE475" s="106">
        <f>38/718</f>
        <v>5.2924791086350974E-2</v>
      </c>
      <c r="AF475" s="106">
        <v>0</v>
      </c>
      <c r="AG475" s="106">
        <f>671/718</f>
        <v>0.93454038997214484</v>
      </c>
      <c r="AH475" s="106">
        <f>5/718</f>
        <v>6.9637883008356544E-3</v>
      </c>
      <c r="AI475" s="106">
        <f>47/718</f>
        <v>6.545961002785515E-2</v>
      </c>
      <c r="AJ475" s="105">
        <v>0.55988857938718661</v>
      </c>
      <c r="AK475" s="105">
        <v>2.6462395543175501E-2</v>
      </c>
      <c r="AL475" s="12">
        <v>57</v>
      </c>
      <c r="AM475" s="12">
        <v>56</v>
      </c>
      <c r="AN475" s="12">
        <v>4</v>
      </c>
      <c r="AO475" s="12">
        <v>43</v>
      </c>
      <c r="AP475" s="12">
        <v>49</v>
      </c>
      <c r="AQ475" s="12">
        <v>48</v>
      </c>
      <c r="AR475" s="12">
        <v>45</v>
      </c>
      <c r="AS475" s="59">
        <v>8.5106382978723402E-2</v>
      </c>
      <c r="AT475" s="3">
        <v>1</v>
      </c>
      <c r="AU475" s="3">
        <v>6</v>
      </c>
      <c r="AV475" s="52">
        <v>72.3</v>
      </c>
      <c r="AW475" s="52">
        <v>17.5</v>
      </c>
      <c r="AX475" s="52">
        <v>9.6</v>
      </c>
      <c r="AY475" s="71">
        <v>0.6</v>
      </c>
      <c r="AZ475" s="59">
        <v>0</v>
      </c>
      <c r="BA475" s="59">
        <v>7.1702944942381566E-2</v>
      </c>
      <c r="BB475" s="78">
        <v>93.993343888332404</v>
      </c>
      <c r="BC475" s="49">
        <v>37.368421052631597</v>
      </c>
      <c r="BD475" s="49">
        <v>1.7</v>
      </c>
      <c r="BE475" s="49">
        <v>6.1</v>
      </c>
      <c r="BF475" s="49">
        <v>0</v>
      </c>
      <c r="BG475" s="49">
        <v>0</v>
      </c>
      <c r="BH475" s="49">
        <v>0</v>
      </c>
      <c r="BI475" s="49">
        <v>2.4</v>
      </c>
      <c r="BJ475" s="49">
        <v>21.5</v>
      </c>
      <c r="BK475" s="129">
        <v>9946</v>
      </c>
      <c r="BL475" s="129">
        <v>51625</v>
      </c>
      <c r="BM475" s="129">
        <v>42353</v>
      </c>
      <c r="BN475" s="129">
        <v>38505</v>
      </c>
      <c r="BO475" s="59">
        <v>0</v>
      </c>
      <c r="BP475" s="59">
        <v>0.34839999999999999</v>
      </c>
      <c r="BQ475" s="59">
        <v>0.15529999999999999</v>
      </c>
      <c r="BR475" s="59">
        <v>0</v>
      </c>
      <c r="BS475" s="59">
        <v>2.18E-2</v>
      </c>
      <c r="BT475" s="49">
        <v>15.2</v>
      </c>
      <c r="BU475" s="59">
        <f t="shared" si="36"/>
        <v>0.52550000000000008</v>
      </c>
      <c r="BV475" s="59">
        <v>2.18E-2</v>
      </c>
      <c r="BW475" s="59">
        <v>1.09E-2</v>
      </c>
      <c r="BX475" s="59">
        <v>3.0800000000000001E-2</v>
      </c>
      <c r="BY475" s="59">
        <v>0</v>
      </c>
      <c r="BZ475" s="59">
        <v>0</v>
      </c>
      <c r="CA475" s="49">
        <v>16.5</v>
      </c>
      <c r="CB475" s="59">
        <f t="shared" si="37"/>
        <v>6.3500000000000001E-2</v>
      </c>
      <c r="CC475" s="59">
        <v>0.38569999999999999</v>
      </c>
      <c r="CD475" s="59">
        <v>0.38650000000000001</v>
      </c>
      <c r="CE475" s="59">
        <v>0.20599999999999999</v>
      </c>
      <c r="CF475" s="59">
        <v>0</v>
      </c>
      <c r="CG475" s="59">
        <v>2.18E-2</v>
      </c>
      <c r="CH475" s="49">
        <v>13.5</v>
      </c>
      <c r="CI475" s="39" t="s">
        <v>265</v>
      </c>
      <c r="CJ475" s="18" t="s">
        <v>479</v>
      </c>
      <c r="CK475" s="20"/>
    </row>
    <row r="476" spans="1:89" x14ac:dyDescent="0.25">
      <c r="A476" s="18" t="s">
        <v>479</v>
      </c>
      <c r="B476" s="39" t="s">
        <v>260</v>
      </c>
      <c r="C476" s="39" t="s">
        <v>266</v>
      </c>
      <c r="D476" s="40">
        <v>20</v>
      </c>
      <c r="E476" s="40" t="s">
        <v>83</v>
      </c>
      <c r="F476" s="40">
        <v>20</v>
      </c>
      <c r="G476" s="162" t="s">
        <v>83</v>
      </c>
      <c r="H476" s="162" t="s">
        <v>83</v>
      </c>
      <c r="I476" s="163">
        <v>1</v>
      </c>
      <c r="J476" s="163">
        <v>5</v>
      </c>
      <c r="K476" s="163">
        <v>3</v>
      </c>
      <c r="L476" s="163">
        <v>4</v>
      </c>
      <c r="M476" s="163">
        <v>7</v>
      </c>
      <c r="N476" s="115">
        <v>1.40449438202247E-2</v>
      </c>
      <c r="O476" s="115">
        <v>1.40449438202247E-2</v>
      </c>
      <c r="P476" s="116" t="s">
        <v>83</v>
      </c>
      <c r="Q476" s="116" t="s">
        <v>83</v>
      </c>
      <c r="R476" s="115">
        <v>6.6666666666666693E-2</v>
      </c>
      <c r="S476" s="115">
        <v>1.3477088948787099E-2</v>
      </c>
      <c r="T476" s="115">
        <v>7.7720207253886E-3</v>
      </c>
      <c r="U476" s="115">
        <v>1.1695906432748499E-2</v>
      </c>
      <c r="V476" s="115">
        <v>2.25806451612903E-2</v>
      </c>
      <c r="W476" s="40">
        <v>1350</v>
      </c>
      <c r="X476" s="40">
        <f t="shared" si="34"/>
        <v>1350</v>
      </c>
      <c r="Y476" s="40">
        <f t="shared" si="35"/>
        <v>1350</v>
      </c>
      <c r="Z476" s="105">
        <v>0.51037037037037003</v>
      </c>
      <c r="AA476" s="105">
        <v>0.48962962962963003</v>
      </c>
      <c r="AB476" s="106">
        <f>3/1350</f>
        <v>2.2222222222222222E-3</v>
      </c>
      <c r="AC476" s="106">
        <f>6/1350</f>
        <v>4.4444444444444444E-3</v>
      </c>
      <c r="AD476" s="106">
        <f>47/1350</f>
        <v>3.4814814814814812E-2</v>
      </c>
      <c r="AE476" s="106">
        <f>31/1350</f>
        <v>2.2962962962962963E-2</v>
      </c>
      <c r="AF476" s="106">
        <v>0</v>
      </c>
      <c r="AG476" s="106">
        <f>1263/1350</f>
        <v>0.93555555555555558</v>
      </c>
      <c r="AH476" s="106">
        <v>0</v>
      </c>
      <c r="AI476" s="106">
        <f>87/1350</f>
        <v>6.4444444444444443E-2</v>
      </c>
      <c r="AJ476" s="105">
        <v>0.33111111111111113</v>
      </c>
      <c r="AK476" s="105">
        <v>7.4074074074074103E-4</v>
      </c>
      <c r="AL476" s="12">
        <v>0</v>
      </c>
      <c r="AM476" s="12">
        <v>0</v>
      </c>
      <c r="AN476" s="12">
        <v>13</v>
      </c>
      <c r="AO476" s="12">
        <v>349</v>
      </c>
      <c r="AP476" s="12">
        <v>365</v>
      </c>
      <c r="AQ476" s="12">
        <v>336</v>
      </c>
      <c r="AR476" s="12">
        <v>287</v>
      </c>
      <c r="AS476" s="59">
        <v>3.591160220994475E-2</v>
      </c>
      <c r="AT476" s="3">
        <v>9</v>
      </c>
      <c r="AU476" s="3">
        <v>6</v>
      </c>
      <c r="AV476" s="52">
        <v>44.9</v>
      </c>
      <c r="AW476" s="52">
        <v>22.7</v>
      </c>
      <c r="AX476" s="52">
        <v>31.5</v>
      </c>
      <c r="AY476" s="71">
        <v>0.9</v>
      </c>
      <c r="AZ476" s="59">
        <v>0</v>
      </c>
      <c r="BA476" s="59">
        <v>0.11560283687943262</v>
      </c>
      <c r="BB476" s="77">
        <v>93.132490813558206</v>
      </c>
      <c r="BC476" s="49">
        <v>37.385159010600702</v>
      </c>
      <c r="BD476" s="90" t="s">
        <v>83</v>
      </c>
      <c r="BE476" s="90" t="s">
        <v>83</v>
      </c>
      <c r="BF476" s="49">
        <v>0</v>
      </c>
      <c r="BG476" s="49">
        <v>0.6</v>
      </c>
      <c r="BH476" s="49">
        <v>0.6</v>
      </c>
      <c r="BI476" s="49">
        <v>1.7</v>
      </c>
      <c r="BJ476" s="49">
        <v>20.8</v>
      </c>
      <c r="BK476" s="129">
        <v>8136</v>
      </c>
      <c r="BL476" s="129">
        <v>50287</v>
      </c>
      <c r="BM476" s="129">
        <v>37553</v>
      </c>
      <c r="BN476" s="129">
        <v>35059</v>
      </c>
      <c r="BO476" s="59">
        <v>5.7999999999999996E-3</v>
      </c>
      <c r="BP476" s="59">
        <v>0.34110000000000001</v>
      </c>
      <c r="BQ476" s="59">
        <v>0.11020000000000001</v>
      </c>
      <c r="BR476" s="59">
        <v>7.0000000000000001E-3</v>
      </c>
      <c r="BS476" s="59">
        <v>0</v>
      </c>
      <c r="BT476" s="49">
        <v>12.5</v>
      </c>
      <c r="BU476" s="59">
        <f t="shared" si="36"/>
        <v>0.46410000000000001</v>
      </c>
      <c r="BV476" s="59">
        <v>4.87E-2</v>
      </c>
      <c r="BW476" s="59">
        <v>0</v>
      </c>
      <c r="BX476" s="59">
        <v>2.0899999999999998E-2</v>
      </c>
      <c r="BY476" s="59">
        <v>0</v>
      </c>
      <c r="BZ476" s="59">
        <v>0</v>
      </c>
      <c r="CA476" s="49">
        <v>10</v>
      </c>
      <c r="CB476" s="59">
        <f t="shared" si="37"/>
        <v>6.9599999999999995E-2</v>
      </c>
      <c r="CC476" s="59">
        <v>0.47910000000000003</v>
      </c>
      <c r="CD476" s="59">
        <v>0.35499999999999998</v>
      </c>
      <c r="CE476" s="59">
        <v>0.15890000000000001</v>
      </c>
      <c r="CF476" s="59">
        <v>7.0000000000000001E-3</v>
      </c>
      <c r="CG476" s="59">
        <v>0</v>
      </c>
      <c r="CH476" s="49">
        <v>10.6</v>
      </c>
      <c r="CI476" s="39" t="s">
        <v>266</v>
      </c>
      <c r="CJ476" s="18" t="s">
        <v>479</v>
      </c>
      <c r="CK476" s="20"/>
    </row>
    <row r="477" spans="1:89" x14ac:dyDescent="0.25">
      <c r="A477" s="18" t="s">
        <v>479</v>
      </c>
      <c r="B477" s="39" t="s">
        <v>260</v>
      </c>
      <c r="C477" s="39" t="s">
        <v>267</v>
      </c>
      <c r="D477" s="40">
        <v>3</v>
      </c>
      <c r="E477" s="40">
        <v>0</v>
      </c>
      <c r="F477" s="40">
        <v>3</v>
      </c>
      <c r="G477" s="163">
        <v>0</v>
      </c>
      <c r="H477" s="163">
        <v>0</v>
      </c>
      <c r="I477" s="163">
        <v>0</v>
      </c>
      <c r="J477" s="163">
        <v>0</v>
      </c>
      <c r="K477" s="163">
        <v>1</v>
      </c>
      <c r="L477" s="163">
        <v>1</v>
      </c>
      <c r="M477" s="163">
        <v>1</v>
      </c>
      <c r="N477" s="115">
        <v>1.58730158730159E-2</v>
      </c>
      <c r="O477" s="115">
        <v>2.4390243902439001E-2</v>
      </c>
      <c r="P477" s="115">
        <v>0</v>
      </c>
      <c r="Q477" s="115">
        <v>0</v>
      </c>
      <c r="R477" s="115">
        <v>0</v>
      </c>
      <c r="S477" s="115">
        <v>0</v>
      </c>
      <c r="T477" s="115">
        <v>0.04</v>
      </c>
      <c r="U477" s="115">
        <v>4.1666666666666699E-2</v>
      </c>
      <c r="V477" s="115">
        <v>3.03030303030303E-2</v>
      </c>
      <c r="W477" s="40">
        <v>406</v>
      </c>
      <c r="X477" s="40">
        <f t="shared" si="34"/>
        <v>110</v>
      </c>
      <c r="Y477" s="40">
        <f t="shared" si="35"/>
        <v>166</v>
      </c>
      <c r="Z477" s="105">
        <v>0.50985221674876802</v>
      </c>
      <c r="AA477" s="105">
        <v>0.49014778325123198</v>
      </c>
      <c r="AB477" s="106">
        <v>0</v>
      </c>
      <c r="AC477" s="106">
        <v>0</v>
      </c>
      <c r="AD477" s="106">
        <f>8/406</f>
        <v>1.9704433497536946E-2</v>
      </c>
      <c r="AE477" s="106">
        <f>9/406</f>
        <v>2.2167487684729065E-2</v>
      </c>
      <c r="AF477" s="106">
        <v>0</v>
      </c>
      <c r="AG477" s="106">
        <f>388/406</f>
        <v>0.95566502463054193</v>
      </c>
      <c r="AH477" s="106">
        <f>1/406</f>
        <v>2.4630541871921183E-3</v>
      </c>
      <c r="AI477" s="106">
        <f>18/406</f>
        <v>4.4334975369458129E-2</v>
      </c>
      <c r="AJ477" s="105">
        <v>0.58374384236453203</v>
      </c>
      <c r="AK477" s="105">
        <v>9.8522167487684695E-3</v>
      </c>
      <c r="AL477" s="12">
        <v>26</v>
      </c>
      <c r="AM477" s="12">
        <v>30</v>
      </c>
      <c r="AN477" s="12">
        <v>1</v>
      </c>
      <c r="AO477" s="12">
        <v>35</v>
      </c>
      <c r="AP477" s="12">
        <v>24</v>
      </c>
      <c r="AQ477" s="12">
        <v>19</v>
      </c>
      <c r="AR477" s="12">
        <v>31</v>
      </c>
      <c r="AS477" s="59">
        <v>2.7777777777777776E-2</v>
      </c>
      <c r="AT477" s="3">
        <v>1</v>
      </c>
      <c r="AU477" s="3">
        <v>6</v>
      </c>
      <c r="AV477" s="52">
        <v>85.4</v>
      </c>
      <c r="AW477" s="52">
        <v>10</v>
      </c>
      <c r="AX477" s="52">
        <v>2.9</v>
      </c>
      <c r="AY477" s="71">
        <v>1.7</v>
      </c>
      <c r="AZ477" s="59">
        <v>0</v>
      </c>
      <c r="BA477" s="59">
        <v>6.236559139784946E-2</v>
      </c>
      <c r="BB477" s="78">
        <v>94.490071881004894</v>
      </c>
      <c r="BC477" s="49">
        <v>14.831460674157301</v>
      </c>
      <c r="BD477" s="49">
        <v>6.7</v>
      </c>
      <c r="BE477" s="49">
        <v>6.7</v>
      </c>
      <c r="BF477" s="49">
        <v>0</v>
      </c>
      <c r="BG477" s="49">
        <v>0</v>
      </c>
      <c r="BH477" s="49">
        <v>0</v>
      </c>
      <c r="BI477" s="49">
        <v>0</v>
      </c>
      <c r="BJ477" s="49">
        <v>20.2</v>
      </c>
      <c r="BK477" s="129">
        <v>12195</v>
      </c>
      <c r="BL477" s="129">
        <v>50589</v>
      </c>
      <c r="BM477" s="129">
        <v>52488</v>
      </c>
      <c r="BN477" s="129">
        <v>38850</v>
      </c>
      <c r="BO477" s="59">
        <v>0</v>
      </c>
      <c r="BP477" s="59">
        <v>0.3725</v>
      </c>
      <c r="BQ477" s="59">
        <v>0.14649999999999999</v>
      </c>
      <c r="BR477" s="59">
        <v>0</v>
      </c>
      <c r="BS477" s="59">
        <v>0</v>
      </c>
      <c r="BT477" s="49">
        <v>14</v>
      </c>
      <c r="BU477" s="59">
        <f t="shared" si="36"/>
        <v>0.51900000000000002</v>
      </c>
      <c r="BV477" s="59">
        <v>2.98E-2</v>
      </c>
      <c r="BW477" s="59">
        <v>1.49E-2</v>
      </c>
      <c r="BX477" s="59">
        <v>1.49E-2</v>
      </c>
      <c r="BY477" s="59">
        <v>1.49E-2</v>
      </c>
      <c r="BZ477" s="59">
        <v>0</v>
      </c>
      <c r="CA477" s="49">
        <v>24.8</v>
      </c>
      <c r="CB477" s="59">
        <f t="shared" si="37"/>
        <v>7.4499999999999997E-2</v>
      </c>
      <c r="CC477" s="59">
        <v>0.37680000000000002</v>
      </c>
      <c r="CD477" s="59">
        <v>0.41710000000000003</v>
      </c>
      <c r="CE477" s="59">
        <v>0.19120000000000001</v>
      </c>
      <c r="CF477" s="59">
        <v>1.49E-2</v>
      </c>
      <c r="CG477" s="59">
        <v>0</v>
      </c>
      <c r="CH477" s="49">
        <v>14</v>
      </c>
      <c r="CI477" s="39" t="s">
        <v>267</v>
      </c>
      <c r="CJ477" s="18" t="s">
        <v>479</v>
      </c>
      <c r="CK477" s="20"/>
    </row>
    <row r="478" spans="1:89" x14ac:dyDescent="0.25">
      <c r="A478" s="18" t="s">
        <v>479</v>
      </c>
      <c r="B478" s="39" t="s">
        <v>260</v>
      </c>
      <c r="C478" s="39" t="s">
        <v>268</v>
      </c>
      <c r="D478" s="40">
        <v>12</v>
      </c>
      <c r="E478" s="40" t="s">
        <v>83</v>
      </c>
      <c r="F478" s="40">
        <v>12</v>
      </c>
      <c r="G478" s="162" t="s">
        <v>83</v>
      </c>
      <c r="H478" s="162" t="s">
        <v>83</v>
      </c>
      <c r="I478" s="163">
        <v>0</v>
      </c>
      <c r="J478" s="163">
        <v>2</v>
      </c>
      <c r="K478" s="163">
        <v>5</v>
      </c>
      <c r="L478" s="163">
        <v>2</v>
      </c>
      <c r="M478" s="163">
        <v>3</v>
      </c>
      <c r="N478" s="115">
        <v>2.8776978417266199E-2</v>
      </c>
      <c r="O478" s="115">
        <v>2.8776978417266199E-2</v>
      </c>
      <c r="P478" s="116" t="s">
        <v>83</v>
      </c>
      <c r="Q478" s="116" t="s">
        <v>83</v>
      </c>
      <c r="R478" s="115">
        <v>0</v>
      </c>
      <c r="S478" s="115">
        <v>1.63934426229508E-2</v>
      </c>
      <c r="T478" s="115">
        <v>4.85436893203883E-2</v>
      </c>
      <c r="U478" s="115">
        <v>1.72413793103448E-2</v>
      </c>
      <c r="V478" s="115">
        <v>4.2253521126760597E-2</v>
      </c>
      <c r="W478" s="40">
        <v>381</v>
      </c>
      <c r="X478" s="40">
        <f t="shared" si="34"/>
        <v>381</v>
      </c>
      <c r="Y478" s="40">
        <f t="shared" si="35"/>
        <v>381</v>
      </c>
      <c r="Z478" s="105">
        <v>0.45931758530183697</v>
      </c>
      <c r="AA478" s="105">
        <v>0.54068241469816303</v>
      </c>
      <c r="AB478" s="106">
        <v>0</v>
      </c>
      <c r="AC478" s="106">
        <f>2/381</f>
        <v>5.2493438320209973E-3</v>
      </c>
      <c r="AD478" s="106">
        <f>58/381</f>
        <v>0.15223097112860892</v>
      </c>
      <c r="AE478" s="106">
        <f>6/381</f>
        <v>1.5748031496062992E-2</v>
      </c>
      <c r="AF478" s="106">
        <v>0</v>
      </c>
      <c r="AG478" s="106">
        <f>314/381</f>
        <v>0.8241469816272966</v>
      </c>
      <c r="AH478" s="106">
        <f>1/381</f>
        <v>2.6246719160104987E-3</v>
      </c>
      <c r="AI478" s="106">
        <f>67/381</f>
        <v>0.17585301837270342</v>
      </c>
      <c r="AJ478" s="105">
        <v>0.58267716535433067</v>
      </c>
      <c r="AK478" s="105">
        <v>0</v>
      </c>
      <c r="AL478" s="12">
        <v>0</v>
      </c>
      <c r="AM478" s="12">
        <v>0</v>
      </c>
      <c r="AN478" s="12">
        <v>5</v>
      </c>
      <c r="AO478" s="12">
        <v>107</v>
      </c>
      <c r="AP478" s="12">
        <v>90</v>
      </c>
      <c r="AQ478" s="12">
        <v>109</v>
      </c>
      <c r="AR478" s="12">
        <v>70</v>
      </c>
      <c r="AS478" s="59">
        <v>4.4642857142857144E-2</v>
      </c>
      <c r="AT478" s="3">
        <v>9</v>
      </c>
      <c r="AU478" s="3">
        <v>6</v>
      </c>
      <c r="AV478" s="52">
        <v>67.400000000000006</v>
      </c>
      <c r="AW478" s="52">
        <v>28.1</v>
      </c>
      <c r="AX478" s="52">
        <v>4.5</v>
      </c>
      <c r="AY478" s="70">
        <v>0</v>
      </c>
      <c r="AZ478" s="59">
        <v>0</v>
      </c>
      <c r="BA478" s="59">
        <v>0.1687041564792176</v>
      </c>
      <c r="BB478" s="77">
        <v>93.142652731118602</v>
      </c>
      <c r="BC478" s="49">
        <v>29.197080291970799</v>
      </c>
      <c r="BD478" s="90" t="s">
        <v>83</v>
      </c>
      <c r="BE478" s="90" t="s">
        <v>83</v>
      </c>
      <c r="BF478" s="49">
        <v>0</v>
      </c>
      <c r="BG478" s="49">
        <v>1.2</v>
      </c>
      <c r="BH478" s="49">
        <v>0</v>
      </c>
      <c r="BI478" s="49">
        <v>3.2</v>
      </c>
      <c r="BJ478" s="49">
        <v>19.5</v>
      </c>
      <c r="BK478" s="129">
        <v>10794</v>
      </c>
      <c r="BL478" s="129">
        <v>50307</v>
      </c>
      <c r="BM478" s="129">
        <v>47568</v>
      </c>
      <c r="BN478" s="129">
        <v>35781</v>
      </c>
      <c r="BO478" s="59">
        <v>0</v>
      </c>
      <c r="BP478" s="59">
        <v>0.27900000000000003</v>
      </c>
      <c r="BQ478" s="59">
        <v>0.15859999999999999</v>
      </c>
      <c r="BR478" s="59">
        <v>0</v>
      </c>
      <c r="BS478" s="59">
        <v>0</v>
      </c>
      <c r="BT478" s="49">
        <v>10.5</v>
      </c>
      <c r="BU478" s="59">
        <f t="shared" si="36"/>
        <v>0.43759999999999999</v>
      </c>
      <c r="BV478" s="59">
        <v>3.5200000000000002E-2</v>
      </c>
      <c r="BW478" s="59">
        <v>0</v>
      </c>
      <c r="BX478" s="59">
        <v>3.5200000000000002E-2</v>
      </c>
      <c r="BY478" s="59">
        <v>0</v>
      </c>
      <c r="BZ478" s="59">
        <v>0</v>
      </c>
      <c r="CA478" s="49">
        <v>13.7</v>
      </c>
      <c r="CB478" s="59">
        <f t="shared" si="37"/>
        <v>7.0400000000000004E-2</v>
      </c>
      <c r="CC478" s="59">
        <v>0.4919</v>
      </c>
      <c r="CD478" s="59">
        <v>0.29659999999999997</v>
      </c>
      <c r="CE478" s="59">
        <v>0.21149999999999999</v>
      </c>
      <c r="CF478" s="59">
        <v>0</v>
      </c>
      <c r="CG478" s="59">
        <v>0</v>
      </c>
      <c r="CH478" s="49">
        <v>10.199999999999999</v>
      </c>
      <c r="CI478" s="39" t="s">
        <v>268</v>
      </c>
      <c r="CJ478" s="18" t="s">
        <v>479</v>
      </c>
      <c r="CK478" s="20"/>
    </row>
    <row r="479" spans="1:89" x14ac:dyDescent="0.25">
      <c r="A479" s="18" t="s">
        <v>479</v>
      </c>
      <c r="B479" s="39" t="s">
        <v>260</v>
      </c>
      <c r="C479" s="39" t="s">
        <v>269</v>
      </c>
      <c r="D479" s="40">
        <v>36</v>
      </c>
      <c r="E479" s="40" t="s">
        <v>83</v>
      </c>
      <c r="F479" s="40">
        <v>36</v>
      </c>
      <c r="G479" s="162" t="s">
        <v>83</v>
      </c>
      <c r="H479" s="162" t="s">
        <v>83</v>
      </c>
      <c r="I479" s="163">
        <v>2</v>
      </c>
      <c r="J479" s="163">
        <v>3</v>
      </c>
      <c r="K479" s="163">
        <v>17</v>
      </c>
      <c r="L479" s="163">
        <v>7</v>
      </c>
      <c r="M479" s="163">
        <v>7</v>
      </c>
      <c r="N479" s="101">
        <f>36/1772</f>
        <v>2.0316027088036117E-2</v>
      </c>
      <c r="O479" s="101">
        <f>36/1772</f>
        <v>2.0316027088036117E-2</v>
      </c>
      <c r="P479" s="116" t="s">
        <v>83</v>
      </c>
      <c r="Q479" s="116" t="s">
        <v>83</v>
      </c>
      <c r="R479" s="115">
        <v>0.4</v>
      </c>
      <c r="S479" s="115">
        <v>5.9055118110236202E-3</v>
      </c>
      <c r="T479" s="115">
        <v>3.35305719921105E-2</v>
      </c>
      <c r="U479" s="115">
        <v>1.73267326732673E-2</v>
      </c>
      <c r="V479" s="115">
        <v>2.0114942528735601E-2</v>
      </c>
      <c r="W479" s="6">
        <v>1621</v>
      </c>
      <c r="X479" s="40">
        <f t="shared" si="34"/>
        <v>1621</v>
      </c>
      <c r="Y479" s="40">
        <f t="shared" si="35"/>
        <v>1621</v>
      </c>
      <c r="Z479" s="61">
        <f>756/1621</f>
        <v>0.46637877853177051</v>
      </c>
      <c r="AA479" s="61">
        <f>865/1621</f>
        <v>0.53362122146822943</v>
      </c>
      <c r="AB479" s="61">
        <f>2/1621</f>
        <v>1.2338062924120913E-3</v>
      </c>
      <c r="AC479" s="61">
        <f>15/1621</f>
        <v>9.2535471930906849E-3</v>
      </c>
      <c r="AD479" s="61">
        <f>136/1621</f>
        <v>8.3898827884022212E-2</v>
      </c>
      <c r="AE479" s="61">
        <f>44/1621</f>
        <v>2.7143738433066007E-2</v>
      </c>
      <c r="AF479" s="61">
        <v>0</v>
      </c>
      <c r="AG479" s="61">
        <f>1418/1621</f>
        <v>0.87476866132017272</v>
      </c>
      <c r="AH479" s="61">
        <f>6/1621</f>
        <v>3.7014188772362738E-3</v>
      </c>
      <c r="AI479" s="61">
        <f>203/1621</f>
        <v>0.12523133867982728</v>
      </c>
      <c r="AJ479" s="61">
        <f>749/1621</f>
        <v>0.46206045650832817</v>
      </c>
      <c r="AK479" s="61">
        <f>9/1621</f>
        <v>5.5521283158544111E-3</v>
      </c>
      <c r="AL479" s="3">
        <v>0</v>
      </c>
      <c r="AM479" s="3">
        <v>0</v>
      </c>
      <c r="AN479" s="3">
        <v>3</v>
      </c>
      <c r="AO479" s="3">
        <v>455</v>
      </c>
      <c r="AP479" s="3">
        <v>461</v>
      </c>
      <c r="AQ479" s="3">
        <v>372</v>
      </c>
      <c r="AR479" s="3">
        <v>330</v>
      </c>
      <c r="AS479" s="59">
        <v>6.5502183406113534E-3</v>
      </c>
      <c r="AT479" s="3">
        <v>9</v>
      </c>
      <c r="AU479" s="3">
        <v>6</v>
      </c>
      <c r="AV479" s="56">
        <v>43.140243902439025</v>
      </c>
      <c r="AW479" s="56">
        <v>20.274390243902442</v>
      </c>
      <c r="AX479" s="56">
        <v>32.774390243902438</v>
      </c>
      <c r="AY479" s="72">
        <v>3.8109756097560976</v>
      </c>
      <c r="AZ479" s="59">
        <v>0</v>
      </c>
      <c r="BA479" s="61">
        <v>0.17088217149907464</v>
      </c>
      <c r="BB479" s="78">
        <v>93.696804034861401</v>
      </c>
      <c r="BC479" s="78">
        <v>25.067499999999999</v>
      </c>
      <c r="BD479" s="90" t="s">
        <v>83</v>
      </c>
      <c r="BE479" s="90" t="s">
        <v>83</v>
      </c>
      <c r="BF479" s="49">
        <v>7.1</v>
      </c>
      <c r="BG479" s="49">
        <v>3</v>
      </c>
      <c r="BH479" s="49">
        <v>1.4</v>
      </c>
      <c r="BI479" s="49">
        <v>5.4</v>
      </c>
      <c r="BJ479" s="49">
        <v>20</v>
      </c>
      <c r="BK479" s="129">
        <v>7942</v>
      </c>
      <c r="BL479" s="129">
        <v>49506</v>
      </c>
      <c r="BM479" s="129">
        <v>45702</v>
      </c>
      <c r="BN479" s="129">
        <v>39359</v>
      </c>
      <c r="BO479" s="59">
        <v>9.4000000000000004E-3</v>
      </c>
      <c r="BP479" s="59">
        <v>0.35449999999999998</v>
      </c>
      <c r="BQ479" s="59">
        <v>0.20749999999999999</v>
      </c>
      <c r="BR479" s="59">
        <v>9.4000000000000004E-3</v>
      </c>
      <c r="BS479" s="59">
        <v>0</v>
      </c>
      <c r="BT479" s="49">
        <v>11.1</v>
      </c>
      <c r="BU479" s="59">
        <f t="shared" si="36"/>
        <v>0.58079999999999998</v>
      </c>
      <c r="BV479" s="59">
        <v>3.7699999999999997E-2</v>
      </c>
      <c r="BW479" s="59">
        <v>9.4000000000000004E-3</v>
      </c>
      <c r="BX479" s="59">
        <v>1.89E-2</v>
      </c>
      <c r="BY479" s="59">
        <v>0</v>
      </c>
      <c r="BZ479" s="59">
        <v>0</v>
      </c>
      <c r="CA479" s="49">
        <v>14.6</v>
      </c>
      <c r="CB479" s="59">
        <f t="shared" si="37"/>
        <v>6.6000000000000003E-2</v>
      </c>
      <c r="CC479" s="59">
        <v>0.36249999999999999</v>
      </c>
      <c r="CD479" s="59">
        <v>0.3639</v>
      </c>
      <c r="CE479" s="59">
        <v>0.2641</v>
      </c>
      <c r="CF479" s="59">
        <v>9.4000000000000004E-3</v>
      </c>
      <c r="CG479" s="59">
        <v>0</v>
      </c>
      <c r="CH479" s="49">
        <v>10.3</v>
      </c>
      <c r="CI479" s="39" t="s">
        <v>269</v>
      </c>
      <c r="CJ479" s="18" t="s">
        <v>479</v>
      </c>
      <c r="CK479" s="20"/>
    </row>
    <row r="480" spans="1:89" x14ac:dyDescent="0.25">
      <c r="A480" s="18" t="s">
        <v>479</v>
      </c>
      <c r="B480" s="39" t="s">
        <v>270</v>
      </c>
      <c r="C480" s="39" t="s">
        <v>271</v>
      </c>
      <c r="D480" s="40">
        <v>27</v>
      </c>
      <c r="E480" s="40" t="s">
        <v>83</v>
      </c>
      <c r="F480" s="40">
        <v>27</v>
      </c>
      <c r="G480" s="162" t="s">
        <v>83</v>
      </c>
      <c r="H480" s="162" t="s">
        <v>83</v>
      </c>
      <c r="I480" s="163">
        <v>0</v>
      </c>
      <c r="J480" s="163">
        <v>4</v>
      </c>
      <c r="K480" s="163">
        <v>11</v>
      </c>
      <c r="L480" s="163">
        <v>4</v>
      </c>
      <c r="M480" s="163">
        <v>8</v>
      </c>
      <c r="N480" s="115">
        <v>5.1923076923076898E-2</v>
      </c>
      <c r="O480" s="115">
        <v>5.1923076923076898E-2</v>
      </c>
      <c r="P480" s="116" t="s">
        <v>83</v>
      </c>
      <c r="Q480" s="116" t="s">
        <v>83</v>
      </c>
      <c r="R480" s="115">
        <v>0</v>
      </c>
      <c r="S480" s="115">
        <v>3.125E-2</v>
      </c>
      <c r="T480" s="115">
        <v>6.8750000000000006E-2</v>
      </c>
      <c r="U480" s="115">
        <v>3.6697247706422E-2</v>
      </c>
      <c r="V480" s="115">
        <v>7.2072072072072099E-2</v>
      </c>
      <c r="W480" s="40">
        <v>460</v>
      </c>
      <c r="X480" s="40">
        <f t="shared" si="34"/>
        <v>460</v>
      </c>
      <c r="Y480" s="40">
        <f t="shared" si="35"/>
        <v>460</v>
      </c>
      <c r="Z480" s="105">
        <v>0.48695652173913001</v>
      </c>
      <c r="AA480" s="105">
        <v>0.51304347826087005</v>
      </c>
      <c r="AB480" s="106">
        <v>0</v>
      </c>
      <c r="AC480" s="106">
        <v>0</v>
      </c>
      <c r="AD480" s="106">
        <f>438/460</f>
        <v>0.95217391304347831</v>
      </c>
      <c r="AE480" s="106">
        <f>4/460</f>
        <v>8.6956521739130436E-3</v>
      </c>
      <c r="AF480" s="106">
        <v>0</v>
      </c>
      <c r="AG480" s="106">
        <f>15/460</f>
        <v>3.2608695652173912E-2</v>
      </c>
      <c r="AH480" s="106">
        <f>3/460</f>
        <v>6.5217391304347823E-3</v>
      </c>
      <c r="AI480" s="106">
        <f>445/460</f>
        <v>0.96739130434782605</v>
      </c>
      <c r="AJ480" s="105">
        <v>0.90217391304347827</v>
      </c>
      <c r="AK480" s="105">
        <v>0</v>
      </c>
      <c r="AL480" s="12">
        <v>0</v>
      </c>
      <c r="AM480" s="12">
        <v>0</v>
      </c>
      <c r="AN480" s="12">
        <v>11</v>
      </c>
      <c r="AO480" s="12">
        <v>110</v>
      </c>
      <c r="AP480" s="12">
        <v>140</v>
      </c>
      <c r="AQ480" s="12">
        <v>98</v>
      </c>
      <c r="AR480" s="12">
        <v>101</v>
      </c>
      <c r="AS480" s="59">
        <v>9.0909090909090912E-2</v>
      </c>
      <c r="AT480" s="3">
        <v>9</v>
      </c>
      <c r="AU480" s="3">
        <v>6</v>
      </c>
      <c r="AV480" s="52">
        <v>60.5</v>
      </c>
      <c r="AW480" s="52">
        <v>22</v>
      </c>
      <c r="AX480" s="52">
        <v>15.6</v>
      </c>
      <c r="AY480" s="71">
        <v>2</v>
      </c>
      <c r="AZ480" s="59">
        <v>0.32427184466019415</v>
      </c>
      <c r="BA480" s="59">
        <v>0.14563106796116504</v>
      </c>
      <c r="BB480" s="78">
        <v>89.720398889169402</v>
      </c>
      <c r="BC480" s="49">
        <v>50.0967117988395</v>
      </c>
      <c r="BD480" s="90" t="s">
        <v>83</v>
      </c>
      <c r="BE480" s="90" t="s">
        <v>83</v>
      </c>
      <c r="BF480" s="49">
        <v>5.3</v>
      </c>
      <c r="BG480" s="49">
        <v>11.7</v>
      </c>
      <c r="BH480" s="49">
        <v>6.4</v>
      </c>
      <c r="BI480" s="49">
        <v>1.1000000000000001</v>
      </c>
      <c r="BJ480" s="49">
        <v>15.7</v>
      </c>
      <c r="BK480" s="129">
        <v>13008</v>
      </c>
      <c r="BL480" s="129">
        <v>49592</v>
      </c>
      <c r="BM480" s="129">
        <v>43791</v>
      </c>
      <c r="BN480" s="129">
        <v>40898</v>
      </c>
      <c r="BO480" s="59">
        <v>0</v>
      </c>
      <c r="BP480" s="59">
        <v>0.2238</v>
      </c>
      <c r="BQ480" s="59">
        <v>0.22520000000000001</v>
      </c>
      <c r="BR480" s="59">
        <v>0</v>
      </c>
      <c r="BS480" s="59">
        <v>3.7600000000000001E-2</v>
      </c>
      <c r="BT480" s="49">
        <v>21.1</v>
      </c>
      <c r="BU480" s="59">
        <f t="shared" si="36"/>
        <v>0.48660000000000003</v>
      </c>
      <c r="BV480" s="59">
        <v>3.4799999999999998E-2</v>
      </c>
      <c r="BW480" s="59">
        <v>0</v>
      </c>
      <c r="BX480" s="59">
        <v>3.4000000000000002E-2</v>
      </c>
      <c r="BY480" s="59">
        <v>1.4E-3</v>
      </c>
      <c r="BZ480" s="59">
        <v>0</v>
      </c>
      <c r="CA480" s="49">
        <v>23.9</v>
      </c>
      <c r="CB480" s="59">
        <f t="shared" si="37"/>
        <v>7.0199999999999999E-2</v>
      </c>
      <c r="CC480" s="59">
        <v>0.31290000000000001</v>
      </c>
      <c r="CD480" s="59">
        <v>0.29580000000000001</v>
      </c>
      <c r="CE480" s="59">
        <v>0.33329999999999999</v>
      </c>
      <c r="CF480" s="59">
        <v>1.4E-3</v>
      </c>
      <c r="CG480" s="59">
        <v>5.6500000000000002E-2</v>
      </c>
      <c r="CH480" s="49">
        <v>18.100000000000001</v>
      </c>
      <c r="CI480" s="39" t="s">
        <v>271</v>
      </c>
      <c r="CJ480" s="18" t="s">
        <v>479</v>
      </c>
      <c r="CK480" s="20"/>
    </row>
    <row r="481" spans="1:89" x14ac:dyDescent="0.25">
      <c r="A481" s="18" t="s">
        <v>479</v>
      </c>
      <c r="B481" s="39" t="s">
        <v>272</v>
      </c>
      <c r="C481" s="39" t="s">
        <v>273</v>
      </c>
      <c r="D481" s="40">
        <v>52</v>
      </c>
      <c r="E481" s="40" t="s">
        <v>83</v>
      </c>
      <c r="F481" s="40">
        <v>52</v>
      </c>
      <c r="G481" s="162" t="s">
        <v>83</v>
      </c>
      <c r="H481" s="162" t="s">
        <v>83</v>
      </c>
      <c r="I481" s="162">
        <v>1</v>
      </c>
      <c r="J481" s="163">
        <v>15</v>
      </c>
      <c r="K481" s="163">
        <v>15</v>
      </c>
      <c r="L481" s="163">
        <v>12</v>
      </c>
      <c r="M481" s="163">
        <v>8</v>
      </c>
      <c r="N481" s="115">
        <v>5.5853920515574702E-2</v>
      </c>
      <c r="O481" s="115">
        <v>5.5853920515574702E-2</v>
      </c>
      <c r="P481" s="116" t="s">
        <v>83</v>
      </c>
      <c r="Q481" s="116" t="s">
        <v>83</v>
      </c>
      <c r="R481" s="116">
        <v>1</v>
      </c>
      <c r="S481" s="115">
        <v>5.9288537549407098E-2</v>
      </c>
      <c r="T481" s="115">
        <v>6.2761506276150597E-2</v>
      </c>
      <c r="U481" s="115">
        <v>6.1224489795918401E-2</v>
      </c>
      <c r="V481" s="115">
        <v>3.3195020746888002E-2</v>
      </c>
      <c r="W481" s="40">
        <v>806</v>
      </c>
      <c r="X481" s="40">
        <f t="shared" ref="X481:X499" si="38">SUM(AN481:AR481)</f>
        <v>806</v>
      </c>
      <c r="Y481" s="40">
        <f t="shared" ref="Y481:Y499" si="39">SUM(AL481:AR481)</f>
        <v>806</v>
      </c>
      <c r="Z481" s="105">
        <v>0.51612903225806495</v>
      </c>
      <c r="AA481" s="105">
        <v>0.483870967741936</v>
      </c>
      <c r="AB481" s="106">
        <f>1/806</f>
        <v>1.2406947890818859E-3</v>
      </c>
      <c r="AC481" s="106">
        <f>3/806</f>
        <v>3.7220843672456576E-3</v>
      </c>
      <c r="AD481" s="106">
        <f>707/806</f>
        <v>0.87717121588089331</v>
      </c>
      <c r="AE481" s="106">
        <f>9/806</f>
        <v>1.1166253101736972E-2</v>
      </c>
      <c r="AF481" s="106">
        <f>1/806</f>
        <v>1.2406947890818859E-3</v>
      </c>
      <c r="AG481" s="106">
        <f>79/806</f>
        <v>9.8014888337468978E-2</v>
      </c>
      <c r="AH481" s="106">
        <f>6/806</f>
        <v>7.4441687344913151E-3</v>
      </c>
      <c r="AI481" s="106">
        <f>727/806</f>
        <v>0.90198511166253104</v>
      </c>
      <c r="AJ481" s="105">
        <v>0.83870967741935487</v>
      </c>
      <c r="AK481" s="105">
        <v>4.96277915632754E-3</v>
      </c>
      <c r="AL481" s="12">
        <v>0</v>
      </c>
      <c r="AM481" s="12">
        <v>0</v>
      </c>
      <c r="AN481" s="12">
        <v>0</v>
      </c>
      <c r="AO481" s="12">
        <v>201</v>
      </c>
      <c r="AP481" s="12">
        <v>208</v>
      </c>
      <c r="AQ481" s="12">
        <v>172</v>
      </c>
      <c r="AR481" s="12">
        <v>225</v>
      </c>
      <c r="AS481" s="59">
        <v>0</v>
      </c>
      <c r="AT481" s="3">
        <v>9</v>
      </c>
      <c r="AU481" s="3">
        <v>6</v>
      </c>
      <c r="AV481" s="52">
        <v>72.2</v>
      </c>
      <c r="AW481" s="52">
        <v>18.7</v>
      </c>
      <c r="AX481" s="52">
        <v>8</v>
      </c>
      <c r="AY481" s="71">
        <v>1.1000000000000001</v>
      </c>
      <c r="AZ481" s="59">
        <v>0.18770581778265641</v>
      </c>
      <c r="BA481" s="59">
        <v>3.2930845225027441E-2</v>
      </c>
      <c r="BB481" s="78">
        <v>92.746339827888093</v>
      </c>
      <c r="BC481" s="49">
        <v>24.126637554585201</v>
      </c>
      <c r="BD481" s="90" t="s">
        <v>83</v>
      </c>
      <c r="BE481" s="90" t="s">
        <v>83</v>
      </c>
      <c r="BF481" s="49">
        <v>11.2</v>
      </c>
      <c r="BG481" s="49">
        <v>5.8</v>
      </c>
      <c r="BH481" s="49">
        <v>2.6</v>
      </c>
      <c r="BI481" s="49">
        <v>2.6</v>
      </c>
      <c r="BJ481" s="49">
        <v>16.899999999999999</v>
      </c>
      <c r="BK481" s="129">
        <v>15593</v>
      </c>
      <c r="BL481" s="129">
        <v>52290</v>
      </c>
      <c r="BM481" s="129">
        <v>43965</v>
      </c>
      <c r="BN481" s="129">
        <v>44338</v>
      </c>
      <c r="BO481" s="59">
        <v>1.0500000000000001E-2</v>
      </c>
      <c r="BP481" s="59">
        <v>0.40510000000000002</v>
      </c>
      <c r="BQ481" s="59">
        <v>0.20230000000000001</v>
      </c>
      <c r="BR481" s="59">
        <v>0</v>
      </c>
      <c r="BS481" s="59">
        <v>0</v>
      </c>
      <c r="BT481" s="49">
        <v>16.100000000000001</v>
      </c>
      <c r="BU481" s="59">
        <f t="shared" si="36"/>
        <v>0.6179</v>
      </c>
      <c r="BV481" s="59">
        <v>4.1300000000000003E-2</v>
      </c>
      <c r="BW481" s="59">
        <v>0</v>
      </c>
      <c r="BX481" s="59">
        <v>2.18E-2</v>
      </c>
      <c r="BY481" s="59">
        <v>0</v>
      </c>
      <c r="BZ481" s="59">
        <v>1.0500000000000001E-2</v>
      </c>
      <c r="CA481" s="49">
        <v>18.5</v>
      </c>
      <c r="CB481" s="59">
        <f t="shared" si="37"/>
        <v>7.3599999999999999E-2</v>
      </c>
      <c r="CC481" s="59">
        <v>0.21779999999999999</v>
      </c>
      <c r="CD481" s="59">
        <v>0.47439999999999999</v>
      </c>
      <c r="CE481" s="59">
        <v>0.2868</v>
      </c>
      <c r="CF481" s="59">
        <v>0</v>
      </c>
      <c r="CG481" s="59">
        <v>2.0899999999999998E-2</v>
      </c>
      <c r="CH481" s="49">
        <v>15.3</v>
      </c>
      <c r="CI481" s="39" t="s">
        <v>273</v>
      </c>
      <c r="CJ481" s="18" t="s">
        <v>479</v>
      </c>
      <c r="CK481" s="20"/>
    </row>
    <row r="482" spans="1:89" x14ac:dyDescent="0.25">
      <c r="A482" s="18" t="s">
        <v>479</v>
      </c>
      <c r="B482" s="39" t="s">
        <v>272</v>
      </c>
      <c r="C482" s="39" t="s">
        <v>274</v>
      </c>
      <c r="D482" s="40">
        <v>13</v>
      </c>
      <c r="E482" s="40">
        <v>3</v>
      </c>
      <c r="F482" s="40">
        <v>10</v>
      </c>
      <c r="G482" s="163">
        <v>0</v>
      </c>
      <c r="H482" s="163">
        <v>3</v>
      </c>
      <c r="I482" s="162" t="s">
        <v>83</v>
      </c>
      <c r="J482" s="163">
        <v>3</v>
      </c>
      <c r="K482" s="163">
        <v>2</v>
      </c>
      <c r="L482" s="163">
        <v>4</v>
      </c>
      <c r="M482" s="163">
        <v>1</v>
      </c>
      <c r="N482" s="115">
        <v>2.5691699604743101E-2</v>
      </c>
      <c r="O482" s="115">
        <v>3.5087719298245598E-2</v>
      </c>
      <c r="P482" s="115">
        <v>0</v>
      </c>
      <c r="Q482" s="115">
        <v>2.7027027027027001E-2</v>
      </c>
      <c r="R482" s="116" t="s">
        <v>83</v>
      </c>
      <c r="S482" s="115">
        <v>3.3333333333333298E-2</v>
      </c>
      <c r="T482" s="115">
        <v>2.2222222222222199E-2</v>
      </c>
      <c r="U482" s="115">
        <v>5.7971014492753603E-2</v>
      </c>
      <c r="V482" s="115">
        <v>2.7777777777777801E-2</v>
      </c>
      <c r="W482" s="40">
        <v>859</v>
      </c>
      <c r="X482" s="40">
        <f t="shared" si="38"/>
        <v>262</v>
      </c>
      <c r="Y482" s="40">
        <f t="shared" si="39"/>
        <v>461</v>
      </c>
      <c r="Z482" s="105">
        <v>0.50873108265424904</v>
      </c>
      <c r="AA482" s="105">
        <v>0.49126891734575101</v>
      </c>
      <c r="AB482" s="106">
        <f>2/859</f>
        <v>2.3282887077997671E-3</v>
      </c>
      <c r="AC482" s="106">
        <v>0</v>
      </c>
      <c r="AD482" s="106">
        <f>108/859</f>
        <v>0.12572759022118743</v>
      </c>
      <c r="AE482" s="106">
        <f>7/859</f>
        <v>8.1490104772991845E-3</v>
      </c>
      <c r="AF482" s="106">
        <f>1/859</f>
        <v>1.1641443538998836E-3</v>
      </c>
      <c r="AG482" s="106">
        <f>737/859</f>
        <v>0.85797438882421417</v>
      </c>
      <c r="AH482" s="106">
        <f>4/859</f>
        <v>4.6565774155995342E-3</v>
      </c>
      <c r="AI482" s="106">
        <f>122/859</f>
        <v>0.1420256111757858</v>
      </c>
      <c r="AJ482" s="105">
        <v>0.64842840512223521</v>
      </c>
      <c r="AK482" s="105">
        <v>3.4924330616996498E-3</v>
      </c>
      <c r="AL482" s="12">
        <v>99</v>
      </c>
      <c r="AM482" s="12">
        <v>100</v>
      </c>
      <c r="AN482" s="12">
        <v>0</v>
      </c>
      <c r="AO482" s="12">
        <v>84</v>
      </c>
      <c r="AP482" s="12">
        <v>84</v>
      </c>
      <c r="AQ482" s="12">
        <v>61</v>
      </c>
      <c r="AR482" s="12">
        <v>33</v>
      </c>
      <c r="AS482" s="59">
        <v>0</v>
      </c>
      <c r="AT482" s="3">
        <v>1</v>
      </c>
      <c r="AU482" s="3">
        <v>3</v>
      </c>
      <c r="AV482" s="52">
        <v>74.2</v>
      </c>
      <c r="AW482" s="52">
        <v>23.7</v>
      </c>
      <c r="AX482" s="52">
        <v>1</v>
      </c>
      <c r="AY482" s="71">
        <v>1</v>
      </c>
      <c r="AZ482" s="59">
        <v>4.1575492341356671E-2</v>
      </c>
      <c r="BA482" s="59">
        <v>1.8599562363238512E-2</v>
      </c>
      <c r="BB482" s="77">
        <v>92.994075220822793</v>
      </c>
      <c r="BC482" s="49">
        <v>41.340782122904997</v>
      </c>
      <c r="BD482" s="49">
        <v>4.2</v>
      </c>
      <c r="BE482" s="49">
        <v>7.1</v>
      </c>
      <c r="BF482" s="49">
        <v>1.3</v>
      </c>
      <c r="BG482" s="49">
        <v>1.3</v>
      </c>
      <c r="BH482" s="49">
        <v>7.1</v>
      </c>
      <c r="BI482" s="49">
        <v>0</v>
      </c>
      <c r="BJ482" s="49">
        <v>18.8</v>
      </c>
      <c r="BK482" s="129"/>
      <c r="BL482" s="129"/>
      <c r="BM482" s="129"/>
      <c r="BN482" s="129"/>
      <c r="BO482" s="59"/>
      <c r="BP482" s="59"/>
      <c r="BQ482" s="59"/>
      <c r="BR482" s="59"/>
      <c r="BS482" s="59"/>
      <c r="BT482" s="49"/>
      <c r="BU482" s="59"/>
      <c r="BV482" s="59"/>
      <c r="BW482" s="59"/>
      <c r="BX482" s="59"/>
      <c r="BY482" s="59"/>
      <c r="BZ482" s="59"/>
      <c r="CA482" s="49"/>
      <c r="CB482" s="59"/>
      <c r="CC482" s="59"/>
      <c r="CD482" s="59"/>
      <c r="CE482" s="59"/>
      <c r="CF482" s="59"/>
      <c r="CG482" s="59"/>
      <c r="CH482" s="49"/>
      <c r="CI482" s="39" t="s">
        <v>274</v>
      </c>
      <c r="CJ482" s="18" t="s">
        <v>479</v>
      </c>
      <c r="CK482" s="20"/>
    </row>
    <row r="483" spans="1:89" x14ac:dyDescent="0.25">
      <c r="A483" s="18" t="s">
        <v>479</v>
      </c>
      <c r="B483" s="39" t="s">
        <v>275</v>
      </c>
      <c r="C483" s="39" t="s">
        <v>276</v>
      </c>
      <c r="D483" s="40">
        <v>69</v>
      </c>
      <c r="E483" s="40" t="s">
        <v>83</v>
      </c>
      <c r="F483" s="40">
        <v>69</v>
      </c>
      <c r="G483" s="162" t="s">
        <v>83</v>
      </c>
      <c r="H483" s="162" t="s">
        <v>83</v>
      </c>
      <c r="I483" s="163">
        <v>3</v>
      </c>
      <c r="J483" s="163">
        <v>15</v>
      </c>
      <c r="K483" s="163">
        <v>15</v>
      </c>
      <c r="L483" s="163">
        <v>22</v>
      </c>
      <c r="M483" s="163">
        <v>14</v>
      </c>
      <c r="N483" s="115">
        <v>4.4834307992202699E-2</v>
      </c>
      <c r="O483" s="115">
        <v>4.4834307992202699E-2</v>
      </c>
      <c r="P483" s="116" t="s">
        <v>83</v>
      </c>
      <c r="Q483" s="116" t="s">
        <v>83</v>
      </c>
      <c r="R483" s="115">
        <v>0.33333333333333298</v>
      </c>
      <c r="S483" s="115">
        <v>3.3632286995515702E-2</v>
      </c>
      <c r="T483" s="115">
        <v>3.7688442211055301E-2</v>
      </c>
      <c r="U483" s="115">
        <v>6.1452513966480403E-2</v>
      </c>
      <c r="V483" s="115">
        <v>4.2682926829268303E-2</v>
      </c>
      <c r="W483" s="40">
        <v>1398</v>
      </c>
      <c r="X483" s="40">
        <f t="shared" si="38"/>
        <v>1395</v>
      </c>
      <c r="Y483" s="40">
        <f t="shared" si="39"/>
        <v>1395</v>
      </c>
      <c r="Z483" s="105">
        <v>0.52145922746781104</v>
      </c>
      <c r="AA483" s="105">
        <v>0.47854077253218902</v>
      </c>
      <c r="AB483" s="106">
        <f>15/1398</f>
        <v>1.0729613733905579E-2</v>
      </c>
      <c r="AC483" s="106">
        <f>5/1398</f>
        <v>3.5765379113018598E-3</v>
      </c>
      <c r="AD483" s="106">
        <f>783/1398</f>
        <v>0.56008583690987124</v>
      </c>
      <c r="AE483" s="106">
        <f>31/1398</f>
        <v>2.2174535050071532E-2</v>
      </c>
      <c r="AF483" s="106">
        <f>1/1398</f>
        <v>7.1530758226037196E-4</v>
      </c>
      <c r="AG483" s="106">
        <f>539/1398</f>
        <v>0.38555078683834049</v>
      </c>
      <c r="AH483" s="106">
        <f>24/1398</f>
        <v>1.7167381974248927E-2</v>
      </c>
      <c r="AI483" s="106">
        <f>859/1398</f>
        <v>0.61444921316165957</v>
      </c>
      <c r="AJ483" s="105">
        <v>0.66165951359084407</v>
      </c>
      <c r="AK483" s="105">
        <v>7.8683834048640898E-3</v>
      </c>
      <c r="AL483" s="12">
        <v>0</v>
      </c>
      <c r="AM483" s="12">
        <v>0</v>
      </c>
      <c r="AN483" s="12">
        <v>1</v>
      </c>
      <c r="AO483" s="12">
        <v>403</v>
      </c>
      <c r="AP483" s="12">
        <v>358</v>
      </c>
      <c r="AQ483" s="12">
        <v>322</v>
      </c>
      <c r="AR483" s="12">
        <v>311</v>
      </c>
      <c r="AS483" s="59">
        <v>2.4752475247524753E-3</v>
      </c>
      <c r="AT483" s="3">
        <v>9</v>
      </c>
      <c r="AU483" s="3">
        <v>6</v>
      </c>
      <c r="AV483" s="52">
        <v>48.8</v>
      </c>
      <c r="AW483" s="52">
        <v>28.8</v>
      </c>
      <c r="AX483" s="52">
        <v>22</v>
      </c>
      <c r="AY483" s="71">
        <v>0.5</v>
      </c>
      <c r="AZ483" s="59">
        <v>0.33816743572841135</v>
      </c>
      <c r="BA483" s="59">
        <v>0.24588002636783124</v>
      </c>
      <c r="BB483" s="77">
        <v>93.321020044075993</v>
      </c>
      <c r="BC483" s="49">
        <v>20.7979071288424</v>
      </c>
      <c r="BD483" s="90" t="s">
        <v>83</v>
      </c>
      <c r="BE483" s="90" t="s">
        <v>83</v>
      </c>
      <c r="BF483" s="49">
        <v>5.6</v>
      </c>
      <c r="BG483" s="49">
        <v>4.7</v>
      </c>
      <c r="BH483" s="49">
        <v>2.4</v>
      </c>
      <c r="BI483" s="49">
        <v>2.2999999999999998</v>
      </c>
      <c r="BJ483" s="49">
        <v>18.5</v>
      </c>
      <c r="BK483" s="129">
        <v>10263</v>
      </c>
      <c r="BL483" s="129">
        <v>52256</v>
      </c>
      <c r="BM483" s="129">
        <v>45512</v>
      </c>
      <c r="BN483" s="129">
        <v>46074</v>
      </c>
      <c r="BO483" s="59">
        <v>8.0999999999999996E-3</v>
      </c>
      <c r="BP483" s="59">
        <v>0.38319999999999999</v>
      </c>
      <c r="BQ483" s="59">
        <v>0.23810000000000001</v>
      </c>
      <c r="BR483" s="59">
        <v>7.6E-3</v>
      </c>
      <c r="BS483" s="59">
        <v>1.61E-2</v>
      </c>
      <c r="BT483" s="49">
        <v>12.5</v>
      </c>
      <c r="BU483" s="59">
        <f t="shared" si="36"/>
        <v>0.65310000000000001</v>
      </c>
      <c r="BV483" s="59">
        <v>2.4199999999999999E-2</v>
      </c>
      <c r="BW483" s="59">
        <v>1.61E-2</v>
      </c>
      <c r="BX483" s="59">
        <v>2.4199999999999999E-2</v>
      </c>
      <c r="BY483" s="59">
        <v>0</v>
      </c>
      <c r="BZ483" s="59">
        <v>0</v>
      </c>
      <c r="CA483" s="49">
        <v>17.600000000000001</v>
      </c>
      <c r="CB483" s="59">
        <f t="shared" si="37"/>
        <v>6.4500000000000002E-2</v>
      </c>
      <c r="CC483" s="59">
        <v>0.21440000000000001</v>
      </c>
      <c r="CD483" s="59">
        <v>0.42270000000000002</v>
      </c>
      <c r="CE483" s="59">
        <v>0.32300000000000001</v>
      </c>
      <c r="CF483" s="59">
        <v>2.3699999999999999E-2</v>
      </c>
      <c r="CG483" s="59">
        <v>1.61E-2</v>
      </c>
      <c r="CH483" s="49">
        <v>13.5</v>
      </c>
      <c r="CI483" s="39" t="s">
        <v>276</v>
      </c>
      <c r="CJ483" s="18" t="s">
        <v>479</v>
      </c>
      <c r="CK483" s="20"/>
    </row>
    <row r="484" spans="1:89" x14ac:dyDescent="0.25">
      <c r="A484" s="18" t="s">
        <v>479</v>
      </c>
      <c r="B484" s="39" t="s">
        <v>275</v>
      </c>
      <c r="C484" s="39" t="s">
        <v>277</v>
      </c>
      <c r="D484" s="40">
        <v>9</v>
      </c>
      <c r="E484" s="40">
        <v>0</v>
      </c>
      <c r="F484" s="40">
        <v>9</v>
      </c>
      <c r="G484" s="163">
        <v>0</v>
      </c>
      <c r="H484" s="163">
        <v>0</v>
      </c>
      <c r="I484" s="163">
        <v>0</v>
      </c>
      <c r="J484" s="163">
        <v>2</v>
      </c>
      <c r="K484" s="163">
        <v>3</v>
      </c>
      <c r="L484" s="163">
        <v>2</v>
      </c>
      <c r="M484" s="163">
        <v>2</v>
      </c>
      <c r="N484" s="115">
        <v>1.8595041322314099E-2</v>
      </c>
      <c r="O484" s="115">
        <v>2.6865671641791E-2</v>
      </c>
      <c r="P484" s="115">
        <v>0</v>
      </c>
      <c r="Q484" s="115">
        <v>0</v>
      </c>
      <c r="R484" s="115">
        <v>0</v>
      </c>
      <c r="S484" s="115">
        <v>2.7777777777777801E-2</v>
      </c>
      <c r="T484" s="115">
        <v>2.9126213592233E-2</v>
      </c>
      <c r="U484" s="115">
        <v>2.8169014084507001E-2</v>
      </c>
      <c r="V484" s="115">
        <v>2.8985507246376802E-2</v>
      </c>
      <c r="W484" s="40">
        <v>431</v>
      </c>
      <c r="X484" s="40">
        <f t="shared" si="38"/>
        <v>291</v>
      </c>
      <c r="Y484" s="40">
        <f t="shared" si="39"/>
        <v>431</v>
      </c>
      <c r="Z484" s="105">
        <v>0.477958236658933</v>
      </c>
      <c r="AA484" s="105">
        <v>0.522041763341067</v>
      </c>
      <c r="AB484" s="106">
        <f>2/431</f>
        <v>4.6403712296983757E-3</v>
      </c>
      <c r="AC484" s="106">
        <v>0</v>
      </c>
      <c r="AD484" s="106">
        <f>238/431</f>
        <v>0.55220417633410668</v>
      </c>
      <c r="AE484" s="106">
        <f>2/431</f>
        <v>4.6403712296983757E-3</v>
      </c>
      <c r="AF484" s="106">
        <v>0</v>
      </c>
      <c r="AG484" s="106">
        <f>176/431</f>
        <v>0.40835266821345706</v>
      </c>
      <c r="AH484" s="106">
        <f>13/431</f>
        <v>3.0162412993039442E-2</v>
      </c>
      <c r="AI484" s="106">
        <f>255/431</f>
        <v>0.59164733178654294</v>
      </c>
      <c r="AJ484" s="105">
        <v>0.75406032482598606</v>
      </c>
      <c r="AK484" s="105">
        <v>0</v>
      </c>
      <c r="AL484" s="12">
        <v>66</v>
      </c>
      <c r="AM484" s="12">
        <v>74</v>
      </c>
      <c r="AN484" s="12">
        <v>21</v>
      </c>
      <c r="AO484" s="12">
        <v>57</v>
      </c>
      <c r="AP484" s="12">
        <v>86</v>
      </c>
      <c r="AQ484" s="12">
        <v>65</v>
      </c>
      <c r="AR484" s="12">
        <v>62</v>
      </c>
      <c r="AS484" s="59">
        <v>0.26923076923076922</v>
      </c>
      <c r="AT484" s="3">
        <v>7</v>
      </c>
      <c r="AU484" s="3">
        <v>6</v>
      </c>
      <c r="AV484" s="52">
        <v>82.4</v>
      </c>
      <c r="AW484" s="52">
        <v>16.7</v>
      </c>
      <c r="AX484" s="52">
        <v>0.3</v>
      </c>
      <c r="AY484" s="71">
        <v>0.6</v>
      </c>
      <c r="AZ484" s="59">
        <v>0.28333333333333333</v>
      </c>
      <c r="BA484" s="59">
        <v>0.21041666666666667</v>
      </c>
      <c r="BB484" s="78">
        <v>92.044487161883794</v>
      </c>
      <c r="BC484" s="49">
        <v>15.5925155925156</v>
      </c>
      <c r="BD484" s="49">
        <v>1.7</v>
      </c>
      <c r="BE484" s="49">
        <v>0</v>
      </c>
      <c r="BF484" s="49">
        <v>1.8</v>
      </c>
      <c r="BG484" s="49">
        <v>8.3000000000000007</v>
      </c>
      <c r="BH484" s="49">
        <v>0</v>
      </c>
      <c r="BI484" s="49">
        <v>1.8</v>
      </c>
      <c r="BJ484" s="49">
        <v>17.5</v>
      </c>
      <c r="BK484" s="129">
        <v>12633</v>
      </c>
      <c r="BL484" s="129">
        <v>49749</v>
      </c>
      <c r="BM484" s="129">
        <v>38059</v>
      </c>
      <c r="BN484" s="129">
        <v>42668</v>
      </c>
      <c r="BO484" s="59">
        <v>1.95E-2</v>
      </c>
      <c r="BP484" s="59">
        <v>0.38869999999999999</v>
      </c>
      <c r="BQ484" s="59">
        <v>0.23619999999999999</v>
      </c>
      <c r="BR484" s="59">
        <v>0</v>
      </c>
      <c r="BS484" s="59">
        <v>0</v>
      </c>
      <c r="BT484" s="49">
        <v>9.6999999999999993</v>
      </c>
      <c r="BU484" s="59">
        <f t="shared" si="36"/>
        <v>0.64439999999999997</v>
      </c>
      <c r="BV484" s="59">
        <v>5.8799999999999998E-2</v>
      </c>
      <c r="BW484" s="59">
        <v>0</v>
      </c>
      <c r="BX484" s="59">
        <v>3.9199999999999999E-2</v>
      </c>
      <c r="BY484" s="59">
        <v>0</v>
      </c>
      <c r="BZ484" s="59">
        <v>0</v>
      </c>
      <c r="CA484" s="49">
        <v>15</v>
      </c>
      <c r="CB484" s="59">
        <f t="shared" si="37"/>
        <v>9.8000000000000004E-2</v>
      </c>
      <c r="CC484" s="59">
        <v>0.28189999999999998</v>
      </c>
      <c r="CD484" s="59">
        <v>0.40570000000000001</v>
      </c>
      <c r="CE484" s="59">
        <v>0.3125</v>
      </c>
      <c r="CF484" s="59">
        <v>0</v>
      </c>
      <c r="CG484" s="59">
        <v>0</v>
      </c>
      <c r="CH484" s="49">
        <v>12</v>
      </c>
      <c r="CI484" s="39" t="s">
        <v>277</v>
      </c>
      <c r="CJ484" s="18" t="s">
        <v>479</v>
      </c>
      <c r="CK484" s="20"/>
    </row>
    <row r="485" spans="1:89" x14ac:dyDescent="0.25">
      <c r="A485" s="18" t="s">
        <v>479</v>
      </c>
      <c r="B485" s="39" t="s">
        <v>278</v>
      </c>
      <c r="C485" s="39" t="s">
        <v>279</v>
      </c>
      <c r="D485" s="40">
        <v>2</v>
      </c>
      <c r="E485" s="40" t="s">
        <v>83</v>
      </c>
      <c r="F485" s="40">
        <v>2</v>
      </c>
      <c r="G485" s="162" t="s">
        <v>83</v>
      </c>
      <c r="H485" s="162" t="s">
        <v>83</v>
      </c>
      <c r="I485" s="162" t="s">
        <v>83</v>
      </c>
      <c r="J485" s="163">
        <v>0</v>
      </c>
      <c r="K485" s="163">
        <v>1</v>
      </c>
      <c r="L485" s="163">
        <v>1</v>
      </c>
      <c r="M485" s="163">
        <v>0</v>
      </c>
      <c r="N485" s="115">
        <v>1.9841269841269801E-3</v>
      </c>
      <c r="O485" s="115">
        <v>1.9841269841269801E-3</v>
      </c>
      <c r="P485" s="116" t="s">
        <v>83</v>
      </c>
      <c r="Q485" s="116" t="s">
        <v>83</v>
      </c>
      <c r="R485" s="116" t="s">
        <v>83</v>
      </c>
      <c r="S485" s="115">
        <v>0</v>
      </c>
      <c r="T485" s="115">
        <v>3.90625E-3</v>
      </c>
      <c r="U485" s="115">
        <v>3.9682539682539698E-3</v>
      </c>
      <c r="V485" s="115">
        <v>0</v>
      </c>
      <c r="W485" s="40">
        <v>996</v>
      </c>
      <c r="X485" s="40">
        <f t="shared" si="38"/>
        <v>996</v>
      </c>
      <c r="Y485" s="40">
        <f t="shared" si="39"/>
        <v>996</v>
      </c>
      <c r="Z485" s="105">
        <v>0.58534136546184701</v>
      </c>
      <c r="AA485" s="105">
        <v>0.41465863453815299</v>
      </c>
      <c r="AB485" s="106">
        <f>1/996</f>
        <v>1.004016064257028E-3</v>
      </c>
      <c r="AC485" s="106">
        <f>4/996</f>
        <v>4.0160642570281121E-3</v>
      </c>
      <c r="AD485" s="106">
        <f>958/996</f>
        <v>0.9618473895582329</v>
      </c>
      <c r="AE485" s="106">
        <f>29/996</f>
        <v>2.9116465863453816E-2</v>
      </c>
      <c r="AF485" s="106">
        <v>0</v>
      </c>
      <c r="AG485" s="106">
        <f>2/996</f>
        <v>2.008032128514056E-3</v>
      </c>
      <c r="AH485" s="106">
        <f>2/996</f>
        <v>2.008032128514056E-3</v>
      </c>
      <c r="AI485" s="106">
        <f>994/996</f>
        <v>0.99799196787148592</v>
      </c>
      <c r="AJ485" s="105">
        <v>0.8112449799196787</v>
      </c>
      <c r="AK485" s="105">
        <v>1.8072289156626498E-2</v>
      </c>
      <c r="AL485" s="12">
        <v>0</v>
      </c>
      <c r="AM485" s="12">
        <v>0</v>
      </c>
      <c r="AN485" s="12">
        <v>0</v>
      </c>
      <c r="AO485" s="12">
        <v>252</v>
      </c>
      <c r="AP485" s="12">
        <v>252</v>
      </c>
      <c r="AQ485" s="12">
        <v>250</v>
      </c>
      <c r="AR485" s="12">
        <v>242</v>
      </c>
      <c r="AS485" s="59">
        <v>0</v>
      </c>
      <c r="AT485" s="3">
        <v>9</v>
      </c>
      <c r="AU485" s="3">
        <v>3</v>
      </c>
      <c r="AV485" s="52">
        <v>50.3</v>
      </c>
      <c r="AW485" s="52">
        <v>29.8</v>
      </c>
      <c r="AX485" s="52">
        <v>18.399999999999999</v>
      </c>
      <c r="AY485" s="71">
        <v>1.5</v>
      </c>
      <c r="AZ485" s="59">
        <v>4.970178926441352E-3</v>
      </c>
      <c r="BA485" s="59">
        <v>4.7713717693836977E-2</v>
      </c>
      <c r="BB485" s="77">
        <v>95.293004120049901</v>
      </c>
      <c r="BC485" s="49">
        <v>15.789473684210501</v>
      </c>
      <c r="BD485" s="90" t="s">
        <v>83</v>
      </c>
      <c r="BE485" s="90" t="s">
        <v>83</v>
      </c>
      <c r="BF485" s="49">
        <v>0.4</v>
      </c>
      <c r="BG485" s="49">
        <v>0</v>
      </c>
      <c r="BH485" s="49">
        <v>0</v>
      </c>
      <c r="BI485" s="49">
        <v>0</v>
      </c>
      <c r="BJ485" s="49">
        <v>18.899999999999999</v>
      </c>
      <c r="BK485" s="129">
        <v>12447</v>
      </c>
      <c r="BL485" s="129">
        <v>50556</v>
      </c>
      <c r="BM485" s="129">
        <v>75322</v>
      </c>
      <c r="BN485" s="129">
        <v>48275</v>
      </c>
      <c r="BO485" s="59">
        <v>0</v>
      </c>
      <c r="BP485" s="59">
        <v>0.23710000000000001</v>
      </c>
      <c r="BQ485" s="59">
        <v>0.3276</v>
      </c>
      <c r="BR485" s="59">
        <v>0</v>
      </c>
      <c r="BS485" s="59">
        <v>0</v>
      </c>
      <c r="BT485" s="49">
        <v>16.3</v>
      </c>
      <c r="BU485" s="59">
        <f t="shared" si="36"/>
        <v>0.56469999999999998</v>
      </c>
      <c r="BV485" s="59">
        <v>0.01</v>
      </c>
      <c r="BW485" s="59">
        <v>0.02</v>
      </c>
      <c r="BX485" s="59">
        <v>3.0099999999999998E-2</v>
      </c>
      <c r="BY485" s="59">
        <v>0</v>
      </c>
      <c r="BZ485" s="59">
        <v>0</v>
      </c>
      <c r="CA485" s="49">
        <v>25.5</v>
      </c>
      <c r="CB485" s="59">
        <f t="shared" si="37"/>
        <v>6.0100000000000001E-2</v>
      </c>
      <c r="CC485" s="59">
        <v>0.18099999999999999</v>
      </c>
      <c r="CD485" s="59">
        <v>0.3574</v>
      </c>
      <c r="CE485" s="59">
        <v>0.46160000000000001</v>
      </c>
      <c r="CF485" s="59">
        <v>0</v>
      </c>
      <c r="CG485" s="59">
        <v>0</v>
      </c>
      <c r="CH485" s="49">
        <v>16.600000000000001</v>
      </c>
      <c r="CI485" s="39" t="s">
        <v>279</v>
      </c>
      <c r="CJ485" s="18" t="s">
        <v>479</v>
      </c>
      <c r="CK485" s="20"/>
    </row>
    <row r="486" spans="1:89" x14ac:dyDescent="0.25">
      <c r="A486" s="18" t="s">
        <v>479</v>
      </c>
      <c r="B486" s="39" t="s">
        <v>278</v>
      </c>
      <c r="C486" s="39" t="s">
        <v>280</v>
      </c>
      <c r="D486" s="40">
        <v>2</v>
      </c>
      <c r="E486" s="40" t="s">
        <v>83</v>
      </c>
      <c r="F486" s="40">
        <v>2</v>
      </c>
      <c r="G486" s="162" t="s">
        <v>83</v>
      </c>
      <c r="H486" s="162" t="s">
        <v>83</v>
      </c>
      <c r="I486" s="162" t="s">
        <v>83</v>
      </c>
      <c r="J486" s="163">
        <v>0</v>
      </c>
      <c r="K486" s="163">
        <v>1</v>
      </c>
      <c r="L486" s="163">
        <v>1</v>
      </c>
      <c r="M486" s="163">
        <v>0</v>
      </c>
      <c r="N486" s="115">
        <v>2.1953896816685001E-3</v>
      </c>
      <c r="O486" s="115">
        <v>2.1953896816685001E-3</v>
      </c>
      <c r="P486" s="116" t="s">
        <v>83</v>
      </c>
      <c r="Q486" s="116" t="s">
        <v>83</v>
      </c>
      <c r="R486" s="116" t="s">
        <v>83</v>
      </c>
      <c r="S486" s="115">
        <v>0</v>
      </c>
      <c r="T486" s="115">
        <v>4.739336492891E-3</v>
      </c>
      <c r="U486" s="115">
        <v>4.20168067226891E-3</v>
      </c>
      <c r="V486" s="115">
        <v>0</v>
      </c>
      <c r="W486" s="40">
        <v>901</v>
      </c>
      <c r="X486" s="40">
        <f t="shared" si="38"/>
        <v>901</v>
      </c>
      <c r="Y486" s="40">
        <f t="shared" si="39"/>
        <v>901</v>
      </c>
      <c r="Z486" s="105">
        <v>0.58157602663706998</v>
      </c>
      <c r="AA486" s="105">
        <v>0.41842397336293002</v>
      </c>
      <c r="AB486" s="106">
        <f>2/901</f>
        <v>2.2197558268590455E-3</v>
      </c>
      <c r="AC486" s="106">
        <f>144/901</f>
        <v>0.15982241953385129</v>
      </c>
      <c r="AD486" s="106">
        <f>296/901</f>
        <v>0.32852386237513875</v>
      </c>
      <c r="AE486" s="106">
        <f>61/901</f>
        <v>6.7702552719200892E-2</v>
      </c>
      <c r="AF486" s="106">
        <v>0</v>
      </c>
      <c r="AG486" s="106">
        <f>358/901</f>
        <v>0.39733629300776913</v>
      </c>
      <c r="AH486" s="106">
        <f>40/901</f>
        <v>4.4395116537180909E-2</v>
      </c>
      <c r="AI486" s="106">
        <f>543/901</f>
        <v>0.60266370699223082</v>
      </c>
      <c r="AJ486" s="105">
        <v>0.30521642619311878</v>
      </c>
      <c r="AK486" s="105">
        <v>2.2197558268590499E-3</v>
      </c>
      <c r="AL486" s="12">
        <v>0</v>
      </c>
      <c r="AM486" s="12">
        <v>0</v>
      </c>
      <c r="AN486" s="12">
        <v>0</v>
      </c>
      <c r="AO486" s="12">
        <v>250</v>
      </c>
      <c r="AP486" s="12">
        <v>206</v>
      </c>
      <c r="AQ486" s="12">
        <v>237</v>
      </c>
      <c r="AR486" s="12">
        <v>208</v>
      </c>
      <c r="AS486" s="59">
        <v>0</v>
      </c>
      <c r="AT486" s="3">
        <v>9</v>
      </c>
      <c r="AU486" s="3">
        <v>9</v>
      </c>
      <c r="AV486" s="52">
        <v>41.6</v>
      </c>
      <c r="AW486" s="52">
        <v>43.8</v>
      </c>
      <c r="AX486" s="52">
        <v>9.5</v>
      </c>
      <c r="AY486" s="71">
        <v>5.0999999999999996</v>
      </c>
      <c r="AZ486" s="59">
        <v>3.3003300330033004E-3</v>
      </c>
      <c r="BA486" s="59">
        <v>7.7007700770077006E-3</v>
      </c>
      <c r="BB486" s="78">
        <v>97.279504618560097</v>
      </c>
      <c r="BC486" s="49">
        <v>0.99009900990098998</v>
      </c>
      <c r="BD486" s="90" t="s">
        <v>83</v>
      </c>
      <c r="BE486" s="90" t="s">
        <v>83</v>
      </c>
      <c r="BF486" s="49">
        <v>1.6</v>
      </c>
      <c r="BG486" s="49">
        <v>1</v>
      </c>
      <c r="BH486" s="49">
        <v>0</v>
      </c>
      <c r="BI486" s="49">
        <v>0</v>
      </c>
      <c r="BJ486" s="49">
        <v>28.9</v>
      </c>
      <c r="BK486" s="129">
        <v>12960</v>
      </c>
      <c r="BL486" s="129">
        <v>57628</v>
      </c>
      <c r="BM486" s="129">
        <v>74517</v>
      </c>
      <c r="BN486" s="129">
        <v>58208</v>
      </c>
      <c r="BO486" s="59">
        <v>0</v>
      </c>
      <c r="BP486" s="59">
        <v>9.4100000000000003E-2</v>
      </c>
      <c r="BQ486" s="59">
        <v>0.4289</v>
      </c>
      <c r="BR486" s="59">
        <v>0</v>
      </c>
      <c r="BS486" s="59">
        <v>9.0999999999999998E-2</v>
      </c>
      <c r="BT486" s="49">
        <v>16.3</v>
      </c>
      <c r="BU486" s="59">
        <f t="shared" si="36"/>
        <v>0.61399999999999999</v>
      </c>
      <c r="BV486" s="59">
        <v>1.23E-2</v>
      </c>
      <c r="BW486" s="59">
        <v>3.09E-2</v>
      </c>
      <c r="BX486" s="59">
        <v>6.4500000000000002E-2</v>
      </c>
      <c r="BY486" s="59">
        <v>0</v>
      </c>
      <c r="BZ486" s="59">
        <v>7.7000000000000002E-3</v>
      </c>
      <c r="CA486" s="49">
        <v>12.4</v>
      </c>
      <c r="CB486" s="59">
        <f t="shared" si="37"/>
        <v>0.1154</v>
      </c>
      <c r="CC486" s="59">
        <v>0.1091</v>
      </c>
      <c r="CD486" s="59">
        <v>0.2044</v>
      </c>
      <c r="CE486" s="59">
        <v>0.58779999999999999</v>
      </c>
      <c r="CF486" s="59">
        <v>0</v>
      </c>
      <c r="CG486" s="59">
        <v>9.8699999999999996E-2</v>
      </c>
      <c r="CH486" s="49">
        <v>13.4</v>
      </c>
      <c r="CI486" s="39" t="s">
        <v>280</v>
      </c>
      <c r="CJ486" s="18" t="s">
        <v>479</v>
      </c>
      <c r="CK486" s="20"/>
    </row>
    <row r="487" spans="1:89" x14ac:dyDescent="0.25">
      <c r="A487" s="18" t="s">
        <v>479</v>
      </c>
      <c r="B487" s="39" t="s">
        <v>278</v>
      </c>
      <c r="C487" s="39" t="s">
        <v>281</v>
      </c>
      <c r="D487" s="40">
        <v>8</v>
      </c>
      <c r="E487" s="40" t="s">
        <v>83</v>
      </c>
      <c r="F487" s="40">
        <v>8</v>
      </c>
      <c r="G487" s="162" t="s">
        <v>83</v>
      </c>
      <c r="H487" s="162" t="s">
        <v>83</v>
      </c>
      <c r="I487" s="162" t="s">
        <v>83</v>
      </c>
      <c r="J487" s="163">
        <v>3</v>
      </c>
      <c r="K487" s="163">
        <v>3</v>
      </c>
      <c r="L487" s="163">
        <v>1</v>
      </c>
      <c r="M487" s="163">
        <v>1</v>
      </c>
      <c r="N487" s="115">
        <v>7.03605980650836E-3</v>
      </c>
      <c r="O487" s="115">
        <v>7.03605980650836E-3</v>
      </c>
      <c r="P487" s="116" t="s">
        <v>83</v>
      </c>
      <c r="Q487" s="116" t="s">
        <v>83</v>
      </c>
      <c r="R487" s="116" t="s">
        <v>83</v>
      </c>
      <c r="S487" s="115">
        <v>1.00671140939597E-2</v>
      </c>
      <c r="T487" s="115">
        <v>9.93377483443709E-3</v>
      </c>
      <c r="U487" s="115">
        <v>3.6496350364963498E-3</v>
      </c>
      <c r="V487" s="115">
        <v>3.8022813688212902E-3</v>
      </c>
      <c r="W487" s="40">
        <v>1113</v>
      </c>
      <c r="X487" s="40">
        <f t="shared" si="38"/>
        <v>1113</v>
      </c>
      <c r="Y487" s="40">
        <f t="shared" si="39"/>
        <v>1113</v>
      </c>
      <c r="Z487" s="105">
        <v>0.48517520215633397</v>
      </c>
      <c r="AA487" s="105">
        <v>0.51482479784366597</v>
      </c>
      <c r="AB487" s="106">
        <f>5/1113</f>
        <v>4.4923629829290209E-3</v>
      </c>
      <c r="AC487" s="106">
        <f>20/1113</f>
        <v>1.7969451931716084E-2</v>
      </c>
      <c r="AD487" s="106">
        <f>1054/1113</f>
        <v>0.94699011680143752</v>
      </c>
      <c r="AE487" s="106">
        <f>14/1113</f>
        <v>1.2578616352201259E-2</v>
      </c>
      <c r="AF487" s="106">
        <v>0</v>
      </c>
      <c r="AG487" s="106">
        <f>12/1113</f>
        <v>1.078167115902965E-2</v>
      </c>
      <c r="AH487" s="106">
        <f>8/1113</f>
        <v>7.1877807726864335E-3</v>
      </c>
      <c r="AI487" s="106">
        <f>1101/1113</f>
        <v>0.98921832884097038</v>
      </c>
      <c r="AJ487" s="105">
        <v>0.83468104222821204</v>
      </c>
      <c r="AK487" s="105">
        <v>9.8831985624438495E-3</v>
      </c>
      <c r="AL487" s="12">
        <v>0</v>
      </c>
      <c r="AM487" s="12">
        <v>0</v>
      </c>
      <c r="AN487" s="12">
        <v>0</v>
      </c>
      <c r="AO487" s="12">
        <v>292</v>
      </c>
      <c r="AP487" s="12">
        <v>292</v>
      </c>
      <c r="AQ487" s="12">
        <v>271</v>
      </c>
      <c r="AR487" s="12">
        <v>258</v>
      </c>
      <c r="AS487" s="59">
        <v>0</v>
      </c>
      <c r="AT487" s="3">
        <v>9</v>
      </c>
      <c r="AU487" s="3">
        <v>3</v>
      </c>
      <c r="AV487" s="52">
        <v>38.9</v>
      </c>
      <c r="AW487" s="52">
        <v>17.5</v>
      </c>
      <c r="AX487" s="52">
        <v>39.9</v>
      </c>
      <c r="AY487" s="71">
        <v>3.7</v>
      </c>
      <c r="AZ487" s="59">
        <v>0</v>
      </c>
      <c r="BA487" s="59">
        <v>0.13982300884955753</v>
      </c>
      <c r="BB487" s="77">
        <v>94.401813194866094</v>
      </c>
      <c r="BC487" s="49">
        <v>15.202108963093099</v>
      </c>
      <c r="BD487" s="90" t="s">
        <v>83</v>
      </c>
      <c r="BE487" s="90" t="s">
        <v>83</v>
      </c>
      <c r="BF487" s="49">
        <v>5.4</v>
      </c>
      <c r="BG487" s="49">
        <v>1.1000000000000001</v>
      </c>
      <c r="BH487" s="49">
        <v>0.8</v>
      </c>
      <c r="BI487" s="49">
        <v>1.9</v>
      </c>
      <c r="BJ487" s="49">
        <v>18.600000000000001</v>
      </c>
      <c r="BK487" s="129">
        <v>12303</v>
      </c>
      <c r="BL487" s="129">
        <v>46384</v>
      </c>
      <c r="BM487" s="129">
        <v>53830</v>
      </c>
      <c r="BN487" s="129">
        <v>45298</v>
      </c>
      <c r="BO487" s="59">
        <v>1.49E-2</v>
      </c>
      <c r="BP487" s="59">
        <v>0.35470000000000002</v>
      </c>
      <c r="BQ487" s="59">
        <v>0.18060000000000001</v>
      </c>
      <c r="BR487" s="59">
        <v>0</v>
      </c>
      <c r="BS487" s="59">
        <v>0</v>
      </c>
      <c r="BT487" s="49">
        <v>8.1999999999999993</v>
      </c>
      <c r="BU487" s="59">
        <f t="shared" si="36"/>
        <v>0.55020000000000002</v>
      </c>
      <c r="BV487" s="59">
        <v>2.2499999999999999E-2</v>
      </c>
      <c r="BW487" s="59">
        <v>8.0399999999999999E-2</v>
      </c>
      <c r="BX487" s="59">
        <v>3.5700000000000003E-2</v>
      </c>
      <c r="BY487" s="59">
        <v>0</v>
      </c>
      <c r="BZ487" s="59">
        <v>0</v>
      </c>
      <c r="CA487" s="49">
        <v>17</v>
      </c>
      <c r="CB487" s="59">
        <f t="shared" si="37"/>
        <v>0.1386</v>
      </c>
      <c r="CC487" s="59">
        <v>0.1118</v>
      </c>
      <c r="CD487" s="59">
        <v>0.59150000000000003</v>
      </c>
      <c r="CE487" s="59">
        <v>0.27879999999999999</v>
      </c>
      <c r="CF487" s="59">
        <v>0</v>
      </c>
      <c r="CG487" s="59">
        <v>1.7899999999999999E-2</v>
      </c>
      <c r="CH487" s="49">
        <v>9.9</v>
      </c>
      <c r="CI487" s="39" t="s">
        <v>281</v>
      </c>
      <c r="CJ487" s="18" t="s">
        <v>479</v>
      </c>
      <c r="CK487" s="20"/>
    </row>
    <row r="488" spans="1:89" x14ac:dyDescent="0.25">
      <c r="A488" s="18" t="s">
        <v>479</v>
      </c>
      <c r="B488" s="39" t="s">
        <v>278</v>
      </c>
      <c r="C488" s="39" t="s">
        <v>282</v>
      </c>
      <c r="D488" s="40">
        <v>0</v>
      </c>
      <c r="E488" s="40">
        <v>0</v>
      </c>
      <c r="F488" s="40">
        <v>0</v>
      </c>
      <c r="G488" s="163">
        <v>0</v>
      </c>
      <c r="H488" s="163">
        <v>0</v>
      </c>
      <c r="I488" s="162" t="s">
        <v>83</v>
      </c>
      <c r="J488" s="163">
        <v>0</v>
      </c>
      <c r="K488" s="163">
        <v>0</v>
      </c>
      <c r="L488" s="163">
        <v>0</v>
      </c>
      <c r="M488" s="163">
        <v>0</v>
      </c>
      <c r="N488" s="115">
        <v>0</v>
      </c>
      <c r="O488" s="115">
        <v>0</v>
      </c>
      <c r="P488" s="115">
        <v>0</v>
      </c>
      <c r="Q488" s="115">
        <v>0</v>
      </c>
      <c r="R488" s="116" t="s">
        <v>83</v>
      </c>
      <c r="S488" s="115">
        <v>0</v>
      </c>
      <c r="T488" s="115">
        <v>0</v>
      </c>
      <c r="U488" s="115">
        <v>0</v>
      </c>
      <c r="V488" s="115">
        <v>0</v>
      </c>
      <c r="W488" s="40">
        <v>1712</v>
      </c>
      <c r="X488" s="40">
        <f t="shared" si="38"/>
        <v>539</v>
      </c>
      <c r="Y488" s="40">
        <f t="shared" si="39"/>
        <v>871</v>
      </c>
      <c r="Z488" s="105">
        <v>0.516939252336449</v>
      </c>
      <c r="AA488" s="105">
        <v>0.483060747663551</v>
      </c>
      <c r="AB488" s="106">
        <f>2/1712</f>
        <v>1.1682242990654205E-3</v>
      </c>
      <c r="AC488" s="106">
        <f>62/1712</f>
        <v>3.6214953271028034E-2</v>
      </c>
      <c r="AD488" s="106">
        <f>473/1712</f>
        <v>0.27628504672897197</v>
      </c>
      <c r="AE488" s="106">
        <f>131/1712</f>
        <v>7.6518691588785048E-2</v>
      </c>
      <c r="AF488" s="106">
        <f>2/1712</f>
        <v>1.1682242990654205E-3</v>
      </c>
      <c r="AG488" s="106">
        <f>935/1712</f>
        <v>0.54614485981308414</v>
      </c>
      <c r="AH488" s="106">
        <f>107/1712</f>
        <v>6.25E-2</v>
      </c>
      <c r="AI488" s="106">
        <f>777/1712</f>
        <v>0.45385514018691586</v>
      </c>
      <c r="AJ488" s="105">
        <v>0.20151869158878505</v>
      </c>
      <c r="AK488" s="105">
        <v>8.76168224299065E-3</v>
      </c>
      <c r="AL488" s="12">
        <v>156</v>
      </c>
      <c r="AM488" s="12">
        <v>176</v>
      </c>
      <c r="AN488" s="12">
        <v>0</v>
      </c>
      <c r="AO488" s="12">
        <v>154</v>
      </c>
      <c r="AP488" s="12">
        <v>134</v>
      </c>
      <c r="AQ488" s="12">
        <v>121</v>
      </c>
      <c r="AR488" s="12">
        <v>130</v>
      </c>
      <c r="AS488" s="59">
        <v>0</v>
      </c>
      <c r="AT488" s="3">
        <v>1</v>
      </c>
      <c r="AU488" s="3">
        <v>3</v>
      </c>
      <c r="AV488" s="52">
        <v>65.2</v>
      </c>
      <c r="AW488" s="52">
        <v>28.8</v>
      </c>
      <c r="AX488" s="52">
        <v>5.8</v>
      </c>
      <c r="AY488" s="71">
        <v>0.1</v>
      </c>
      <c r="AZ488" s="59">
        <v>1.749271137026239E-3</v>
      </c>
      <c r="BA488" s="59">
        <v>5.5976676384839649E-2</v>
      </c>
      <c r="BB488" s="78">
        <v>97.223146959200605</v>
      </c>
      <c r="BC488" s="49">
        <v>10.437317784256599</v>
      </c>
      <c r="BD488" s="49">
        <v>0</v>
      </c>
      <c r="BE488" s="49">
        <v>0.6</v>
      </c>
      <c r="BF488" s="49">
        <v>0</v>
      </c>
      <c r="BG488" s="49">
        <v>0</v>
      </c>
      <c r="BH488" s="49">
        <v>0</v>
      </c>
      <c r="BI488" s="49">
        <v>0</v>
      </c>
      <c r="BJ488" s="49">
        <v>27.1</v>
      </c>
      <c r="BK488" s="129">
        <v>13450</v>
      </c>
      <c r="BL488" s="129">
        <v>50002</v>
      </c>
      <c r="BM488" s="129">
        <v>68143</v>
      </c>
      <c r="BN488" s="129">
        <v>47661</v>
      </c>
      <c r="BO488" s="59">
        <v>0</v>
      </c>
      <c r="BP488" s="59">
        <v>0.27979999999999999</v>
      </c>
      <c r="BQ488" s="59">
        <v>0.26700000000000002</v>
      </c>
      <c r="BR488" s="59">
        <v>5.1000000000000004E-3</v>
      </c>
      <c r="BS488" s="59">
        <v>2.5600000000000001E-2</v>
      </c>
      <c r="BT488" s="49">
        <v>12.4</v>
      </c>
      <c r="BU488" s="59">
        <f t="shared" si="36"/>
        <v>0.5774999999999999</v>
      </c>
      <c r="BV488" s="59">
        <v>0</v>
      </c>
      <c r="BW488" s="59">
        <v>2.1700000000000001E-2</v>
      </c>
      <c r="BX488" s="59">
        <v>5.1200000000000002E-2</v>
      </c>
      <c r="BY488" s="59">
        <v>0</v>
      </c>
      <c r="BZ488" s="59">
        <v>0</v>
      </c>
      <c r="CA488" s="49">
        <v>20.7</v>
      </c>
      <c r="CB488" s="59">
        <f t="shared" si="37"/>
        <v>7.2900000000000006E-2</v>
      </c>
      <c r="CC488" s="59">
        <v>0.13350000000000001</v>
      </c>
      <c r="CD488" s="59">
        <v>0.39829999999999999</v>
      </c>
      <c r="CE488" s="59">
        <v>0.4375</v>
      </c>
      <c r="CF488" s="59">
        <v>5.1000000000000004E-3</v>
      </c>
      <c r="CG488" s="59">
        <v>2.5600000000000001E-2</v>
      </c>
      <c r="CH488" s="49">
        <v>12.9</v>
      </c>
      <c r="CI488" s="39" t="s">
        <v>282</v>
      </c>
      <c r="CJ488" s="18" t="s">
        <v>479</v>
      </c>
      <c r="CK488" s="20"/>
    </row>
    <row r="489" spans="1:89" x14ac:dyDescent="0.25">
      <c r="A489" s="18" t="s">
        <v>479</v>
      </c>
      <c r="B489" s="39" t="s">
        <v>278</v>
      </c>
      <c r="C489" s="39" t="s">
        <v>283</v>
      </c>
      <c r="D489" s="40">
        <v>65</v>
      </c>
      <c r="E489" s="40" t="s">
        <v>83</v>
      </c>
      <c r="F489" s="40">
        <v>65</v>
      </c>
      <c r="G489" s="162" t="s">
        <v>83</v>
      </c>
      <c r="H489" s="162" t="s">
        <v>83</v>
      </c>
      <c r="I489" s="162" t="s">
        <v>83</v>
      </c>
      <c r="J489" s="163">
        <v>19</v>
      </c>
      <c r="K489" s="163">
        <v>18</v>
      </c>
      <c r="L489" s="163">
        <v>11</v>
      </c>
      <c r="M489" s="163">
        <v>17</v>
      </c>
      <c r="N489" s="115">
        <v>5.9633027522935797E-2</v>
      </c>
      <c r="O489" s="115">
        <v>5.9633027522935797E-2</v>
      </c>
      <c r="P489" s="116" t="s">
        <v>83</v>
      </c>
      <c r="Q489" s="116" t="s">
        <v>83</v>
      </c>
      <c r="R489" s="116" t="s">
        <v>83</v>
      </c>
      <c r="S489" s="115">
        <v>5.4131054131054103E-2</v>
      </c>
      <c r="T489" s="115">
        <v>5.7507987220447303E-2</v>
      </c>
      <c r="U489" s="115">
        <v>5.0458715596330299E-2</v>
      </c>
      <c r="V489" s="115">
        <v>8.1730769230769204E-2</v>
      </c>
      <c r="W489" s="40">
        <v>1028</v>
      </c>
      <c r="X489" s="40">
        <f t="shared" si="38"/>
        <v>1028</v>
      </c>
      <c r="Y489" s="40">
        <f t="shared" si="39"/>
        <v>1028</v>
      </c>
      <c r="Z489" s="105">
        <v>0.464007782101167</v>
      </c>
      <c r="AA489" s="105">
        <v>0.535992217898833</v>
      </c>
      <c r="AB489" s="106">
        <v>0</v>
      </c>
      <c r="AC489" s="106">
        <v>0</v>
      </c>
      <c r="AD489" s="106">
        <f>1007/1028</f>
        <v>0.97957198443579763</v>
      </c>
      <c r="AE489" s="106">
        <f>17/1028</f>
        <v>1.6536964980544747E-2</v>
      </c>
      <c r="AF489" s="106">
        <v>0</v>
      </c>
      <c r="AG489" s="106">
        <f>3/1028</f>
        <v>2.9182879377431907E-3</v>
      </c>
      <c r="AH489" s="106">
        <f>1/1028</f>
        <v>9.727626459143969E-4</v>
      </c>
      <c r="AI489" s="106">
        <f>1025/1028</f>
        <v>0.99708171206225682</v>
      </c>
      <c r="AJ489" s="105">
        <v>0.93190661478599224</v>
      </c>
      <c r="AK489" s="105">
        <v>1.6536964980544699E-2</v>
      </c>
      <c r="AL489" s="12">
        <v>0</v>
      </c>
      <c r="AM489" s="12">
        <v>0</v>
      </c>
      <c r="AN489" s="12">
        <v>0</v>
      </c>
      <c r="AO489" s="12">
        <v>329</v>
      </c>
      <c r="AP489" s="12">
        <v>300</v>
      </c>
      <c r="AQ489" s="12">
        <v>196</v>
      </c>
      <c r="AR489" s="12">
        <v>203</v>
      </c>
      <c r="AS489" s="59">
        <v>0</v>
      </c>
      <c r="AT489" s="3">
        <v>9</v>
      </c>
      <c r="AU489" s="3">
        <v>3</v>
      </c>
      <c r="AV489" s="52">
        <v>37.799999999999997</v>
      </c>
      <c r="AW489" s="52">
        <v>14.6</v>
      </c>
      <c r="AX489" s="52">
        <v>16.899999999999999</v>
      </c>
      <c r="AY489" s="71">
        <v>30.7</v>
      </c>
      <c r="AZ489" s="59">
        <v>1.8993352326685661E-3</v>
      </c>
      <c r="BA489" s="59">
        <v>0.18233618233618235</v>
      </c>
      <c r="BB489" s="77">
        <v>86.735621946094497</v>
      </c>
      <c r="BC489" s="49"/>
      <c r="BD489" s="90" t="s">
        <v>83</v>
      </c>
      <c r="BE489" s="90" t="s">
        <v>83</v>
      </c>
      <c r="BF489" s="49">
        <v>2.7</v>
      </c>
      <c r="BG489" s="49">
        <v>1.4</v>
      </c>
      <c r="BH489" s="49">
        <v>6.1</v>
      </c>
      <c r="BI489" s="49">
        <v>9.1</v>
      </c>
      <c r="BJ489" s="49">
        <v>16</v>
      </c>
      <c r="BK489" s="129">
        <v>11779</v>
      </c>
      <c r="BL489" s="129">
        <v>50562</v>
      </c>
      <c r="BM489" s="129">
        <v>49768</v>
      </c>
      <c r="BN489" s="129">
        <v>44273</v>
      </c>
      <c r="BO489" s="59">
        <v>1.06E-2</v>
      </c>
      <c r="BP489" s="59">
        <v>0.2974</v>
      </c>
      <c r="BQ489" s="59">
        <v>0.24959999999999999</v>
      </c>
      <c r="BR489" s="59">
        <v>0</v>
      </c>
      <c r="BS489" s="59">
        <v>1.0200000000000001E-2</v>
      </c>
      <c r="BT489" s="49">
        <v>16.399999999999999</v>
      </c>
      <c r="BU489" s="59">
        <f t="shared" si="36"/>
        <v>0.56779999999999997</v>
      </c>
      <c r="BV489" s="59">
        <v>2.4799999999999999E-2</v>
      </c>
      <c r="BW489" s="59">
        <v>3.3999999999999998E-3</v>
      </c>
      <c r="BX489" s="59">
        <v>2.3099999999999999E-2</v>
      </c>
      <c r="BY489" s="59">
        <v>0</v>
      </c>
      <c r="BZ489" s="59">
        <v>0</v>
      </c>
      <c r="CA489" s="49">
        <v>19</v>
      </c>
      <c r="CB489" s="59">
        <f t="shared" si="37"/>
        <v>5.1299999999999998E-2</v>
      </c>
      <c r="CC489" s="59">
        <v>0.24329999999999999</v>
      </c>
      <c r="CD489" s="59">
        <v>0.36099999999999999</v>
      </c>
      <c r="CE489" s="59">
        <v>0.3644</v>
      </c>
      <c r="CF489" s="59">
        <v>1.06E-2</v>
      </c>
      <c r="CG489" s="59">
        <v>2.0799999999999999E-2</v>
      </c>
      <c r="CH489" s="49">
        <v>14.4</v>
      </c>
      <c r="CI489" s="39" t="s">
        <v>283</v>
      </c>
      <c r="CJ489" s="18" t="s">
        <v>479</v>
      </c>
      <c r="CK489" s="20"/>
    </row>
    <row r="490" spans="1:89" x14ac:dyDescent="0.25">
      <c r="A490" s="18" t="s">
        <v>479</v>
      </c>
      <c r="B490" s="39" t="s">
        <v>278</v>
      </c>
      <c r="C490" s="39" t="s">
        <v>284</v>
      </c>
      <c r="D490" s="40">
        <v>15</v>
      </c>
      <c r="E490" s="40">
        <v>1</v>
      </c>
      <c r="F490" s="40">
        <v>14</v>
      </c>
      <c r="G490" s="163">
        <v>0</v>
      </c>
      <c r="H490" s="163">
        <v>1</v>
      </c>
      <c r="I490" s="162" t="s">
        <v>83</v>
      </c>
      <c r="J490" s="163">
        <v>3</v>
      </c>
      <c r="K490" s="163">
        <v>5</v>
      </c>
      <c r="L490" s="163">
        <v>4</v>
      </c>
      <c r="M490" s="163">
        <v>2</v>
      </c>
      <c r="N490" s="115">
        <v>1.78359096313912E-2</v>
      </c>
      <c r="O490" s="115">
        <v>2.0057306590257899E-2</v>
      </c>
      <c r="P490" s="115">
        <v>0</v>
      </c>
      <c r="Q490" s="115">
        <v>1.20481927710843E-2</v>
      </c>
      <c r="R490" s="116" t="s">
        <v>83</v>
      </c>
      <c r="S490" s="115">
        <v>1.5228426395939101E-2</v>
      </c>
      <c r="T490" s="115">
        <v>3.2894736842105303E-2</v>
      </c>
      <c r="U490" s="115">
        <v>2.1505376344085999E-2</v>
      </c>
      <c r="V490" s="115">
        <v>1.22699386503067E-2</v>
      </c>
      <c r="W490" s="40">
        <v>794</v>
      </c>
      <c r="X490" s="40">
        <f t="shared" si="38"/>
        <v>658</v>
      </c>
      <c r="Y490" s="40">
        <f t="shared" si="39"/>
        <v>794</v>
      </c>
      <c r="Z490" s="105">
        <v>0.56549118387909303</v>
      </c>
      <c r="AA490" s="105">
        <v>0.43450881612090703</v>
      </c>
      <c r="AB490" s="106">
        <v>0</v>
      </c>
      <c r="AC490" s="106">
        <f>34/794</f>
        <v>4.2821158690176324E-2</v>
      </c>
      <c r="AD490" s="106">
        <f>732/794</f>
        <v>0.92191435768261965</v>
      </c>
      <c r="AE490" s="106">
        <f>22/794</f>
        <v>2.7707808564231738E-2</v>
      </c>
      <c r="AF490" s="106">
        <v>0</v>
      </c>
      <c r="AG490" s="106">
        <f>6/794</f>
        <v>7.556675062972292E-3</v>
      </c>
      <c r="AH490" s="106">
        <v>0</v>
      </c>
      <c r="AI490" s="106">
        <f>788/794</f>
        <v>0.99244332493702769</v>
      </c>
      <c r="AJ490" s="105">
        <v>0.89546599496221657</v>
      </c>
      <c r="AK490" s="105">
        <v>2.77078085642317E-2</v>
      </c>
      <c r="AL490" s="12">
        <v>55</v>
      </c>
      <c r="AM490" s="12">
        <v>81</v>
      </c>
      <c r="AN490" s="12">
        <v>0</v>
      </c>
      <c r="AO490" s="12">
        <v>189</v>
      </c>
      <c r="AP490" s="12">
        <v>138</v>
      </c>
      <c r="AQ490" s="12">
        <v>175</v>
      </c>
      <c r="AR490" s="12">
        <v>156</v>
      </c>
      <c r="AS490" s="59">
        <v>0</v>
      </c>
      <c r="AT490" s="3">
        <v>7</v>
      </c>
      <c r="AU490" s="3">
        <v>3</v>
      </c>
      <c r="AV490" s="52">
        <v>63.9</v>
      </c>
      <c r="AW490" s="52">
        <v>15.1</v>
      </c>
      <c r="AX490" s="52">
        <v>16.600000000000001</v>
      </c>
      <c r="AY490" s="71">
        <v>4.5</v>
      </c>
      <c r="AZ490" s="59">
        <v>0.19189511323003575</v>
      </c>
      <c r="BA490" s="59">
        <v>0.28724672228843862</v>
      </c>
      <c r="BB490" s="78">
        <v>93.019698412579402</v>
      </c>
      <c r="BC490" s="49">
        <v>21.615472127417501</v>
      </c>
      <c r="BD490" s="49">
        <v>6.3</v>
      </c>
      <c r="BE490" s="49">
        <v>2.7</v>
      </c>
      <c r="BF490" s="49">
        <v>9.9</v>
      </c>
      <c r="BG490" s="49">
        <v>4.7</v>
      </c>
      <c r="BH490" s="49">
        <v>0.6</v>
      </c>
      <c r="BI490" s="49">
        <v>3.7</v>
      </c>
      <c r="BJ490" s="49">
        <v>17.8</v>
      </c>
      <c r="BK490" s="129">
        <v>12824</v>
      </c>
      <c r="BL490" s="129">
        <v>50591</v>
      </c>
      <c r="BM490" s="129">
        <v>48938</v>
      </c>
      <c r="BN490" s="129">
        <v>44708</v>
      </c>
      <c r="BO490" s="59">
        <v>1.15E-2</v>
      </c>
      <c r="BP490" s="59">
        <v>0.26229999999999998</v>
      </c>
      <c r="BQ490" s="59">
        <v>0.28670000000000001</v>
      </c>
      <c r="BR490" s="59">
        <v>0</v>
      </c>
      <c r="BS490" s="59">
        <v>1.15E-2</v>
      </c>
      <c r="BT490" s="49">
        <v>15.2</v>
      </c>
      <c r="BU490" s="59">
        <f t="shared" si="36"/>
        <v>0.57199999999999995</v>
      </c>
      <c r="BV490" s="59">
        <v>3.4200000000000001E-2</v>
      </c>
      <c r="BW490" s="59">
        <v>1.7299999999999999E-2</v>
      </c>
      <c r="BX490" s="59">
        <v>1.9300000000000001E-2</v>
      </c>
      <c r="BY490" s="59">
        <v>0</v>
      </c>
      <c r="BZ490" s="59">
        <v>0</v>
      </c>
      <c r="CA490" s="49">
        <v>15.4</v>
      </c>
      <c r="CB490" s="59">
        <f t="shared" si="37"/>
        <v>7.0800000000000002E-2</v>
      </c>
      <c r="CC490" s="59">
        <v>0.2001</v>
      </c>
      <c r="CD490" s="59">
        <v>0.36759999999999998</v>
      </c>
      <c r="CE490" s="59">
        <v>0.40939999999999999</v>
      </c>
      <c r="CF490" s="59">
        <v>1.14E-2</v>
      </c>
      <c r="CG490" s="59">
        <v>1.15E-2</v>
      </c>
      <c r="CH490" s="49">
        <v>14.1</v>
      </c>
      <c r="CI490" s="39" t="s">
        <v>284</v>
      </c>
      <c r="CJ490" s="18" t="s">
        <v>479</v>
      </c>
      <c r="CK490" s="20"/>
    </row>
    <row r="491" spans="1:89" x14ac:dyDescent="0.25">
      <c r="A491" s="18" t="s">
        <v>479</v>
      </c>
      <c r="B491" s="39" t="s">
        <v>278</v>
      </c>
      <c r="C491" s="39" t="s">
        <v>285</v>
      </c>
      <c r="D491" s="40">
        <v>5</v>
      </c>
      <c r="E491" s="40" t="s">
        <v>83</v>
      </c>
      <c r="F491" s="40">
        <v>5</v>
      </c>
      <c r="G491" s="162" t="s">
        <v>83</v>
      </c>
      <c r="H491" s="162" t="s">
        <v>83</v>
      </c>
      <c r="I491" s="162" t="s">
        <v>83</v>
      </c>
      <c r="J491" s="163">
        <v>2</v>
      </c>
      <c r="K491" s="163">
        <v>2</v>
      </c>
      <c r="L491" s="163">
        <v>0</v>
      </c>
      <c r="M491" s="163">
        <v>1</v>
      </c>
      <c r="N491" s="115">
        <v>1.1135857461024501E-2</v>
      </c>
      <c r="O491" s="115">
        <v>1.1135857461024501E-2</v>
      </c>
      <c r="P491" s="116" t="s">
        <v>83</v>
      </c>
      <c r="Q491" s="116" t="s">
        <v>83</v>
      </c>
      <c r="R491" s="116" t="s">
        <v>83</v>
      </c>
      <c r="S491" s="115">
        <v>1.5748031496062999E-2</v>
      </c>
      <c r="T491" s="115">
        <v>1.7857142857142901E-2</v>
      </c>
      <c r="U491" s="115">
        <v>0</v>
      </c>
      <c r="V491" s="115">
        <v>1.02040816326531E-2</v>
      </c>
      <c r="W491" s="40">
        <v>430</v>
      </c>
      <c r="X491" s="40">
        <f t="shared" si="38"/>
        <v>430</v>
      </c>
      <c r="Y491" s="40">
        <f t="shared" si="39"/>
        <v>430</v>
      </c>
      <c r="Z491" s="105">
        <v>0.55116279069767404</v>
      </c>
      <c r="AA491" s="105">
        <v>0.44883720930232601</v>
      </c>
      <c r="AB491" s="106">
        <f>1/430</f>
        <v>2.3255813953488372E-3</v>
      </c>
      <c r="AC491" s="106">
        <f>7/430</f>
        <v>1.627906976744186E-2</v>
      </c>
      <c r="AD491" s="106">
        <f>356/430</f>
        <v>0.82790697674418601</v>
      </c>
      <c r="AE491" s="106">
        <f>23/430</f>
        <v>5.3488372093023255E-2</v>
      </c>
      <c r="AF491" s="106">
        <v>0</v>
      </c>
      <c r="AG491" s="106">
        <f>31/430</f>
        <v>7.2093023255813959E-2</v>
      </c>
      <c r="AH491" s="106">
        <f>12/430</f>
        <v>2.7906976744186046E-2</v>
      </c>
      <c r="AI491" s="106">
        <f>399/430</f>
        <v>0.9279069767441861</v>
      </c>
      <c r="AJ491" s="105">
        <v>0.7441860465116279</v>
      </c>
      <c r="AK491" s="105">
        <v>1.16279069767442E-2</v>
      </c>
      <c r="AL491" s="12">
        <v>0</v>
      </c>
      <c r="AM491" s="12">
        <v>0</v>
      </c>
      <c r="AN491" s="12">
        <v>0</v>
      </c>
      <c r="AO491" s="12">
        <v>122</v>
      </c>
      <c r="AP491" s="12">
        <v>105</v>
      </c>
      <c r="AQ491" s="12">
        <v>108</v>
      </c>
      <c r="AR491" s="12">
        <v>95</v>
      </c>
      <c r="AS491" s="59">
        <v>0</v>
      </c>
      <c r="AT491" s="3">
        <v>9</v>
      </c>
      <c r="AU491" s="3">
        <v>3</v>
      </c>
      <c r="AV491" s="52">
        <v>52.2</v>
      </c>
      <c r="AW491" s="52">
        <v>35.1</v>
      </c>
      <c r="AX491" s="52">
        <v>12.2</v>
      </c>
      <c r="AY491" s="71">
        <v>0.4</v>
      </c>
      <c r="AZ491" s="59">
        <v>0.31151241534988711</v>
      </c>
      <c r="BA491" s="59">
        <v>0.16252821670428894</v>
      </c>
      <c r="BB491" s="78">
        <v>94.424194660624593</v>
      </c>
      <c r="BC491" s="49">
        <v>5.2401746724890801</v>
      </c>
      <c r="BD491" s="90" t="s">
        <v>83</v>
      </c>
      <c r="BE491" s="90" t="s">
        <v>83</v>
      </c>
      <c r="BF491" s="49">
        <v>7.8</v>
      </c>
      <c r="BG491" s="49">
        <v>5.2</v>
      </c>
      <c r="BH491" s="49">
        <v>1.9</v>
      </c>
      <c r="BI491" s="49">
        <v>2.1</v>
      </c>
      <c r="BJ491" s="49">
        <v>19.7</v>
      </c>
      <c r="BK491" s="129">
        <v>15150</v>
      </c>
      <c r="BL491" s="129">
        <v>48018</v>
      </c>
      <c r="BM491" s="129">
        <v>51403</v>
      </c>
      <c r="BN491" s="129">
        <v>46288</v>
      </c>
      <c r="BO491" s="59">
        <v>0</v>
      </c>
      <c r="BP491" s="59">
        <v>0.27789999999999998</v>
      </c>
      <c r="BQ491" s="59">
        <v>0.27360000000000001</v>
      </c>
      <c r="BR491" s="59">
        <v>0</v>
      </c>
      <c r="BS491" s="59">
        <v>1.61E-2</v>
      </c>
      <c r="BT491" s="49">
        <v>6.9</v>
      </c>
      <c r="BU491" s="59">
        <f t="shared" si="36"/>
        <v>0.56759999999999999</v>
      </c>
      <c r="BV491" s="59">
        <v>1.77E-2</v>
      </c>
      <c r="BW491" s="59">
        <v>0</v>
      </c>
      <c r="BX491" s="59">
        <v>1.61E-2</v>
      </c>
      <c r="BY491" s="59">
        <v>0</v>
      </c>
      <c r="BZ491" s="59">
        <v>0</v>
      </c>
      <c r="CA491" s="49">
        <v>8.9</v>
      </c>
      <c r="CB491" s="59">
        <f t="shared" si="37"/>
        <v>3.3799999999999997E-2</v>
      </c>
      <c r="CC491" s="59">
        <v>0.1154</v>
      </c>
      <c r="CD491" s="59">
        <v>0.44190000000000002</v>
      </c>
      <c r="CE491" s="59">
        <v>0.42659999999999998</v>
      </c>
      <c r="CF491" s="59">
        <v>0</v>
      </c>
      <c r="CG491" s="59">
        <v>1.61E-2</v>
      </c>
      <c r="CH491" s="49">
        <v>8.6999999999999993</v>
      </c>
      <c r="CI491" s="39" t="s">
        <v>285</v>
      </c>
      <c r="CJ491" s="18" t="s">
        <v>479</v>
      </c>
      <c r="CK491" s="20"/>
    </row>
    <row r="492" spans="1:89" x14ac:dyDescent="0.25">
      <c r="A492" s="18" t="s">
        <v>479</v>
      </c>
      <c r="B492" s="39" t="s">
        <v>286</v>
      </c>
      <c r="C492" s="39" t="s">
        <v>287</v>
      </c>
      <c r="D492" s="40">
        <v>33</v>
      </c>
      <c r="E492" s="40" t="s">
        <v>83</v>
      </c>
      <c r="F492" s="40">
        <v>33</v>
      </c>
      <c r="G492" s="162" t="s">
        <v>83</v>
      </c>
      <c r="H492" s="162" t="s">
        <v>83</v>
      </c>
      <c r="I492" s="162" t="s">
        <v>83</v>
      </c>
      <c r="J492" s="163">
        <v>5</v>
      </c>
      <c r="K492" s="163">
        <v>18</v>
      </c>
      <c r="L492" s="163">
        <v>3</v>
      </c>
      <c r="M492" s="163">
        <v>7</v>
      </c>
      <c r="N492" s="115">
        <v>2.3537803138373802E-2</v>
      </c>
      <c r="O492" s="115">
        <v>2.3537803138373802E-2</v>
      </c>
      <c r="P492" s="116" t="s">
        <v>83</v>
      </c>
      <c r="Q492" s="116" t="s">
        <v>83</v>
      </c>
      <c r="R492" s="116" t="s">
        <v>83</v>
      </c>
      <c r="S492" s="115">
        <v>1.35135135135135E-2</v>
      </c>
      <c r="T492" s="115">
        <v>4.6391752577319603E-2</v>
      </c>
      <c r="U492" s="115">
        <v>8.9552238805970207E-3</v>
      </c>
      <c r="V492" s="115">
        <v>2.2653721682847901E-2</v>
      </c>
      <c r="W492" s="40">
        <v>1298</v>
      </c>
      <c r="X492" s="40">
        <f t="shared" si="38"/>
        <v>1298</v>
      </c>
      <c r="Y492" s="40">
        <f t="shared" si="39"/>
        <v>1298</v>
      </c>
      <c r="Z492" s="105">
        <v>0.53775038520801199</v>
      </c>
      <c r="AA492" s="105">
        <v>0.46224961479198801</v>
      </c>
      <c r="AB492" s="106">
        <f>2/1298</f>
        <v>1.5408320493066256E-3</v>
      </c>
      <c r="AC492" s="106">
        <f>19/1298</f>
        <v>1.4637904468412942E-2</v>
      </c>
      <c r="AD492" s="106">
        <f>813/1298</f>
        <v>0.62634822804314327</v>
      </c>
      <c r="AE492" s="106">
        <f>19/1298</f>
        <v>1.4637904468412942E-2</v>
      </c>
      <c r="AF492" s="106">
        <f>1/1298</f>
        <v>7.7041602465331282E-4</v>
      </c>
      <c r="AG492" s="106">
        <f>432/1298</f>
        <v>0.33281972265023113</v>
      </c>
      <c r="AH492" s="106">
        <f>12/1298</f>
        <v>9.2449922958397542E-3</v>
      </c>
      <c r="AI492" s="106">
        <f>866/1298</f>
        <v>0.66718027734976892</v>
      </c>
      <c r="AJ492" s="105">
        <v>0.6294298921417566</v>
      </c>
      <c r="AK492" s="105">
        <v>7.7041602465331297E-3</v>
      </c>
      <c r="AL492" s="12">
        <v>0</v>
      </c>
      <c r="AM492" s="12">
        <v>0</v>
      </c>
      <c r="AN492" s="12">
        <v>0</v>
      </c>
      <c r="AO492" s="12">
        <v>345</v>
      </c>
      <c r="AP492" s="12">
        <v>349</v>
      </c>
      <c r="AQ492" s="12">
        <v>309</v>
      </c>
      <c r="AR492" s="12">
        <v>295</v>
      </c>
      <c r="AS492" s="59">
        <v>0</v>
      </c>
      <c r="AT492" s="3">
        <v>9</v>
      </c>
      <c r="AU492" s="3">
        <v>6</v>
      </c>
      <c r="AV492" s="52">
        <v>67.599999999999994</v>
      </c>
      <c r="AW492" s="52">
        <v>25.7</v>
      </c>
      <c r="AX492" s="52">
        <v>6</v>
      </c>
      <c r="AY492" s="71">
        <v>0.6</v>
      </c>
      <c r="AZ492" s="59">
        <v>0.10526315789473684</v>
      </c>
      <c r="BA492" s="59">
        <v>0.11463590483056957</v>
      </c>
      <c r="BB492" s="77">
        <v>91.821608610745301</v>
      </c>
      <c r="BC492" s="49">
        <v>44.034090909090899</v>
      </c>
      <c r="BD492" s="90" t="s">
        <v>83</v>
      </c>
      <c r="BE492" s="90" t="s">
        <v>83</v>
      </c>
      <c r="BF492" s="49">
        <v>2.2000000000000002</v>
      </c>
      <c r="BG492" s="49">
        <v>2.5</v>
      </c>
      <c r="BH492" s="49">
        <v>0</v>
      </c>
      <c r="BI492" s="49">
        <v>2.1</v>
      </c>
      <c r="BJ492" s="49">
        <v>19.3</v>
      </c>
      <c r="BK492" s="129">
        <v>10558</v>
      </c>
      <c r="BL492" s="129">
        <v>52420</v>
      </c>
      <c r="BM492" s="129">
        <v>57392</v>
      </c>
      <c r="BN492" s="129">
        <v>40913</v>
      </c>
      <c r="BO492" s="59">
        <v>0</v>
      </c>
      <c r="BP492" s="59">
        <v>0.2361</v>
      </c>
      <c r="BQ492" s="59">
        <v>0.27910000000000001</v>
      </c>
      <c r="BR492" s="59">
        <v>0</v>
      </c>
      <c r="BS492" s="59">
        <v>6.0000000000000001E-3</v>
      </c>
      <c r="BT492" s="49">
        <v>12</v>
      </c>
      <c r="BU492" s="59">
        <f t="shared" si="36"/>
        <v>0.5212</v>
      </c>
      <c r="BV492" s="59">
        <v>3.0099999999999998E-2</v>
      </c>
      <c r="BW492" s="59">
        <v>0</v>
      </c>
      <c r="BX492" s="59">
        <v>4.2200000000000001E-2</v>
      </c>
      <c r="BY492" s="59">
        <v>0</v>
      </c>
      <c r="BZ492" s="59">
        <v>0</v>
      </c>
      <c r="CA492" s="49">
        <v>16.5</v>
      </c>
      <c r="CB492" s="59">
        <f t="shared" si="37"/>
        <v>7.2300000000000003E-2</v>
      </c>
      <c r="CC492" s="59">
        <v>0.37180000000000002</v>
      </c>
      <c r="CD492" s="59">
        <v>0.25569999999999998</v>
      </c>
      <c r="CE492" s="59">
        <v>0.3654</v>
      </c>
      <c r="CF492" s="59">
        <v>1E-3</v>
      </c>
      <c r="CG492" s="59">
        <v>6.0000000000000001E-3</v>
      </c>
      <c r="CH492" s="49">
        <v>10.5</v>
      </c>
      <c r="CI492" s="39" t="s">
        <v>287</v>
      </c>
      <c r="CJ492" s="18" t="s">
        <v>479</v>
      </c>
      <c r="CK492" s="20"/>
    </row>
    <row r="493" spans="1:89" x14ac:dyDescent="0.25">
      <c r="A493" s="18" t="s">
        <v>479</v>
      </c>
      <c r="B493" s="39" t="s">
        <v>286</v>
      </c>
      <c r="C493" s="39" t="s">
        <v>288</v>
      </c>
      <c r="D493" s="40">
        <v>3</v>
      </c>
      <c r="E493" s="40" t="s">
        <v>83</v>
      </c>
      <c r="F493" s="40">
        <v>3</v>
      </c>
      <c r="G493" s="162" t="s">
        <v>83</v>
      </c>
      <c r="H493" s="162" t="s">
        <v>83</v>
      </c>
      <c r="I493" s="162" t="s">
        <v>83</v>
      </c>
      <c r="J493" s="163">
        <v>1</v>
      </c>
      <c r="K493" s="163">
        <v>0</v>
      </c>
      <c r="L493" s="163">
        <v>2</v>
      </c>
      <c r="M493" s="163">
        <v>0</v>
      </c>
      <c r="N493" s="115">
        <v>6.2500000000000003E-3</v>
      </c>
      <c r="O493" s="115">
        <v>6.2500000000000003E-3</v>
      </c>
      <c r="P493" s="116" t="s">
        <v>83</v>
      </c>
      <c r="Q493" s="116" t="s">
        <v>83</v>
      </c>
      <c r="R493" s="116" t="s">
        <v>83</v>
      </c>
      <c r="S493" s="115">
        <v>7.5757575757575803E-3</v>
      </c>
      <c r="T493" s="115">
        <v>0</v>
      </c>
      <c r="U493" s="115">
        <v>1.7857142857142901E-2</v>
      </c>
      <c r="V493" s="115">
        <v>0</v>
      </c>
      <c r="W493" s="40">
        <v>462</v>
      </c>
      <c r="X493" s="40">
        <f t="shared" si="38"/>
        <v>462</v>
      </c>
      <c r="Y493" s="40">
        <f t="shared" si="39"/>
        <v>462</v>
      </c>
      <c r="Z493" s="105">
        <v>0.5</v>
      </c>
      <c r="AA493" s="105">
        <v>0.5</v>
      </c>
      <c r="AB493" s="106">
        <v>0</v>
      </c>
      <c r="AC493" s="106">
        <f>8/462</f>
        <v>1.7316017316017316E-2</v>
      </c>
      <c r="AD493" s="106">
        <f>58/462</f>
        <v>0.12554112554112554</v>
      </c>
      <c r="AE493" s="106">
        <f>10/462</f>
        <v>2.1645021645021644E-2</v>
      </c>
      <c r="AF493" s="106">
        <v>0</v>
      </c>
      <c r="AG493" s="106">
        <f>385/462</f>
        <v>0.83333333333333337</v>
      </c>
      <c r="AH493" s="106">
        <f>1/462</f>
        <v>2.1645021645021645E-3</v>
      </c>
      <c r="AI493" s="106">
        <f>77/462</f>
        <v>0.16666666666666666</v>
      </c>
      <c r="AJ493" s="105">
        <v>0.37445887445887444</v>
      </c>
      <c r="AK493" s="105">
        <v>0</v>
      </c>
      <c r="AL493" s="12">
        <v>0</v>
      </c>
      <c r="AM493" s="12">
        <v>0</v>
      </c>
      <c r="AN493" s="12">
        <v>0</v>
      </c>
      <c r="AO493" s="12">
        <v>127</v>
      </c>
      <c r="AP493" s="12">
        <v>131</v>
      </c>
      <c r="AQ493" s="12">
        <v>108</v>
      </c>
      <c r="AR493" s="12">
        <v>96</v>
      </c>
      <c r="AS493" s="59">
        <v>0</v>
      </c>
      <c r="AT493" s="3">
        <v>9</v>
      </c>
      <c r="AU493" s="3">
        <v>6</v>
      </c>
      <c r="AV493" s="52">
        <v>78</v>
      </c>
      <c r="AW493" s="52">
        <v>14.8</v>
      </c>
      <c r="AX493" s="52">
        <v>7.2</v>
      </c>
      <c r="AY493" s="70">
        <v>0</v>
      </c>
      <c r="AZ493" s="59">
        <v>7.7083333333333337E-2</v>
      </c>
      <c r="BA493" s="59">
        <v>0.05</v>
      </c>
      <c r="BB493" s="78">
        <v>94.301079331494606</v>
      </c>
      <c r="BC493" s="49">
        <v>25</v>
      </c>
      <c r="BD493" s="90" t="s">
        <v>83</v>
      </c>
      <c r="BE493" s="90" t="s">
        <v>83</v>
      </c>
      <c r="BF493" s="49">
        <v>0</v>
      </c>
      <c r="BG493" s="49">
        <v>0.8</v>
      </c>
      <c r="BH493" s="49">
        <v>0</v>
      </c>
      <c r="BI493" s="49">
        <v>0</v>
      </c>
      <c r="BJ493" s="49">
        <v>21</v>
      </c>
      <c r="BK493" s="129">
        <v>11818</v>
      </c>
      <c r="BL493" s="129">
        <v>56155</v>
      </c>
      <c r="BM493" s="129">
        <v>56043</v>
      </c>
      <c r="BN493" s="129">
        <v>44305</v>
      </c>
      <c r="BO493" s="59">
        <v>0</v>
      </c>
      <c r="BP493" s="59">
        <v>0.28899999999999998</v>
      </c>
      <c r="BQ493" s="59">
        <v>0.21840000000000001</v>
      </c>
      <c r="BR493" s="59">
        <v>0</v>
      </c>
      <c r="BS493" s="59">
        <v>0</v>
      </c>
      <c r="BT493" s="49">
        <v>16.3</v>
      </c>
      <c r="BU493" s="59">
        <f t="shared" si="36"/>
        <v>0.50739999999999996</v>
      </c>
      <c r="BV493" s="59">
        <v>4.6300000000000001E-2</v>
      </c>
      <c r="BW493" s="59">
        <v>0</v>
      </c>
      <c r="BX493" s="59">
        <v>4.6300000000000001E-2</v>
      </c>
      <c r="BY493" s="59">
        <v>0</v>
      </c>
      <c r="BZ493" s="59">
        <v>0</v>
      </c>
      <c r="CA493" s="49">
        <v>18.5</v>
      </c>
      <c r="CB493" s="59">
        <f t="shared" si="37"/>
        <v>9.2600000000000002E-2</v>
      </c>
      <c r="CC493" s="59">
        <v>0.3569</v>
      </c>
      <c r="CD493" s="59">
        <v>0.31340000000000001</v>
      </c>
      <c r="CE493" s="59">
        <v>0.32669999999999999</v>
      </c>
      <c r="CF493" s="59">
        <v>3.0999999999999999E-3</v>
      </c>
      <c r="CG493" s="59">
        <v>0</v>
      </c>
      <c r="CH493" s="49">
        <v>15.1</v>
      </c>
      <c r="CI493" s="39" t="s">
        <v>288</v>
      </c>
      <c r="CJ493" s="18" t="s">
        <v>479</v>
      </c>
      <c r="CK493" s="20"/>
    </row>
    <row r="494" spans="1:89" x14ac:dyDescent="0.25">
      <c r="A494" s="18" t="s">
        <v>479</v>
      </c>
      <c r="B494" s="39" t="s">
        <v>286</v>
      </c>
      <c r="C494" s="39" t="s">
        <v>289</v>
      </c>
      <c r="D494" s="40">
        <v>79</v>
      </c>
      <c r="E494" s="40" t="s">
        <v>83</v>
      </c>
      <c r="F494" s="40">
        <v>79</v>
      </c>
      <c r="G494" s="162" t="s">
        <v>83</v>
      </c>
      <c r="H494" s="162" t="s">
        <v>83</v>
      </c>
      <c r="I494" s="163">
        <v>1</v>
      </c>
      <c r="J494" s="163">
        <v>14</v>
      </c>
      <c r="K494" s="163">
        <v>12</v>
      </c>
      <c r="L494" s="163">
        <v>29</v>
      </c>
      <c r="M494" s="163">
        <v>23</v>
      </c>
      <c r="N494" s="115">
        <v>3.2780082987551903E-2</v>
      </c>
      <c r="O494" s="115">
        <v>3.2780082987551903E-2</v>
      </c>
      <c r="P494" s="116" t="s">
        <v>83</v>
      </c>
      <c r="Q494" s="116" t="s">
        <v>83</v>
      </c>
      <c r="R494" s="115">
        <v>0.16666666666666699</v>
      </c>
      <c r="S494" s="115">
        <v>2.04081632653061E-2</v>
      </c>
      <c r="T494" s="115">
        <v>1.9834710743801699E-2</v>
      </c>
      <c r="U494" s="115">
        <v>4.8903878583473899E-2</v>
      </c>
      <c r="V494" s="115">
        <v>4.4230769230769199E-2</v>
      </c>
      <c r="W494" s="40">
        <v>2228</v>
      </c>
      <c r="X494" s="40">
        <f t="shared" si="38"/>
        <v>2228</v>
      </c>
      <c r="Y494" s="40">
        <f t="shared" si="39"/>
        <v>2228</v>
      </c>
      <c r="Z494" s="105">
        <v>0.498204667863555</v>
      </c>
      <c r="AA494" s="105">
        <v>0.501795332136445</v>
      </c>
      <c r="AB494" s="106">
        <f>4/2228</f>
        <v>1.7953321364452424E-3</v>
      </c>
      <c r="AC494" s="106">
        <f>26/2228</f>
        <v>1.1669658886894075E-2</v>
      </c>
      <c r="AD494" s="106">
        <f>482/2228</f>
        <v>0.21633752244165169</v>
      </c>
      <c r="AE494" s="106">
        <f>76/2228</f>
        <v>3.4111310592459608E-2</v>
      </c>
      <c r="AF494" s="106">
        <v>0</v>
      </c>
      <c r="AG494" s="106">
        <f>1625/2228</f>
        <v>0.72935368043087967</v>
      </c>
      <c r="AH494" s="106">
        <f>15/2228</f>
        <v>6.7324955116696587E-3</v>
      </c>
      <c r="AI494" s="106">
        <f>603/2228</f>
        <v>0.27064631956912027</v>
      </c>
      <c r="AJ494" s="105">
        <v>0.50044883303411136</v>
      </c>
      <c r="AK494" s="105">
        <v>8.5278276481149003E-3</v>
      </c>
      <c r="AL494" s="12">
        <v>0</v>
      </c>
      <c r="AM494" s="12">
        <v>0</v>
      </c>
      <c r="AN494" s="12">
        <v>1</v>
      </c>
      <c r="AO494" s="12">
        <v>630</v>
      </c>
      <c r="AP494" s="12">
        <v>562</v>
      </c>
      <c r="AQ494" s="12">
        <v>541</v>
      </c>
      <c r="AR494" s="12">
        <v>494</v>
      </c>
      <c r="AS494" s="59">
        <v>1.5847860538827259E-3</v>
      </c>
      <c r="AT494" s="3">
        <v>9</v>
      </c>
      <c r="AU494" s="3">
        <v>6</v>
      </c>
      <c r="AV494" s="52">
        <v>56.2</v>
      </c>
      <c r="AW494" s="52">
        <v>28</v>
      </c>
      <c r="AX494" s="52">
        <v>14.6</v>
      </c>
      <c r="AY494" s="71">
        <v>1.2</v>
      </c>
      <c r="AZ494" s="59">
        <v>4.8605240912933223E-2</v>
      </c>
      <c r="BA494" s="59">
        <v>0.11834319526627218</v>
      </c>
      <c r="BB494" s="77">
        <v>91.793487563695706</v>
      </c>
      <c r="BC494" s="49">
        <v>46.885382059800698</v>
      </c>
      <c r="BD494" s="90" t="s">
        <v>83</v>
      </c>
      <c r="BE494" s="90" t="s">
        <v>83</v>
      </c>
      <c r="BF494" s="49">
        <v>4.2</v>
      </c>
      <c r="BG494" s="49">
        <v>2.2999999999999998</v>
      </c>
      <c r="BH494" s="49">
        <v>1.4</v>
      </c>
      <c r="BI494" s="49">
        <v>1.3</v>
      </c>
      <c r="BJ494" s="49">
        <v>20.6</v>
      </c>
      <c r="BK494" s="129">
        <v>9235</v>
      </c>
      <c r="BL494" s="129">
        <v>53946</v>
      </c>
      <c r="BM494" s="129">
        <v>65627</v>
      </c>
      <c r="BN494" s="129">
        <v>44578</v>
      </c>
      <c r="BO494" s="59">
        <v>0</v>
      </c>
      <c r="BP494" s="59">
        <v>0.24809999999999999</v>
      </c>
      <c r="BQ494" s="59">
        <v>0.30049999999999999</v>
      </c>
      <c r="BR494" s="59">
        <v>0</v>
      </c>
      <c r="BS494" s="59">
        <v>8.9999999999999993E-3</v>
      </c>
      <c r="BT494" s="49">
        <v>16.399999999999999</v>
      </c>
      <c r="BU494" s="59">
        <f t="shared" si="36"/>
        <v>0.55759999999999998</v>
      </c>
      <c r="BV494" s="59">
        <v>2.86E-2</v>
      </c>
      <c r="BW494" s="59">
        <v>0</v>
      </c>
      <c r="BX494" s="59">
        <v>4.9399999999999999E-2</v>
      </c>
      <c r="BY494" s="59">
        <v>0</v>
      </c>
      <c r="BZ494" s="59">
        <v>0</v>
      </c>
      <c r="CA494" s="49">
        <v>21.7</v>
      </c>
      <c r="CB494" s="59">
        <f t="shared" si="37"/>
        <v>7.8E-2</v>
      </c>
      <c r="CC494" s="59">
        <v>0.32550000000000001</v>
      </c>
      <c r="CD494" s="59">
        <v>0.26379999999999998</v>
      </c>
      <c r="CE494" s="59">
        <v>0.39600000000000002</v>
      </c>
      <c r="CF494" s="59">
        <v>5.5999999999999999E-3</v>
      </c>
      <c r="CG494" s="59">
        <v>8.9999999999999993E-3</v>
      </c>
      <c r="CH494" s="49">
        <v>15.1</v>
      </c>
      <c r="CI494" s="39" t="s">
        <v>289</v>
      </c>
      <c r="CJ494" s="18" t="s">
        <v>479</v>
      </c>
      <c r="CK494" s="20"/>
    </row>
    <row r="495" spans="1:89" x14ac:dyDescent="0.25">
      <c r="A495" s="18" t="s">
        <v>479</v>
      </c>
      <c r="B495" s="39" t="s">
        <v>286</v>
      </c>
      <c r="C495" s="39" t="s">
        <v>290</v>
      </c>
      <c r="D495" s="40">
        <v>24</v>
      </c>
      <c r="E495" s="40" t="s">
        <v>83</v>
      </c>
      <c r="F495" s="40">
        <v>24</v>
      </c>
      <c r="G495" s="162" t="s">
        <v>83</v>
      </c>
      <c r="H495" s="162" t="s">
        <v>83</v>
      </c>
      <c r="I495" s="162" t="s">
        <v>83</v>
      </c>
      <c r="J495" s="163">
        <v>8</v>
      </c>
      <c r="K495" s="163">
        <v>4</v>
      </c>
      <c r="L495" s="163">
        <v>5</v>
      </c>
      <c r="M495" s="163">
        <v>7</v>
      </c>
      <c r="N495" s="115">
        <v>1.9543973941368101E-2</v>
      </c>
      <c r="O495" s="115">
        <v>1.9543973941368101E-2</v>
      </c>
      <c r="P495" s="116" t="s">
        <v>83</v>
      </c>
      <c r="Q495" s="116" t="s">
        <v>83</v>
      </c>
      <c r="R495" s="116" t="s">
        <v>83</v>
      </c>
      <c r="S495" s="115">
        <v>2.19178082191781E-2</v>
      </c>
      <c r="T495" s="115">
        <v>1.42348754448399E-2</v>
      </c>
      <c r="U495" s="115">
        <v>1.66112956810631E-2</v>
      </c>
      <c r="V495" s="115">
        <v>2.4911032028469799E-2</v>
      </c>
      <c r="W495" s="40">
        <v>1156</v>
      </c>
      <c r="X495" s="40">
        <f t="shared" si="38"/>
        <v>1156</v>
      </c>
      <c r="Y495" s="40">
        <f t="shared" si="39"/>
        <v>1156</v>
      </c>
      <c r="Z495" s="105">
        <v>0.48529411764705899</v>
      </c>
      <c r="AA495" s="105">
        <v>0.51470588235294101</v>
      </c>
      <c r="AB495" s="106">
        <v>0</v>
      </c>
      <c r="AC495" s="106">
        <f>5/1156</f>
        <v>4.3252595155709346E-3</v>
      </c>
      <c r="AD495" s="106">
        <f>33/1156</f>
        <v>2.8546712802768166E-2</v>
      </c>
      <c r="AE495" s="106">
        <f>13/1156</f>
        <v>1.124567474048443E-2</v>
      </c>
      <c r="AF495" s="106">
        <v>0</v>
      </c>
      <c r="AG495" s="106">
        <f>1097/1156</f>
        <v>0.94896193771626303</v>
      </c>
      <c r="AH495" s="106">
        <f>8/1156</f>
        <v>6.920415224913495E-3</v>
      </c>
      <c r="AI495" s="106">
        <f>59/1156</f>
        <v>5.1038062283737022E-2</v>
      </c>
      <c r="AJ495" s="105">
        <v>0.48442906574394462</v>
      </c>
      <c r="AK495" s="105">
        <v>0</v>
      </c>
      <c r="AL495" s="12">
        <v>0</v>
      </c>
      <c r="AM495" s="12">
        <v>0</v>
      </c>
      <c r="AN495" s="12">
        <v>0</v>
      </c>
      <c r="AO495" s="12">
        <v>339</v>
      </c>
      <c r="AP495" s="12">
        <v>264</v>
      </c>
      <c r="AQ495" s="12">
        <v>291</v>
      </c>
      <c r="AR495" s="12">
        <v>262</v>
      </c>
      <c r="AS495" s="59">
        <v>0</v>
      </c>
      <c r="AT495" s="3">
        <v>9</v>
      </c>
      <c r="AU495" s="3">
        <v>6</v>
      </c>
      <c r="AV495" s="52">
        <v>69.5</v>
      </c>
      <c r="AW495" s="52">
        <v>25.3</v>
      </c>
      <c r="AX495" s="52">
        <v>4.9000000000000004</v>
      </c>
      <c r="AY495" s="71">
        <v>0.3</v>
      </c>
      <c r="AZ495" s="59">
        <v>0.17904290429042904</v>
      </c>
      <c r="BA495" s="59">
        <v>0.10396039603960396</v>
      </c>
      <c r="BB495" s="78">
        <v>94.393689806065595</v>
      </c>
      <c r="BC495" s="49">
        <v>14.273927392739299</v>
      </c>
      <c r="BD495" s="90" t="s">
        <v>83</v>
      </c>
      <c r="BE495" s="90" t="s">
        <v>83</v>
      </c>
      <c r="BF495" s="49">
        <v>2.1</v>
      </c>
      <c r="BG495" s="49">
        <v>4.8</v>
      </c>
      <c r="BH495" s="49">
        <v>2.6</v>
      </c>
      <c r="BI495" s="49">
        <v>1.1000000000000001</v>
      </c>
      <c r="BJ495" s="49">
        <v>20.3</v>
      </c>
      <c r="BK495" s="129">
        <v>10407</v>
      </c>
      <c r="BL495" s="129">
        <v>52955</v>
      </c>
      <c r="BM495" s="129">
        <v>61008</v>
      </c>
      <c r="BN495" s="129">
        <v>40950</v>
      </c>
      <c r="BO495" s="59">
        <v>0</v>
      </c>
      <c r="BP495" s="59">
        <v>0.2787</v>
      </c>
      <c r="BQ495" s="59">
        <v>0.22539999999999999</v>
      </c>
      <c r="BR495" s="59">
        <v>0</v>
      </c>
      <c r="BS495" s="59">
        <v>6.4999999999999997E-3</v>
      </c>
      <c r="BT495" s="49">
        <v>14.5</v>
      </c>
      <c r="BU495" s="59">
        <f t="shared" si="36"/>
        <v>0.51059999999999994</v>
      </c>
      <c r="BV495" s="59">
        <v>3.4000000000000002E-2</v>
      </c>
      <c r="BW495" s="59">
        <v>0</v>
      </c>
      <c r="BX495" s="59">
        <v>3.4000000000000002E-2</v>
      </c>
      <c r="BY495" s="59">
        <v>0</v>
      </c>
      <c r="BZ495" s="59">
        <v>0</v>
      </c>
      <c r="CA495" s="49">
        <v>20.6</v>
      </c>
      <c r="CB495" s="59">
        <f t="shared" si="37"/>
        <v>6.8000000000000005E-2</v>
      </c>
      <c r="CC495" s="59">
        <v>0.40329999999999999</v>
      </c>
      <c r="CD495" s="59">
        <v>0.28660000000000002</v>
      </c>
      <c r="CE495" s="59">
        <v>0.30349999999999999</v>
      </c>
      <c r="CF495" s="59">
        <v>0</v>
      </c>
      <c r="CG495" s="59">
        <v>6.4999999999999997E-3</v>
      </c>
      <c r="CH495" s="49">
        <v>12.7</v>
      </c>
      <c r="CI495" s="39" t="s">
        <v>290</v>
      </c>
      <c r="CJ495" s="18" t="s">
        <v>479</v>
      </c>
      <c r="CK495" s="20"/>
    </row>
    <row r="496" spans="1:89" x14ac:dyDescent="0.25">
      <c r="A496" s="18" t="s">
        <v>479</v>
      </c>
      <c r="B496" s="39" t="s">
        <v>286</v>
      </c>
      <c r="C496" s="39" t="s">
        <v>291</v>
      </c>
      <c r="D496" s="40">
        <v>23</v>
      </c>
      <c r="E496" s="40" t="s">
        <v>83</v>
      </c>
      <c r="F496" s="40">
        <v>23</v>
      </c>
      <c r="G496" s="162" t="s">
        <v>83</v>
      </c>
      <c r="H496" s="162" t="s">
        <v>83</v>
      </c>
      <c r="I496" s="163">
        <v>1</v>
      </c>
      <c r="J496" s="163">
        <v>8</v>
      </c>
      <c r="K496" s="163">
        <v>5</v>
      </c>
      <c r="L496" s="163">
        <v>5</v>
      </c>
      <c r="M496" s="163">
        <v>4</v>
      </c>
      <c r="N496" s="115">
        <v>3.4431137724550899E-2</v>
      </c>
      <c r="O496" s="115">
        <v>3.4431137724550899E-2</v>
      </c>
      <c r="P496" s="116" t="s">
        <v>83</v>
      </c>
      <c r="Q496" s="116" t="s">
        <v>83</v>
      </c>
      <c r="R496" s="115">
        <v>5.5555555555555601E-2</v>
      </c>
      <c r="S496" s="115">
        <v>4.3010752688171998E-2</v>
      </c>
      <c r="T496" s="115">
        <v>2.9761904761904798E-2</v>
      </c>
      <c r="U496" s="115">
        <v>3.4722222222222203E-2</v>
      </c>
      <c r="V496" s="115">
        <v>2.6315789473684199E-2</v>
      </c>
      <c r="W496" s="40">
        <v>585</v>
      </c>
      <c r="X496" s="40">
        <f t="shared" si="38"/>
        <v>585</v>
      </c>
      <c r="Y496" s="40">
        <f t="shared" si="39"/>
        <v>585</v>
      </c>
      <c r="Z496" s="105">
        <v>0.51965811965812003</v>
      </c>
      <c r="AA496" s="105">
        <v>0.48034188034188002</v>
      </c>
      <c r="AB496" s="106">
        <v>0</v>
      </c>
      <c r="AC496" s="106">
        <v>0</v>
      </c>
      <c r="AD496" s="106">
        <f>580/585</f>
        <v>0.99145299145299148</v>
      </c>
      <c r="AE496" s="106">
        <f>1/585</f>
        <v>1.7094017094017094E-3</v>
      </c>
      <c r="AF496" s="106">
        <v>0</v>
      </c>
      <c r="AG496" s="106">
        <f>4/585</f>
        <v>6.8376068376068376E-3</v>
      </c>
      <c r="AH496" s="106">
        <v>0</v>
      </c>
      <c r="AI496" s="106">
        <f>581/585</f>
        <v>0.99316239316239319</v>
      </c>
      <c r="AJ496" s="105">
        <v>0.89572649572649576</v>
      </c>
      <c r="AK496" s="105">
        <v>0</v>
      </c>
      <c r="AL496" s="12">
        <v>0</v>
      </c>
      <c r="AM496" s="12">
        <v>0</v>
      </c>
      <c r="AN496" s="12">
        <v>18</v>
      </c>
      <c r="AO496" s="12">
        <v>158</v>
      </c>
      <c r="AP496" s="12">
        <v>141</v>
      </c>
      <c r="AQ496" s="12">
        <v>131</v>
      </c>
      <c r="AR496" s="12">
        <v>137</v>
      </c>
      <c r="AS496" s="59">
        <v>0.10227272727272728</v>
      </c>
      <c r="AT496" s="3">
        <v>9</v>
      </c>
      <c r="AU496" s="3">
        <v>6</v>
      </c>
      <c r="AV496" s="52">
        <v>87.1</v>
      </c>
      <c r="AW496" s="52">
        <v>10.9</v>
      </c>
      <c r="AX496" s="52">
        <v>2</v>
      </c>
      <c r="AY496" s="70">
        <v>0</v>
      </c>
      <c r="AZ496" s="59">
        <v>0.26707132018209406</v>
      </c>
      <c r="BA496" s="59">
        <v>0.29590288315629742</v>
      </c>
      <c r="BB496" s="77">
        <v>89.030195594152104</v>
      </c>
      <c r="BC496" s="49">
        <v>47.877013177159597</v>
      </c>
      <c r="BD496" s="90" t="s">
        <v>83</v>
      </c>
      <c r="BE496" s="90" t="s">
        <v>83</v>
      </c>
      <c r="BF496" s="49">
        <v>5.0999999999999996</v>
      </c>
      <c r="BG496" s="49">
        <v>5.0999999999999996</v>
      </c>
      <c r="BH496" s="49">
        <v>0</v>
      </c>
      <c r="BI496" s="49">
        <v>2.9</v>
      </c>
      <c r="BJ496" s="49">
        <v>16.399999999999999</v>
      </c>
      <c r="BK496" s="129">
        <v>13232</v>
      </c>
      <c r="BL496" s="129">
        <v>52202</v>
      </c>
      <c r="BM496" s="129">
        <v>52073</v>
      </c>
      <c r="BN496" s="129">
        <v>38774</v>
      </c>
      <c r="BO496" s="59">
        <v>0</v>
      </c>
      <c r="BP496" s="59">
        <v>0.1835</v>
      </c>
      <c r="BQ496" s="59">
        <v>0.18859999999999999</v>
      </c>
      <c r="BR496" s="59">
        <v>9.5999999999999992E-3</v>
      </c>
      <c r="BS496" s="59">
        <v>9.5999999999999992E-3</v>
      </c>
      <c r="BT496" s="49">
        <v>11.2</v>
      </c>
      <c r="BU496" s="59">
        <f t="shared" si="36"/>
        <v>0.39129999999999998</v>
      </c>
      <c r="BV496" s="59">
        <v>5.7700000000000001E-2</v>
      </c>
      <c r="BW496" s="59">
        <v>9.5999999999999992E-3</v>
      </c>
      <c r="BX496" s="59">
        <v>2.8799999999999999E-2</v>
      </c>
      <c r="BY496" s="59">
        <v>0</v>
      </c>
      <c r="BZ496" s="59">
        <v>1.9199999999999998E-2</v>
      </c>
      <c r="CA496" s="49">
        <v>14.6</v>
      </c>
      <c r="CB496" s="59">
        <f t="shared" si="37"/>
        <v>0.11529999999999999</v>
      </c>
      <c r="CC496" s="59">
        <v>0.46500000000000002</v>
      </c>
      <c r="CD496" s="59">
        <v>0.21110000000000001</v>
      </c>
      <c r="CE496" s="59">
        <v>0.28360000000000002</v>
      </c>
      <c r="CF496" s="59">
        <v>1.15E-2</v>
      </c>
      <c r="CG496" s="59">
        <v>2.8799999999999999E-2</v>
      </c>
      <c r="CH496" s="49">
        <v>10.8</v>
      </c>
      <c r="CI496" s="39" t="s">
        <v>291</v>
      </c>
      <c r="CJ496" s="18" t="s">
        <v>479</v>
      </c>
      <c r="CK496" s="20"/>
    </row>
    <row r="497" spans="1:99" x14ac:dyDescent="0.25">
      <c r="A497" s="18" t="s">
        <v>479</v>
      </c>
      <c r="B497" s="39" t="s">
        <v>292</v>
      </c>
      <c r="C497" s="39" t="s">
        <v>293</v>
      </c>
      <c r="D497" s="40">
        <v>11</v>
      </c>
      <c r="E497" s="40" t="s">
        <v>83</v>
      </c>
      <c r="F497" s="40">
        <v>11</v>
      </c>
      <c r="G497" s="162" t="s">
        <v>83</v>
      </c>
      <c r="H497" s="162" t="s">
        <v>83</v>
      </c>
      <c r="I497" s="163">
        <v>0</v>
      </c>
      <c r="J497" s="163">
        <v>2</v>
      </c>
      <c r="K497" s="163">
        <v>2</v>
      </c>
      <c r="L497" s="163">
        <v>4</v>
      </c>
      <c r="M497" s="163">
        <v>3</v>
      </c>
      <c r="N497" s="115">
        <v>1.16402116402116E-2</v>
      </c>
      <c r="O497" s="115">
        <v>1.16402116402116E-2</v>
      </c>
      <c r="P497" s="116" t="s">
        <v>83</v>
      </c>
      <c r="Q497" s="116" t="s">
        <v>83</v>
      </c>
      <c r="R497" s="115">
        <v>0</v>
      </c>
      <c r="S497" s="115">
        <v>7.3800738007380098E-3</v>
      </c>
      <c r="T497" s="115">
        <v>8.7719298245613996E-3</v>
      </c>
      <c r="U497" s="115">
        <v>1.7543859649122799E-2</v>
      </c>
      <c r="V497" s="115">
        <v>1.4018691588785E-2</v>
      </c>
      <c r="W497" s="40">
        <v>863</v>
      </c>
      <c r="X497" s="40">
        <f t="shared" si="38"/>
        <v>863</v>
      </c>
      <c r="Y497" s="40">
        <f t="shared" si="39"/>
        <v>863</v>
      </c>
      <c r="Z497" s="105">
        <v>0.48203939745075303</v>
      </c>
      <c r="AA497" s="105">
        <v>0.51796060254924703</v>
      </c>
      <c r="AB497" s="106">
        <f>8/863</f>
        <v>9.2699884125144842E-3</v>
      </c>
      <c r="AC497" s="106">
        <f>20/863</f>
        <v>2.3174971031286212E-2</v>
      </c>
      <c r="AD497" s="106">
        <f>165/863</f>
        <v>0.19119351100811124</v>
      </c>
      <c r="AE497" s="106">
        <f>46/863</f>
        <v>5.3302433371958287E-2</v>
      </c>
      <c r="AF497" s="106">
        <f>3/863</f>
        <v>3.4762456546929316E-3</v>
      </c>
      <c r="AG497" s="106">
        <f>597/863</f>
        <v>0.69177288528389336</v>
      </c>
      <c r="AH497" s="106">
        <f>24/863</f>
        <v>2.7809965237543453E-2</v>
      </c>
      <c r="AI497" s="106">
        <f>266/863</f>
        <v>0.30822711471610659</v>
      </c>
      <c r="AJ497" s="105">
        <v>0.4183082271147161</v>
      </c>
      <c r="AK497" s="105">
        <v>1.5063731170336001E-2</v>
      </c>
      <c r="AL497" s="12">
        <v>0</v>
      </c>
      <c r="AM497" s="12">
        <v>0</v>
      </c>
      <c r="AN497" s="12">
        <v>4</v>
      </c>
      <c r="AO497" s="12">
        <v>246</v>
      </c>
      <c r="AP497" s="12">
        <v>208</v>
      </c>
      <c r="AQ497" s="12">
        <v>209</v>
      </c>
      <c r="AR497" s="12">
        <v>196</v>
      </c>
      <c r="AS497" s="59">
        <v>1.6E-2</v>
      </c>
      <c r="AT497" s="3">
        <v>9</v>
      </c>
      <c r="AU497" s="3">
        <v>6</v>
      </c>
      <c r="AV497" s="52">
        <v>67.400000000000006</v>
      </c>
      <c r="AW497" s="52">
        <v>28.4</v>
      </c>
      <c r="AX497" s="52">
        <v>4.2</v>
      </c>
      <c r="AY497" s="70">
        <v>0</v>
      </c>
      <c r="AZ497" s="59">
        <v>8.2191780821917804E-2</v>
      </c>
      <c r="BA497" s="59">
        <v>9.5890410958904104E-2</v>
      </c>
      <c r="BB497" s="78">
        <v>95.931664442807005</v>
      </c>
      <c r="BC497" s="49">
        <v>33.894736842105303</v>
      </c>
      <c r="BD497" s="90" t="s">
        <v>83</v>
      </c>
      <c r="BE497" s="90" t="s">
        <v>83</v>
      </c>
      <c r="BF497" s="49">
        <v>2.4</v>
      </c>
      <c r="BG497" s="49">
        <v>1.5</v>
      </c>
      <c r="BH497" s="49">
        <v>0.5</v>
      </c>
      <c r="BI497" s="49">
        <v>3.5</v>
      </c>
      <c r="BJ497" s="49">
        <v>21</v>
      </c>
      <c r="BK497" s="129">
        <v>15753</v>
      </c>
      <c r="BL497" s="129">
        <v>45878</v>
      </c>
      <c r="BM497" s="129">
        <v>52160</v>
      </c>
      <c r="BN497" s="129">
        <v>39841</v>
      </c>
      <c r="BO497" s="59">
        <v>0</v>
      </c>
      <c r="BP497" s="59">
        <v>0.32129999999999997</v>
      </c>
      <c r="BQ497" s="59">
        <v>0.23169999999999999</v>
      </c>
      <c r="BR497" s="59">
        <v>0</v>
      </c>
      <c r="BS497" s="59">
        <v>0</v>
      </c>
      <c r="BT497" s="49">
        <v>6.8</v>
      </c>
      <c r="BU497" s="59">
        <f t="shared" si="36"/>
        <v>0.55299999999999994</v>
      </c>
      <c r="BV497" s="59">
        <v>9.4999999999999998E-3</v>
      </c>
      <c r="BW497" s="59">
        <v>9.4999999999999998E-3</v>
      </c>
      <c r="BX497" s="59">
        <v>2.8400000000000002E-2</v>
      </c>
      <c r="BY497" s="59">
        <v>0</v>
      </c>
      <c r="BZ497" s="59">
        <v>0</v>
      </c>
      <c r="CA497" s="49">
        <v>10.4</v>
      </c>
      <c r="CB497" s="59">
        <f t="shared" si="37"/>
        <v>4.7399999999999998E-2</v>
      </c>
      <c r="CC497" s="59">
        <v>0.30520000000000003</v>
      </c>
      <c r="CD497" s="59">
        <v>0.36859999999999998</v>
      </c>
      <c r="CE497" s="59">
        <v>0.32619999999999999</v>
      </c>
      <c r="CF497" s="59">
        <v>0</v>
      </c>
      <c r="CG497" s="59">
        <v>0</v>
      </c>
      <c r="CH497" s="49">
        <v>7.4</v>
      </c>
      <c r="CI497" s="39" t="s">
        <v>293</v>
      </c>
      <c r="CJ497" s="18" t="s">
        <v>479</v>
      </c>
      <c r="CK497" s="20"/>
    </row>
    <row r="498" spans="1:99" x14ac:dyDescent="0.25">
      <c r="A498" s="18" t="s">
        <v>479</v>
      </c>
      <c r="B498" s="39" t="s">
        <v>292</v>
      </c>
      <c r="C498" s="39" t="s">
        <v>294</v>
      </c>
      <c r="D498" s="40">
        <v>1</v>
      </c>
      <c r="E498" s="40">
        <v>0</v>
      </c>
      <c r="F498" s="40">
        <v>1</v>
      </c>
      <c r="G498" s="163">
        <v>0</v>
      </c>
      <c r="H498" s="163">
        <v>0</v>
      </c>
      <c r="I498" s="163">
        <v>0</v>
      </c>
      <c r="J498" s="163">
        <v>1</v>
      </c>
      <c r="K498" s="163">
        <v>0</v>
      </c>
      <c r="L498" s="163">
        <v>0</v>
      </c>
      <c r="M498" s="163">
        <v>0</v>
      </c>
      <c r="N498" s="115">
        <v>1.1235955056179799E-2</v>
      </c>
      <c r="O498" s="115">
        <v>1.88679245283019E-2</v>
      </c>
      <c r="P498" s="115">
        <v>0</v>
      </c>
      <c r="Q498" s="115">
        <v>0</v>
      </c>
      <c r="R498" s="115">
        <v>0</v>
      </c>
      <c r="S498" s="115">
        <v>7.69230769230769E-2</v>
      </c>
      <c r="T498" s="115">
        <v>0</v>
      </c>
      <c r="U498" s="115">
        <v>0</v>
      </c>
      <c r="V498" s="115">
        <v>0</v>
      </c>
      <c r="W498" s="40">
        <v>218</v>
      </c>
      <c r="X498" s="40">
        <f t="shared" si="38"/>
        <v>49</v>
      </c>
      <c r="Y498" s="40">
        <f t="shared" si="39"/>
        <v>83</v>
      </c>
      <c r="Z498" s="105">
        <v>0.45412844036697197</v>
      </c>
      <c r="AA498" s="105">
        <v>0.54587155963302703</v>
      </c>
      <c r="AB498" s="106">
        <v>0</v>
      </c>
      <c r="AC498" s="106">
        <v>0</v>
      </c>
      <c r="AD498" s="106">
        <f>212/218</f>
        <v>0.97247706422018354</v>
      </c>
      <c r="AE498" s="106">
        <f>1/218</f>
        <v>4.5871559633027525E-3</v>
      </c>
      <c r="AF498" s="106">
        <v>0</v>
      </c>
      <c r="AG498" s="106">
        <f>2/218</f>
        <v>9.1743119266055051E-3</v>
      </c>
      <c r="AH498" s="106">
        <f>3/218</f>
        <v>1.3761467889908258E-2</v>
      </c>
      <c r="AI498" s="106">
        <f>216/218</f>
        <v>0.99082568807339455</v>
      </c>
      <c r="AJ498" s="105">
        <v>0.89449541284403666</v>
      </c>
      <c r="AK498" s="105">
        <v>0</v>
      </c>
      <c r="AL498" s="12">
        <v>18</v>
      </c>
      <c r="AM498" s="12">
        <v>16</v>
      </c>
      <c r="AN498" s="12">
        <v>2</v>
      </c>
      <c r="AO498" s="12">
        <v>10</v>
      </c>
      <c r="AP498" s="12">
        <v>18</v>
      </c>
      <c r="AQ498" s="12">
        <v>9</v>
      </c>
      <c r="AR498" s="12">
        <v>10</v>
      </c>
      <c r="AS498" s="59">
        <v>0.16666666666666666</v>
      </c>
      <c r="AT498" s="3">
        <v>1</v>
      </c>
      <c r="AU498" s="3">
        <v>6</v>
      </c>
      <c r="AV498" s="53">
        <v>100</v>
      </c>
      <c r="AW498" s="53">
        <v>0</v>
      </c>
      <c r="AX498" s="53">
        <v>0</v>
      </c>
      <c r="AY498" s="70">
        <v>0</v>
      </c>
      <c r="AZ498" s="59">
        <v>4.329004329004329E-3</v>
      </c>
      <c r="BA498" s="59">
        <v>2.1645021645021644E-2</v>
      </c>
      <c r="BB498" s="77">
        <v>95.702132213274794</v>
      </c>
      <c r="BC498" s="49">
        <v>11.1650485436893</v>
      </c>
      <c r="BD498" s="49">
        <v>0</v>
      </c>
      <c r="BE498" s="49">
        <v>5.6</v>
      </c>
      <c r="BF498" s="49">
        <v>11.1</v>
      </c>
      <c r="BG498" s="49">
        <v>0</v>
      </c>
      <c r="BH498" s="49">
        <v>0</v>
      </c>
      <c r="BI498" s="49">
        <v>0</v>
      </c>
      <c r="BJ498" s="49">
        <v>16.8</v>
      </c>
      <c r="BK498" s="129">
        <v>30402</v>
      </c>
      <c r="BL498" s="129">
        <v>41428</v>
      </c>
      <c r="BM498" s="129">
        <v>47917</v>
      </c>
      <c r="BN498" s="129">
        <v>34953</v>
      </c>
      <c r="BO498" s="59">
        <v>0</v>
      </c>
      <c r="BP498" s="59">
        <v>0.24390000000000001</v>
      </c>
      <c r="BQ498" s="59">
        <v>0.1023</v>
      </c>
      <c r="BR498" s="59">
        <v>7.4000000000000003E-3</v>
      </c>
      <c r="BS498" s="59">
        <v>0</v>
      </c>
      <c r="BT498" s="49">
        <v>6.1</v>
      </c>
      <c r="BU498" s="59">
        <f t="shared" si="36"/>
        <v>0.35360000000000003</v>
      </c>
      <c r="BV498" s="59">
        <v>1.6199999999999999E-2</v>
      </c>
      <c r="BW498" s="59">
        <v>0</v>
      </c>
      <c r="BX498" s="59">
        <v>1.6199999999999999E-2</v>
      </c>
      <c r="BY498" s="59">
        <v>0</v>
      </c>
      <c r="BZ498" s="59">
        <v>0</v>
      </c>
      <c r="CA498" s="49">
        <v>7</v>
      </c>
      <c r="CB498" s="59">
        <f t="shared" si="37"/>
        <v>3.2399999999999998E-2</v>
      </c>
      <c r="CC498" s="59">
        <v>0.43630000000000002</v>
      </c>
      <c r="CD498" s="59">
        <v>0.35699999999999998</v>
      </c>
      <c r="CE498" s="59">
        <v>0.1993</v>
      </c>
      <c r="CF498" s="59">
        <v>7.4000000000000003E-3</v>
      </c>
      <c r="CG498" s="59">
        <v>0</v>
      </c>
      <c r="CH498" s="49">
        <v>5.8</v>
      </c>
      <c r="CI498" s="39" t="s">
        <v>294</v>
      </c>
      <c r="CJ498" s="18" t="s">
        <v>479</v>
      </c>
      <c r="CK498" s="20"/>
    </row>
    <row r="499" spans="1:99" ht="15.75" thickBot="1" x14ac:dyDescent="0.3">
      <c r="A499" s="18" t="s">
        <v>479</v>
      </c>
      <c r="B499" s="39" t="s">
        <v>292</v>
      </c>
      <c r="C499" s="39" t="s">
        <v>295</v>
      </c>
      <c r="D499" s="40">
        <v>4</v>
      </c>
      <c r="E499" s="40">
        <v>0</v>
      </c>
      <c r="F499" s="40">
        <v>4</v>
      </c>
      <c r="G499" s="163">
        <v>0</v>
      </c>
      <c r="H499" s="163">
        <v>0</v>
      </c>
      <c r="I499" s="163">
        <v>0</v>
      </c>
      <c r="J499" s="163">
        <v>2</v>
      </c>
      <c r="K499" s="163">
        <v>0</v>
      </c>
      <c r="L499" s="163">
        <v>1</v>
      </c>
      <c r="M499" s="163">
        <v>1</v>
      </c>
      <c r="N499" s="119">
        <v>8.11359026369168E-3</v>
      </c>
      <c r="O499" s="119">
        <v>1.3377926421404699E-2</v>
      </c>
      <c r="P499" s="115">
        <v>0</v>
      </c>
      <c r="Q499" s="115">
        <v>0</v>
      </c>
      <c r="R499" s="115">
        <v>0</v>
      </c>
      <c r="S499" s="115">
        <v>2.32558139534884E-2</v>
      </c>
      <c r="T499" s="115">
        <v>0</v>
      </c>
      <c r="U499" s="115">
        <v>1.3157894736842099E-2</v>
      </c>
      <c r="V499" s="115">
        <v>1.7857142857142901E-2</v>
      </c>
      <c r="W499" s="40">
        <v>425</v>
      </c>
      <c r="X499" s="40">
        <f t="shared" si="38"/>
        <v>266</v>
      </c>
      <c r="Y499" s="40">
        <f t="shared" si="39"/>
        <v>425</v>
      </c>
      <c r="Z499" s="105">
        <v>0.49411764705882399</v>
      </c>
      <c r="AA499" s="105">
        <v>0.50588235294117601</v>
      </c>
      <c r="AB499" s="106">
        <f>19/425</f>
        <v>4.4705882352941179E-2</v>
      </c>
      <c r="AC499" s="106">
        <f>73/425</f>
        <v>0.17176470588235293</v>
      </c>
      <c r="AD499" s="106">
        <f>173/425</f>
        <v>0.40705882352941175</v>
      </c>
      <c r="AE499" s="106">
        <f>8/425</f>
        <v>1.8823529411764704E-2</v>
      </c>
      <c r="AF499" s="106">
        <f>2/425</f>
        <v>4.7058823529411761E-3</v>
      </c>
      <c r="AG499" s="106">
        <f>145/425</f>
        <v>0.3411764705882353</v>
      </c>
      <c r="AH499" s="106">
        <f>5/425</f>
        <v>1.1764705882352941E-2</v>
      </c>
      <c r="AI499" s="106">
        <f>280/425</f>
        <v>0.6588235294117647</v>
      </c>
      <c r="AJ499" s="105">
        <v>0.79529411764705882</v>
      </c>
      <c r="AK499" s="105">
        <v>3.7647058823529402E-2</v>
      </c>
      <c r="AL499" s="12">
        <v>84</v>
      </c>
      <c r="AM499" s="12">
        <v>75</v>
      </c>
      <c r="AN499" s="12">
        <v>8</v>
      </c>
      <c r="AO499" s="12">
        <v>71</v>
      </c>
      <c r="AP499" s="12">
        <v>65</v>
      </c>
      <c r="AQ499" s="12">
        <v>69</v>
      </c>
      <c r="AR499" s="12">
        <v>53</v>
      </c>
      <c r="AS499" s="59">
        <v>0.10126582278481013</v>
      </c>
      <c r="AT499" s="3">
        <v>7</v>
      </c>
      <c r="AU499" s="3">
        <v>6</v>
      </c>
      <c r="AV499" s="52">
        <v>85.1</v>
      </c>
      <c r="AW499" s="52">
        <v>14</v>
      </c>
      <c r="AX499" s="52">
        <v>0.4</v>
      </c>
      <c r="AY499" s="71">
        <v>0.4</v>
      </c>
      <c r="AZ499" s="59">
        <v>1.2145748987854251E-2</v>
      </c>
      <c r="BA499" s="59">
        <v>4.4534412955465584E-2</v>
      </c>
      <c r="BB499" s="78">
        <v>95.503779007877398</v>
      </c>
      <c r="BC499" s="49">
        <v>18.2186234817814</v>
      </c>
      <c r="BD499" s="49">
        <v>20.9</v>
      </c>
      <c r="BE499" s="49">
        <v>5.3</v>
      </c>
      <c r="BF499" s="49">
        <v>5.8</v>
      </c>
      <c r="BG499" s="49">
        <v>3.3</v>
      </c>
      <c r="BH499" s="49">
        <v>0</v>
      </c>
      <c r="BI499" s="49">
        <v>0</v>
      </c>
      <c r="BJ499" s="49">
        <v>18.399999999999999</v>
      </c>
      <c r="BK499" s="129">
        <v>21027</v>
      </c>
      <c r="BL499" s="129">
        <v>44312</v>
      </c>
      <c r="BM499" s="129">
        <v>51901</v>
      </c>
      <c r="BN499" s="129">
        <v>38888</v>
      </c>
      <c r="BO499" s="59">
        <v>0</v>
      </c>
      <c r="BP499" s="59">
        <v>0.252</v>
      </c>
      <c r="BQ499" s="59">
        <v>0.1087</v>
      </c>
      <c r="BR499" s="59">
        <v>0</v>
      </c>
      <c r="BS499" s="59">
        <v>0</v>
      </c>
      <c r="BT499" s="49">
        <v>3.6</v>
      </c>
      <c r="BU499" s="59">
        <f t="shared" si="36"/>
        <v>0.36070000000000002</v>
      </c>
      <c r="BV499" s="59">
        <v>2.9000000000000001E-2</v>
      </c>
      <c r="BW499" s="59">
        <v>0</v>
      </c>
      <c r="BX499" s="59">
        <v>2.9000000000000001E-2</v>
      </c>
      <c r="BY499" s="59">
        <v>0</v>
      </c>
      <c r="BZ499" s="59">
        <v>0</v>
      </c>
      <c r="CA499" s="49">
        <v>15</v>
      </c>
      <c r="CB499" s="59">
        <f t="shared" si="37"/>
        <v>5.8000000000000003E-2</v>
      </c>
      <c r="CC499" s="59">
        <v>0.40500000000000003</v>
      </c>
      <c r="CD499" s="59">
        <v>0.35580000000000001</v>
      </c>
      <c r="CE499" s="59">
        <v>0.2392</v>
      </c>
      <c r="CF499" s="59">
        <v>0</v>
      </c>
      <c r="CG499" s="59">
        <v>0</v>
      </c>
      <c r="CH499" s="49">
        <v>5.7</v>
      </c>
      <c r="CI499" s="39" t="s">
        <v>295</v>
      </c>
      <c r="CJ499" s="18" t="s">
        <v>479</v>
      </c>
      <c r="CK499" s="20"/>
    </row>
    <row r="500" spans="1:99" s="1" customFormat="1" ht="21" customHeight="1" x14ac:dyDescent="0.25">
      <c r="A500" s="21" t="s">
        <v>0</v>
      </c>
      <c r="B500" s="22" t="s">
        <v>1</v>
      </c>
      <c r="C500" s="22" t="s">
        <v>2</v>
      </c>
      <c r="D500" s="9" t="s">
        <v>3</v>
      </c>
      <c r="E500" s="9" t="s">
        <v>4</v>
      </c>
      <c r="F500" s="9" t="s">
        <v>5</v>
      </c>
      <c r="G500" s="161" t="s">
        <v>565</v>
      </c>
      <c r="H500" s="161" t="s">
        <v>566</v>
      </c>
      <c r="I500" s="161" t="s">
        <v>567</v>
      </c>
      <c r="J500" s="161" t="s">
        <v>568</v>
      </c>
      <c r="K500" s="161" t="s">
        <v>569</v>
      </c>
      <c r="L500" s="161" t="s">
        <v>570</v>
      </c>
      <c r="M500" s="161" t="s">
        <v>571</v>
      </c>
      <c r="N500" s="120" t="s">
        <v>6</v>
      </c>
      <c r="O500" s="120" t="s">
        <v>7</v>
      </c>
      <c r="P500" s="120" t="s">
        <v>8</v>
      </c>
      <c r="Q500" s="120" t="s">
        <v>9</v>
      </c>
      <c r="R500" s="120" t="s">
        <v>10</v>
      </c>
      <c r="S500" s="120" t="s">
        <v>11</v>
      </c>
      <c r="T500" s="120" t="s">
        <v>12</v>
      </c>
      <c r="U500" s="120" t="s">
        <v>13</v>
      </c>
      <c r="V500" s="120" t="s">
        <v>14</v>
      </c>
      <c r="W500" s="41" t="s">
        <v>15</v>
      </c>
      <c r="X500" s="41" t="s">
        <v>16</v>
      </c>
      <c r="Y500" s="41" t="s">
        <v>17</v>
      </c>
      <c r="Z500" s="107" t="s">
        <v>18</v>
      </c>
      <c r="AA500" s="107" t="s">
        <v>19</v>
      </c>
      <c r="AB500" s="95" t="s">
        <v>20</v>
      </c>
      <c r="AC500" s="95" t="s">
        <v>21</v>
      </c>
      <c r="AD500" s="95" t="s">
        <v>22</v>
      </c>
      <c r="AE500" s="95" t="s">
        <v>23</v>
      </c>
      <c r="AF500" s="95" t="s">
        <v>24</v>
      </c>
      <c r="AG500" s="95" t="s">
        <v>25</v>
      </c>
      <c r="AH500" s="95" t="s">
        <v>26</v>
      </c>
      <c r="AI500" s="95" t="s">
        <v>27</v>
      </c>
      <c r="AJ500" s="95" t="s">
        <v>28</v>
      </c>
      <c r="AK500" s="107" t="s">
        <v>29</v>
      </c>
      <c r="AL500" s="42" t="s">
        <v>30</v>
      </c>
      <c r="AM500" s="42" t="s">
        <v>31</v>
      </c>
      <c r="AN500" s="42" t="s">
        <v>32</v>
      </c>
      <c r="AO500" s="42" t="s">
        <v>33</v>
      </c>
      <c r="AP500" s="42" t="s">
        <v>34</v>
      </c>
      <c r="AQ500" s="42" t="s">
        <v>35</v>
      </c>
      <c r="AR500" s="42" t="s">
        <v>36</v>
      </c>
      <c r="AS500" s="100" t="s">
        <v>37</v>
      </c>
      <c r="AT500" s="41" t="s">
        <v>38</v>
      </c>
      <c r="AU500" s="23" t="s">
        <v>39</v>
      </c>
      <c r="AV500" s="51" t="s">
        <v>40</v>
      </c>
      <c r="AW500" s="51" t="s">
        <v>41</v>
      </c>
      <c r="AX500" s="51" t="s">
        <v>42</v>
      </c>
      <c r="AY500" s="66" t="s">
        <v>43</v>
      </c>
      <c r="AZ500" s="58" t="s">
        <v>44</v>
      </c>
      <c r="BA500" s="58" t="s">
        <v>45</v>
      </c>
      <c r="BB500" s="75" t="s">
        <v>46</v>
      </c>
      <c r="BC500" s="83" t="s">
        <v>47</v>
      </c>
      <c r="BD500" s="89" t="s">
        <v>48</v>
      </c>
      <c r="BE500" s="89" t="s">
        <v>49</v>
      </c>
      <c r="BF500" s="89" t="s">
        <v>50</v>
      </c>
      <c r="BG500" s="89" t="s">
        <v>51</v>
      </c>
      <c r="BH500" s="89" t="s">
        <v>52</v>
      </c>
      <c r="BI500" s="89" t="s">
        <v>53</v>
      </c>
      <c r="BJ500" s="86" t="s">
        <v>54</v>
      </c>
      <c r="BK500" s="127" t="s">
        <v>55</v>
      </c>
      <c r="BL500" s="127" t="s">
        <v>56</v>
      </c>
      <c r="BM500" s="127" t="s">
        <v>57</v>
      </c>
      <c r="BN500" s="127" t="s">
        <v>58</v>
      </c>
      <c r="BO500" s="131" t="s">
        <v>59</v>
      </c>
      <c r="BP500" s="131" t="s">
        <v>60</v>
      </c>
      <c r="BQ500" s="131" t="s">
        <v>61</v>
      </c>
      <c r="BR500" s="131" t="s">
        <v>62</v>
      </c>
      <c r="BS500" s="131" t="s">
        <v>63</v>
      </c>
      <c r="BT500" s="131" t="s">
        <v>64</v>
      </c>
      <c r="BU500" s="131" t="s">
        <v>65</v>
      </c>
      <c r="BV500" s="132" t="s">
        <v>66</v>
      </c>
      <c r="BW500" s="132" t="s">
        <v>67</v>
      </c>
      <c r="BX500" s="132" t="s">
        <v>68</v>
      </c>
      <c r="BY500" s="132" t="s">
        <v>69</v>
      </c>
      <c r="BZ500" s="132" t="s">
        <v>70</v>
      </c>
      <c r="CA500" s="132" t="s">
        <v>71</v>
      </c>
      <c r="CB500" s="132" t="s">
        <v>72</v>
      </c>
      <c r="CC500" s="123" t="s">
        <v>73</v>
      </c>
      <c r="CD500" s="123" t="s">
        <v>74</v>
      </c>
      <c r="CE500" s="123" t="s">
        <v>75</v>
      </c>
      <c r="CF500" s="123" t="s">
        <v>76</v>
      </c>
      <c r="CG500" s="123" t="s">
        <v>77</v>
      </c>
      <c r="CH500" s="123" t="s">
        <v>78</v>
      </c>
      <c r="CI500" s="22" t="s">
        <v>2</v>
      </c>
      <c r="CJ500" s="21" t="s">
        <v>0</v>
      </c>
      <c r="CK500" s="24" t="s">
        <v>79</v>
      </c>
      <c r="CL500"/>
      <c r="CM500"/>
      <c r="CN500"/>
      <c r="CO500"/>
      <c r="CP500"/>
      <c r="CQ500"/>
      <c r="CR500"/>
      <c r="CS500"/>
      <c r="CT500"/>
      <c r="CU500"/>
    </row>
    <row r="501" spans="1:99" x14ac:dyDescent="0.25">
      <c r="A501" s="18" t="s">
        <v>479</v>
      </c>
      <c r="B501" s="39" t="s">
        <v>296</v>
      </c>
      <c r="C501" s="39" t="s">
        <v>297</v>
      </c>
      <c r="D501" s="40">
        <v>45</v>
      </c>
      <c r="E501" s="40">
        <v>1</v>
      </c>
      <c r="F501" s="40">
        <v>44</v>
      </c>
      <c r="G501" s="163">
        <v>0</v>
      </c>
      <c r="H501" s="166">
        <v>1</v>
      </c>
      <c r="I501" s="166">
        <v>2</v>
      </c>
      <c r="J501" s="166">
        <v>19</v>
      </c>
      <c r="K501" s="166">
        <v>11</v>
      </c>
      <c r="L501" s="166">
        <v>7</v>
      </c>
      <c r="M501" s="166">
        <v>5</v>
      </c>
      <c r="N501" s="119">
        <v>4.31447746883988E-2</v>
      </c>
      <c r="O501" s="119">
        <v>5.5345911949685501E-2</v>
      </c>
      <c r="P501" s="115">
        <v>0</v>
      </c>
      <c r="Q501" s="119">
        <v>8.5470085470085496E-3</v>
      </c>
      <c r="R501" s="119">
        <v>7.69230769230769E-2</v>
      </c>
      <c r="S501" s="119">
        <v>8.18965517241379E-2</v>
      </c>
      <c r="T501" s="119">
        <v>5.2884615384615398E-2</v>
      </c>
      <c r="U501" s="119">
        <v>3.7433155080213901E-2</v>
      </c>
      <c r="V501" s="119">
        <v>3.5211267605633798E-2</v>
      </c>
      <c r="W501" s="40">
        <v>944</v>
      </c>
      <c r="X501" s="40">
        <f t="shared" ref="X501:X547" si="40">SUM(AN501:AR501)</f>
        <v>715</v>
      </c>
      <c r="Y501" s="40">
        <f t="shared" ref="Y501:Y547" si="41">SUM(AL501:AR501)</f>
        <v>944</v>
      </c>
      <c r="Z501" s="105">
        <v>0.48199152542372897</v>
      </c>
      <c r="AA501" s="105">
        <v>0.51800847457627097</v>
      </c>
      <c r="AB501" s="106">
        <v>0</v>
      </c>
      <c r="AC501" s="106">
        <f>2/944</f>
        <v>2.1186440677966102E-3</v>
      </c>
      <c r="AD501" s="106">
        <f>604/944</f>
        <v>0.63983050847457623</v>
      </c>
      <c r="AE501" s="106">
        <f>20/944</f>
        <v>2.1186440677966101E-2</v>
      </c>
      <c r="AF501" s="106">
        <v>0</v>
      </c>
      <c r="AG501" s="106">
        <f>305/944</f>
        <v>0.32309322033898308</v>
      </c>
      <c r="AH501" s="106">
        <f>13/944</f>
        <v>1.3771186440677966E-2</v>
      </c>
      <c r="AI501" s="106">
        <f>639/944</f>
        <v>0.67690677966101698</v>
      </c>
      <c r="AJ501" s="105">
        <v>0.75741525423728817</v>
      </c>
      <c r="AK501" s="105">
        <v>3.1779661016949198E-3</v>
      </c>
      <c r="AL501" s="12">
        <v>121</v>
      </c>
      <c r="AM501" s="12">
        <v>108</v>
      </c>
      <c r="AN501" s="12">
        <v>25</v>
      </c>
      <c r="AO501" s="12">
        <v>200</v>
      </c>
      <c r="AP501" s="12">
        <v>182</v>
      </c>
      <c r="AQ501" s="12">
        <v>174</v>
      </c>
      <c r="AR501" s="12">
        <v>134</v>
      </c>
      <c r="AS501" s="59">
        <v>0.1111111111111111</v>
      </c>
      <c r="AT501" s="3">
        <v>7</v>
      </c>
      <c r="AU501" s="3">
        <v>6</v>
      </c>
      <c r="AV501" s="52">
        <v>61.9</v>
      </c>
      <c r="AW501" s="52">
        <v>32.799999999999997</v>
      </c>
      <c r="AX501" s="52">
        <v>5.3</v>
      </c>
      <c r="AY501" s="70">
        <v>0</v>
      </c>
      <c r="AZ501" s="59">
        <v>0.27272727272727271</v>
      </c>
      <c r="BA501" s="59">
        <v>1.9550342130987292E-3</v>
      </c>
      <c r="BB501" s="77">
        <v>89.940999501664194</v>
      </c>
      <c r="BC501" s="49">
        <v>53.118908382066301</v>
      </c>
      <c r="BD501" s="49">
        <v>5.2</v>
      </c>
      <c r="BE501" s="49">
        <v>2.2999999999999998</v>
      </c>
      <c r="BF501" s="49">
        <v>14.5</v>
      </c>
      <c r="BG501" s="49">
        <v>12.1</v>
      </c>
      <c r="BH501" s="49">
        <v>8.9</v>
      </c>
      <c r="BI501" s="49">
        <v>2.2999999999999998</v>
      </c>
      <c r="BJ501" s="49">
        <v>18.100000000000001</v>
      </c>
      <c r="BK501" s="126">
        <v>11701</v>
      </c>
      <c r="BL501" s="126">
        <v>43409</v>
      </c>
      <c r="BM501" s="126">
        <v>48401</v>
      </c>
      <c r="BN501" s="126">
        <v>39210</v>
      </c>
      <c r="BO501" s="59">
        <v>1.0200000000000001E-2</v>
      </c>
      <c r="BP501" s="59">
        <v>0.52039999999999997</v>
      </c>
      <c r="BQ501" s="59">
        <v>0.14410000000000001</v>
      </c>
      <c r="BR501" s="59">
        <v>1.0200000000000001E-2</v>
      </c>
      <c r="BS501" s="59">
        <v>0</v>
      </c>
      <c r="BT501" s="49">
        <v>11.2</v>
      </c>
      <c r="BU501" s="59">
        <f t="shared" si="36"/>
        <v>0.68489999999999995</v>
      </c>
      <c r="BV501" s="59">
        <v>3.0499999999999999E-2</v>
      </c>
      <c r="BW501" s="59">
        <v>0</v>
      </c>
      <c r="BX501" s="59">
        <v>4.0599999999999997E-2</v>
      </c>
      <c r="BY501" s="59">
        <v>0</v>
      </c>
      <c r="BZ501" s="59">
        <v>0</v>
      </c>
      <c r="CA501" s="49">
        <v>19.399999999999999</v>
      </c>
      <c r="CB501" s="59">
        <f t="shared" si="37"/>
        <v>7.1099999999999997E-2</v>
      </c>
      <c r="CC501" s="59">
        <v>0.2268</v>
      </c>
      <c r="CD501" s="59">
        <v>0.54069999999999996</v>
      </c>
      <c r="CE501" s="59">
        <v>0.22239999999999999</v>
      </c>
      <c r="CF501" s="59">
        <v>1.0200000000000001E-2</v>
      </c>
      <c r="CG501" s="59">
        <v>0</v>
      </c>
      <c r="CH501" s="49">
        <v>11.6</v>
      </c>
      <c r="CI501" s="39" t="s">
        <v>297</v>
      </c>
      <c r="CJ501" s="18" t="s">
        <v>479</v>
      </c>
      <c r="CK501" s="20"/>
    </row>
    <row r="502" spans="1:99" x14ac:dyDescent="0.25">
      <c r="A502" s="18" t="s">
        <v>479</v>
      </c>
      <c r="B502" s="39" t="s">
        <v>298</v>
      </c>
      <c r="C502" s="39" t="s">
        <v>299</v>
      </c>
      <c r="D502" s="40">
        <v>53</v>
      </c>
      <c r="E502" s="40" t="s">
        <v>83</v>
      </c>
      <c r="F502" s="40">
        <v>53</v>
      </c>
      <c r="G502" s="162" t="s">
        <v>83</v>
      </c>
      <c r="H502" s="162" t="s">
        <v>83</v>
      </c>
      <c r="I502" s="166">
        <v>3</v>
      </c>
      <c r="J502" s="166">
        <v>12</v>
      </c>
      <c r="K502" s="166">
        <v>14</v>
      </c>
      <c r="L502" s="166">
        <v>6</v>
      </c>
      <c r="M502" s="166">
        <v>18</v>
      </c>
      <c r="N502" s="119">
        <v>3.5738368172623103E-2</v>
      </c>
      <c r="O502" s="119">
        <v>3.5738368172623103E-2</v>
      </c>
      <c r="P502" s="116" t="s">
        <v>83</v>
      </c>
      <c r="Q502" s="116" t="s">
        <v>83</v>
      </c>
      <c r="R502" s="119">
        <v>4.5454545454545497E-2</v>
      </c>
      <c r="S502" s="119">
        <v>3.1662269129287601E-2</v>
      </c>
      <c r="T502" s="119">
        <v>3.5443037974683497E-2</v>
      </c>
      <c r="U502" s="119">
        <v>1.7595307917888599E-2</v>
      </c>
      <c r="V502" s="119">
        <v>5.9602649006622502E-2</v>
      </c>
      <c r="W502" s="40">
        <v>1378</v>
      </c>
      <c r="X502" s="40">
        <f t="shared" si="40"/>
        <v>1378</v>
      </c>
      <c r="Y502" s="40">
        <f t="shared" si="41"/>
        <v>1378</v>
      </c>
      <c r="Z502" s="105">
        <v>0.53555878084179998</v>
      </c>
      <c r="AA502" s="105">
        <v>0.46444121915820002</v>
      </c>
      <c r="AB502" s="106">
        <f>6/1378</f>
        <v>4.3541364296081275E-3</v>
      </c>
      <c r="AC502" s="106">
        <f>23/1378</f>
        <v>1.6690856313497822E-2</v>
      </c>
      <c r="AD502" s="106">
        <f>638/1378</f>
        <v>0.46298984034833091</v>
      </c>
      <c r="AE502" s="106">
        <f>26/1378</f>
        <v>1.8867924528301886E-2</v>
      </c>
      <c r="AF502" s="106">
        <v>0</v>
      </c>
      <c r="AG502" s="106">
        <f>682/1378</f>
        <v>0.49492017416545719</v>
      </c>
      <c r="AH502" s="106">
        <f>3/1378</f>
        <v>2.1770682148040637E-3</v>
      </c>
      <c r="AI502" s="106">
        <f>696/1378</f>
        <v>0.50507982583454281</v>
      </c>
      <c r="AJ502" s="105">
        <v>0.50943396226415094</v>
      </c>
      <c r="AK502" s="105">
        <v>6.5312046444121899E-3</v>
      </c>
      <c r="AL502" s="12">
        <v>0</v>
      </c>
      <c r="AM502" s="12">
        <v>0</v>
      </c>
      <c r="AN502" s="12">
        <v>63</v>
      </c>
      <c r="AO502" s="12">
        <v>355</v>
      </c>
      <c r="AP502" s="12">
        <v>359</v>
      </c>
      <c r="AQ502" s="12">
        <v>320</v>
      </c>
      <c r="AR502" s="12">
        <v>281</v>
      </c>
      <c r="AS502" s="59">
        <v>0.15071770334928231</v>
      </c>
      <c r="AT502" s="3">
        <v>9</v>
      </c>
      <c r="AU502" s="3">
        <v>6</v>
      </c>
      <c r="AV502" s="52">
        <v>55.4</v>
      </c>
      <c r="AW502" s="52">
        <v>21.6</v>
      </c>
      <c r="AX502" s="52">
        <v>21.9</v>
      </c>
      <c r="AY502" s="71">
        <v>1</v>
      </c>
      <c r="AZ502" s="59">
        <v>7.575757575757576E-2</v>
      </c>
      <c r="BA502" s="59">
        <v>0.12258953168044077</v>
      </c>
      <c r="BB502" s="78">
        <v>95.417561941488998</v>
      </c>
      <c r="BC502" s="49"/>
      <c r="BD502" s="90" t="s">
        <v>83</v>
      </c>
      <c r="BE502" s="90" t="s">
        <v>83</v>
      </c>
      <c r="BF502" s="49">
        <v>8.9</v>
      </c>
      <c r="BG502" s="49">
        <v>8.1999999999999993</v>
      </c>
      <c r="BH502" s="49">
        <v>5.7</v>
      </c>
      <c r="BI502" s="49">
        <v>4.5</v>
      </c>
      <c r="BJ502" s="49">
        <v>20.8</v>
      </c>
      <c r="BK502" s="126">
        <v>8856</v>
      </c>
      <c r="BL502" s="126">
        <v>48250</v>
      </c>
      <c r="BM502" s="126">
        <v>43071</v>
      </c>
      <c r="BN502" s="126">
        <v>37887</v>
      </c>
      <c r="BO502" s="59">
        <v>0</v>
      </c>
      <c r="BP502" s="59">
        <v>0.38929999999999998</v>
      </c>
      <c r="BQ502" s="59">
        <v>0.184</v>
      </c>
      <c r="BR502" s="59">
        <v>0</v>
      </c>
      <c r="BS502" s="59">
        <v>7.7999999999999996E-3</v>
      </c>
      <c r="BT502" s="49">
        <v>13.5</v>
      </c>
      <c r="BU502" s="59">
        <f t="shared" si="36"/>
        <v>0.58109999999999995</v>
      </c>
      <c r="BV502" s="59">
        <v>2.8400000000000002E-2</v>
      </c>
      <c r="BW502" s="59">
        <v>0</v>
      </c>
      <c r="BX502" s="59">
        <v>2.3699999999999999E-2</v>
      </c>
      <c r="BY502" s="59">
        <v>0</v>
      </c>
      <c r="BZ502" s="59">
        <v>0</v>
      </c>
      <c r="CA502" s="49">
        <v>19.399999999999999</v>
      </c>
      <c r="CB502" s="59">
        <f t="shared" si="37"/>
        <v>5.21E-2</v>
      </c>
      <c r="CC502" s="59">
        <v>0.37180000000000002</v>
      </c>
      <c r="CD502" s="59">
        <v>0.39710000000000001</v>
      </c>
      <c r="CE502" s="59">
        <v>0.2233</v>
      </c>
      <c r="CF502" s="59">
        <v>0</v>
      </c>
      <c r="CG502" s="59">
        <v>7.7999999999999996E-3</v>
      </c>
      <c r="CH502" s="49">
        <v>12.5</v>
      </c>
      <c r="CI502" s="39" t="s">
        <v>299</v>
      </c>
      <c r="CJ502" s="18" t="s">
        <v>479</v>
      </c>
      <c r="CK502" s="20"/>
    </row>
    <row r="503" spans="1:99" x14ac:dyDescent="0.25">
      <c r="A503" s="18" t="s">
        <v>479</v>
      </c>
      <c r="B503" s="39" t="s">
        <v>298</v>
      </c>
      <c r="C503" s="39" t="s">
        <v>300</v>
      </c>
      <c r="D503" s="40">
        <v>77</v>
      </c>
      <c r="E503" s="40" t="s">
        <v>83</v>
      </c>
      <c r="F503" s="40">
        <v>77</v>
      </c>
      <c r="G503" s="162" t="s">
        <v>83</v>
      </c>
      <c r="H503" s="162" t="s">
        <v>83</v>
      </c>
      <c r="I503" s="166">
        <v>8</v>
      </c>
      <c r="J503" s="166">
        <v>34</v>
      </c>
      <c r="K503" s="166">
        <v>20</v>
      </c>
      <c r="L503" s="166">
        <v>4</v>
      </c>
      <c r="M503" s="166">
        <v>11</v>
      </c>
      <c r="N503" s="119">
        <v>0.117199391171994</v>
      </c>
      <c r="O503" s="119">
        <v>0.117199391171994</v>
      </c>
      <c r="P503" s="116" t="s">
        <v>83</v>
      </c>
      <c r="Q503" s="116" t="s">
        <v>83</v>
      </c>
      <c r="R503" s="119">
        <v>0.140350877192982</v>
      </c>
      <c r="S503" s="119">
        <v>0.14912280701754399</v>
      </c>
      <c r="T503" s="119">
        <v>0.13888888888888901</v>
      </c>
      <c r="U503" s="119">
        <v>4.2105263157894701E-2</v>
      </c>
      <c r="V503" s="119">
        <v>8.2706766917293201E-2</v>
      </c>
      <c r="W503" s="40">
        <v>549</v>
      </c>
      <c r="X503" s="40">
        <f t="shared" si="40"/>
        <v>549</v>
      </c>
      <c r="Y503" s="40">
        <f t="shared" si="41"/>
        <v>549</v>
      </c>
      <c r="Z503" s="105">
        <v>0.49908925318761399</v>
      </c>
      <c r="AA503" s="105">
        <v>0.50091074681238601</v>
      </c>
      <c r="AB503" s="106">
        <f>3/549</f>
        <v>5.4644808743169399E-3</v>
      </c>
      <c r="AC503" s="106">
        <f>15/549</f>
        <v>2.7322404371584699E-2</v>
      </c>
      <c r="AD503" s="106">
        <f>373/549</f>
        <v>0.67941712204007287</v>
      </c>
      <c r="AE503" s="106">
        <f>17/549</f>
        <v>3.0965391621129327E-2</v>
      </c>
      <c r="AF503" s="106">
        <v>0</v>
      </c>
      <c r="AG503" s="106">
        <f>141/549</f>
        <v>0.25683060109289618</v>
      </c>
      <c r="AH503" s="106">
        <v>0</v>
      </c>
      <c r="AI503" s="106">
        <f>408/549</f>
        <v>0.74316939890710387</v>
      </c>
      <c r="AJ503" s="105">
        <v>0.7067395264116576</v>
      </c>
      <c r="AK503" s="105">
        <v>3.8251366120218601E-2</v>
      </c>
      <c r="AL503" s="12">
        <v>0</v>
      </c>
      <c r="AM503" s="12">
        <v>0</v>
      </c>
      <c r="AN503" s="12">
        <v>46</v>
      </c>
      <c r="AO503" s="12">
        <v>179</v>
      </c>
      <c r="AP503" s="12">
        <v>123</v>
      </c>
      <c r="AQ503" s="12">
        <v>85</v>
      </c>
      <c r="AR503" s="12">
        <v>116</v>
      </c>
      <c r="AS503" s="59">
        <v>0.20444444444444446</v>
      </c>
      <c r="AT503" s="3">
        <v>9</v>
      </c>
      <c r="AU503" s="3">
        <v>6</v>
      </c>
      <c r="AV503" s="52">
        <v>81.8</v>
      </c>
      <c r="AW503" s="52">
        <v>12.7</v>
      </c>
      <c r="AX503" s="52">
        <v>4.5999999999999996</v>
      </c>
      <c r="AY503" s="71">
        <v>1</v>
      </c>
      <c r="AZ503" s="59">
        <v>0.22082018927444794</v>
      </c>
      <c r="BA503" s="59">
        <v>6.9400630914826497E-2</v>
      </c>
      <c r="BB503" s="77">
        <v>92.419694779471001</v>
      </c>
      <c r="BC503" s="49"/>
      <c r="BD503" s="90" t="s">
        <v>83</v>
      </c>
      <c r="BE503" s="90" t="s">
        <v>83</v>
      </c>
      <c r="BF503" s="49">
        <v>29.1</v>
      </c>
      <c r="BG503" s="49">
        <v>13.8</v>
      </c>
      <c r="BH503" s="49">
        <v>6.3</v>
      </c>
      <c r="BI503" s="49">
        <v>6.3</v>
      </c>
      <c r="BJ503" s="49">
        <v>20.100000000000001</v>
      </c>
      <c r="BK503" s="126">
        <v>13811</v>
      </c>
      <c r="BL503" s="126">
        <v>48076</v>
      </c>
      <c r="BM503" s="126">
        <v>42539</v>
      </c>
      <c r="BN503" s="126">
        <v>34546</v>
      </c>
      <c r="BO503" s="59">
        <v>0</v>
      </c>
      <c r="BP503" s="59">
        <v>0.26669999999999999</v>
      </c>
      <c r="BQ503" s="59">
        <v>0.18010000000000001</v>
      </c>
      <c r="BR503" s="59">
        <v>0</v>
      </c>
      <c r="BS503" s="59">
        <v>0</v>
      </c>
      <c r="BT503" s="49">
        <v>12.5</v>
      </c>
      <c r="BU503" s="59">
        <f t="shared" si="36"/>
        <v>0.44679999999999997</v>
      </c>
      <c r="BV503" s="59">
        <v>4.2599999999999999E-2</v>
      </c>
      <c r="BW503" s="59">
        <v>0</v>
      </c>
      <c r="BX503" s="59">
        <v>2.1600000000000001E-2</v>
      </c>
      <c r="BY503" s="59">
        <v>1.01E-2</v>
      </c>
      <c r="BZ503" s="59">
        <v>0</v>
      </c>
      <c r="CA503" s="49">
        <v>16</v>
      </c>
      <c r="CB503" s="59">
        <f t="shared" si="37"/>
        <v>7.4300000000000005E-2</v>
      </c>
      <c r="CC503" s="59">
        <v>0.48949999999999999</v>
      </c>
      <c r="CD503" s="59">
        <v>0.26669999999999999</v>
      </c>
      <c r="CE503" s="59">
        <v>0.2336</v>
      </c>
      <c r="CF503" s="59">
        <v>1.01E-2</v>
      </c>
      <c r="CG503" s="59">
        <v>0</v>
      </c>
      <c r="CH503" s="49">
        <v>12.6</v>
      </c>
      <c r="CI503" s="39" t="s">
        <v>300</v>
      </c>
      <c r="CJ503" s="18" t="s">
        <v>479</v>
      </c>
      <c r="CK503" s="20"/>
    </row>
    <row r="504" spans="1:99" x14ac:dyDescent="0.25">
      <c r="A504" s="18" t="s">
        <v>479</v>
      </c>
      <c r="B504" s="39" t="s">
        <v>298</v>
      </c>
      <c r="C504" s="39" t="s">
        <v>301</v>
      </c>
      <c r="D504" s="40">
        <v>26</v>
      </c>
      <c r="E504" s="40">
        <v>1</v>
      </c>
      <c r="F504" s="40">
        <v>25</v>
      </c>
      <c r="G504" s="163">
        <v>0</v>
      </c>
      <c r="H504" s="166">
        <v>1</v>
      </c>
      <c r="I504" s="163">
        <v>0</v>
      </c>
      <c r="J504" s="166">
        <v>10</v>
      </c>
      <c r="K504" s="166">
        <v>11</v>
      </c>
      <c r="L504" s="166">
        <v>3</v>
      </c>
      <c r="M504" s="166">
        <v>1</v>
      </c>
      <c r="N504" s="119">
        <v>2.5024061597690099E-2</v>
      </c>
      <c r="O504" s="119">
        <v>3.7202380952381001E-2</v>
      </c>
      <c r="P504" s="115">
        <v>0</v>
      </c>
      <c r="Q504" s="119">
        <v>5.2910052910052898E-3</v>
      </c>
      <c r="R504" s="115">
        <v>0</v>
      </c>
      <c r="S504" s="119">
        <v>5.1282051282051301E-2</v>
      </c>
      <c r="T504" s="119">
        <v>5.6122448979591802E-2</v>
      </c>
      <c r="U504" s="119">
        <v>2.0547945205479499E-2</v>
      </c>
      <c r="V504" s="119">
        <v>8.8495575221238902E-3</v>
      </c>
      <c r="W504" s="40">
        <v>1135</v>
      </c>
      <c r="X504" s="40">
        <f t="shared" si="40"/>
        <v>637</v>
      </c>
      <c r="Y504" s="40">
        <f t="shared" si="41"/>
        <v>989</v>
      </c>
      <c r="Z504" s="105">
        <v>0.49162995594713699</v>
      </c>
      <c r="AA504" s="105">
        <v>0.50837004405286301</v>
      </c>
      <c r="AB504" s="106">
        <f>6/1135</f>
        <v>5.2863436123348016E-3</v>
      </c>
      <c r="AC504" s="106">
        <f>6/1135</f>
        <v>5.2863436123348016E-3</v>
      </c>
      <c r="AD504" s="106">
        <f>2/1135</f>
        <v>1.762114537444934E-3</v>
      </c>
      <c r="AE504" s="106">
        <f>7/1135</f>
        <v>6.1674008810572688E-3</v>
      </c>
      <c r="AF504" s="106">
        <v>0</v>
      </c>
      <c r="AG504" s="106">
        <f>1114/1135</f>
        <v>0.98149779735682818</v>
      </c>
      <c r="AH504" s="106">
        <v>0</v>
      </c>
      <c r="AI504" s="106">
        <f>21/1135</f>
        <v>1.8502202643171806E-2</v>
      </c>
      <c r="AJ504" s="105">
        <v>0.47136563876651982</v>
      </c>
      <c r="AK504" s="105">
        <v>0</v>
      </c>
      <c r="AL504" s="12">
        <v>171</v>
      </c>
      <c r="AM504" s="12">
        <v>181</v>
      </c>
      <c r="AN504" s="12">
        <v>21</v>
      </c>
      <c r="AO504" s="12">
        <v>183</v>
      </c>
      <c r="AP504" s="12">
        <v>182</v>
      </c>
      <c r="AQ504" s="12">
        <v>144</v>
      </c>
      <c r="AR504" s="12">
        <v>107</v>
      </c>
      <c r="AS504" s="59">
        <v>0.10294117647058823</v>
      </c>
      <c r="AT504" s="3">
        <v>6</v>
      </c>
      <c r="AU504" s="3">
        <v>6</v>
      </c>
      <c r="AV504" s="52">
        <v>58.7</v>
      </c>
      <c r="AW504" s="52">
        <v>21.4</v>
      </c>
      <c r="AX504" s="52">
        <v>19</v>
      </c>
      <c r="AY504" s="71">
        <v>0.9</v>
      </c>
      <c r="AZ504" s="59">
        <v>0.16329966329966331</v>
      </c>
      <c r="BA504" s="59">
        <v>6.8181818181818177E-2</v>
      </c>
      <c r="BB504" s="78">
        <v>93.819469859361107</v>
      </c>
      <c r="BC504" s="49"/>
      <c r="BD504" s="49">
        <v>0</v>
      </c>
      <c r="BE504" s="49">
        <v>0</v>
      </c>
      <c r="BF504" s="49">
        <v>4.0999999999999996</v>
      </c>
      <c r="BG504" s="49">
        <v>3</v>
      </c>
      <c r="BH504" s="49">
        <v>0.8</v>
      </c>
      <c r="BI504" s="49">
        <v>0.9</v>
      </c>
      <c r="BJ504" s="49">
        <v>20.5</v>
      </c>
      <c r="BK504" s="126">
        <v>9157</v>
      </c>
      <c r="BL504" s="126">
        <v>49047</v>
      </c>
      <c r="BM504" s="126">
        <v>42306</v>
      </c>
      <c r="BN504" s="126">
        <v>38700</v>
      </c>
      <c r="BO504" s="59">
        <v>0</v>
      </c>
      <c r="BP504" s="59">
        <v>0.44109999999999999</v>
      </c>
      <c r="BQ504" s="59">
        <v>0.13550000000000001</v>
      </c>
      <c r="BR504" s="59">
        <v>0</v>
      </c>
      <c r="BS504" s="59">
        <v>0</v>
      </c>
      <c r="BT504" s="49">
        <v>14.6</v>
      </c>
      <c r="BU504" s="59">
        <f t="shared" si="36"/>
        <v>0.5766</v>
      </c>
      <c r="BV504" s="59">
        <v>3.5499999999999997E-2</v>
      </c>
      <c r="BW504" s="59">
        <v>0</v>
      </c>
      <c r="BX504" s="59">
        <v>2.6599999999999999E-2</v>
      </c>
      <c r="BY504" s="59">
        <v>0</v>
      </c>
      <c r="BZ504" s="59">
        <v>0</v>
      </c>
      <c r="CA504" s="49">
        <v>18.600000000000001</v>
      </c>
      <c r="CB504" s="59">
        <f t="shared" si="37"/>
        <v>6.2099999999999995E-2</v>
      </c>
      <c r="CC504" s="59">
        <v>0.37019999999999997</v>
      </c>
      <c r="CD504" s="59">
        <v>0.45</v>
      </c>
      <c r="CE504" s="59">
        <v>0.17979999999999999</v>
      </c>
      <c r="CF504" s="59">
        <v>0</v>
      </c>
      <c r="CG504" s="59">
        <v>0</v>
      </c>
      <c r="CH504" s="49">
        <v>13.4</v>
      </c>
      <c r="CI504" s="39" t="s">
        <v>301</v>
      </c>
      <c r="CJ504" s="18" t="s">
        <v>479</v>
      </c>
      <c r="CK504" s="20"/>
    </row>
    <row r="505" spans="1:99" x14ac:dyDescent="0.25">
      <c r="A505" s="18" t="s">
        <v>479</v>
      </c>
      <c r="B505" s="39" t="s">
        <v>298</v>
      </c>
      <c r="C505" s="39" t="s">
        <v>302</v>
      </c>
      <c r="D505" s="40">
        <v>8</v>
      </c>
      <c r="E505" s="40">
        <v>0</v>
      </c>
      <c r="F505" s="40">
        <v>8</v>
      </c>
      <c r="G505" s="163">
        <v>0</v>
      </c>
      <c r="H505" s="163">
        <v>0</v>
      </c>
      <c r="I505" s="166">
        <v>2</v>
      </c>
      <c r="J505" s="166">
        <v>3</v>
      </c>
      <c r="K505" s="166">
        <v>2</v>
      </c>
      <c r="L505" s="166">
        <v>1</v>
      </c>
      <c r="M505" s="163">
        <v>0</v>
      </c>
      <c r="N505" s="119">
        <v>2.5974025974026E-2</v>
      </c>
      <c r="O505" s="119">
        <v>4.5197740112994399E-2</v>
      </c>
      <c r="P505" s="115">
        <v>0</v>
      </c>
      <c r="Q505" s="115">
        <v>0</v>
      </c>
      <c r="R505" s="119">
        <v>0.15384615384615399</v>
      </c>
      <c r="S505" s="119">
        <v>6.5217391304347797E-2</v>
      </c>
      <c r="T505" s="119">
        <v>4.3478260869565202E-2</v>
      </c>
      <c r="U505" s="119">
        <v>2.32558139534884E-2</v>
      </c>
      <c r="V505" s="115">
        <v>0</v>
      </c>
      <c r="W505" s="40">
        <v>665</v>
      </c>
      <c r="X505" s="40">
        <f t="shared" si="40"/>
        <v>163</v>
      </c>
      <c r="Y505" s="40">
        <f t="shared" si="41"/>
        <v>283</v>
      </c>
      <c r="Z505" s="105">
        <v>0.47067669172932303</v>
      </c>
      <c r="AA505" s="105">
        <v>0.52932330827067697</v>
      </c>
      <c r="AB505" s="106">
        <f>9/665</f>
        <v>1.3533834586466165E-2</v>
      </c>
      <c r="AC505" s="106">
        <f>19/665</f>
        <v>2.8571428571428571E-2</v>
      </c>
      <c r="AD505" s="106">
        <f>113/665</f>
        <v>0.1699248120300752</v>
      </c>
      <c r="AE505" s="106">
        <f>118/665</f>
        <v>0.1774436090225564</v>
      </c>
      <c r="AF505" s="106">
        <v>0</v>
      </c>
      <c r="AG505" s="106">
        <f>400/665</f>
        <v>0.60150375939849621</v>
      </c>
      <c r="AH505" s="106">
        <f>6/665</f>
        <v>9.0225563909774441E-3</v>
      </c>
      <c r="AI505" s="106">
        <f>265/665</f>
        <v>0.39849624060150374</v>
      </c>
      <c r="AJ505" s="105">
        <v>0.77293233082706769</v>
      </c>
      <c r="AK505" s="105">
        <v>8.8721804511278202E-2</v>
      </c>
      <c r="AL505" s="12">
        <v>66</v>
      </c>
      <c r="AM505" s="12">
        <v>54</v>
      </c>
      <c r="AN505" s="12">
        <v>11</v>
      </c>
      <c r="AO505" s="12">
        <v>40</v>
      </c>
      <c r="AP505" s="12">
        <v>42</v>
      </c>
      <c r="AQ505" s="12">
        <v>41</v>
      </c>
      <c r="AR505" s="12">
        <v>29</v>
      </c>
      <c r="AS505" s="59">
        <v>0.21568627450980393</v>
      </c>
      <c r="AT505" s="3">
        <v>1</v>
      </c>
      <c r="AU505" s="3">
        <v>6</v>
      </c>
      <c r="AV505" s="52">
        <v>83.5</v>
      </c>
      <c r="AW505" s="52">
        <v>13.9</v>
      </c>
      <c r="AX505" s="52">
        <v>2.2999999999999998</v>
      </c>
      <c r="AY505" s="71">
        <v>0.3</v>
      </c>
      <c r="AZ505" s="59">
        <v>0.1643646408839779</v>
      </c>
      <c r="BA505" s="59">
        <v>4.6961325966850827E-2</v>
      </c>
      <c r="BB505" s="77">
        <v>94.622515480295306</v>
      </c>
      <c r="BC505" s="49"/>
      <c r="BD505" s="49">
        <v>3.1</v>
      </c>
      <c r="BE505" s="49">
        <v>0</v>
      </c>
      <c r="BF505" s="49">
        <v>13.5</v>
      </c>
      <c r="BG505" s="49">
        <v>0</v>
      </c>
      <c r="BH505" s="49">
        <v>2.6</v>
      </c>
      <c r="BI505" s="49">
        <v>0</v>
      </c>
      <c r="BJ505" s="49">
        <v>19.399999999999999</v>
      </c>
      <c r="BK505" s="126">
        <v>11080</v>
      </c>
      <c r="BL505" s="126">
        <v>47136</v>
      </c>
      <c r="BM505" s="126">
        <v>44767</v>
      </c>
      <c r="BN505" s="126">
        <v>36808</v>
      </c>
      <c r="BO505" s="59">
        <v>0</v>
      </c>
      <c r="BP505" s="59">
        <v>0.42070000000000002</v>
      </c>
      <c r="BQ505" s="59">
        <v>0.1222</v>
      </c>
      <c r="BR505" s="59">
        <v>0</v>
      </c>
      <c r="BS505" s="59">
        <v>1.11E-2</v>
      </c>
      <c r="BT505" s="49">
        <v>15.1</v>
      </c>
      <c r="BU505" s="59">
        <f t="shared" si="36"/>
        <v>0.55400000000000005</v>
      </c>
      <c r="BV505" s="59">
        <v>3.3300000000000003E-2</v>
      </c>
      <c r="BW505" s="59">
        <v>0</v>
      </c>
      <c r="BX505" s="59">
        <v>3.3300000000000003E-2</v>
      </c>
      <c r="BY505" s="59">
        <v>0</v>
      </c>
      <c r="BZ505" s="59">
        <v>0</v>
      </c>
      <c r="CA505" s="49">
        <v>14</v>
      </c>
      <c r="CB505" s="59">
        <f t="shared" si="37"/>
        <v>6.6600000000000006E-2</v>
      </c>
      <c r="CC505" s="59">
        <v>0.39100000000000001</v>
      </c>
      <c r="CD505" s="59">
        <v>0.44240000000000002</v>
      </c>
      <c r="CE505" s="59">
        <v>0.1555</v>
      </c>
      <c r="CF505" s="59">
        <v>0</v>
      </c>
      <c r="CG505" s="59">
        <v>1.11E-2</v>
      </c>
      <c r="CH505" s="49">
        <v>13</v>
      </c>
      <c r="CI505" s="39" t="s">
        <v>302</v>
      </c>
      <c r="CJ505" s="18" t="s">
        <v>479</v>
      </c>
      <c r="CK505" s="20"/>
    </row>
    <row r="506" spans="1:99" x14ac:dyDescent="0.25">
      <c r="A506" s="18" t="s">
        <v>479</v>
      </c>
      <c r="B506" s="39" t="s">
        <v>298</v>
      </c>
      <c r="C506" s="39" t="s">
        <v>303</v>
      </c>
      <c r="D506" s="40">
        <v>11</v>
      </c>
      <c r="E506" s="40">
        <v>1</v>
      </c>
      <c r="F506" s="40">
        <v>10</v>
      </c>
      <c r="G506" s="163">
        <v>0</v>
      </c>
      <c r="H506" s="166">
        <v>1</v>
      </c>
      <c r="I506" s="163">
        <v>0</v>
      </c>
      <c r="J506" s="166">
        <v>1</v>
      </c>
      <c r="K506" s="166">
        <v>3</v>
      </c>
      <c r="L506" s="166">
        <v>4</v>
      </c>
      <c r="M506" s="166">
        <v>2</v>
      </c>
      <c r="N506" s="119">
        <v>2.8871391076115499E-2</v>
      </c>
      <c r="O506" s="119">
        <v>3.8461538461538498E-2</v>
      </c>
      <c r="P506" s="115">
        <v>0</v>
      </c>
      <c r="Q506" s="119">
        <v>1.5151515151515201E-2</v>
      </c>
      <c r="R506" s="115">
        <v>0</v>
      </c>
      <c r="S506" s="119">
        <v>1.20481927710843E-2</v>
      </c>
      <c r="T506" s="119">
        <v>5.6603773584905703E-2</v>
      </c>
      <c r="U506" s="119">
        <v>6.7796610169491497E-2</v>
      </c>
      <c r="V506" s="119">
        <v>3.125E-2</v>
      </c>
      <c r="W506" s="40">
        <v>828</v>
      </c>
      <c r="X506" s="40">
        <f t="shared" si="40"/>
        <v>241</v>
      </c>
      <c r="Y506" s="40">
        <f t="shared" si="41"/>
        <v>356</v>
      </c>
      <c r="Z506" s="105">
        <v>0.47222222222222199</v>
      </c>
      <c r="AA506" s="105">
        <v>0.52777777777777801</v>
      </c>
      <c r="AB506" s="106">
        <f>17/828</f>
        <v>2.0531400966183576E-2</v>
      </c>
      <c r="AC506" s="106">
        <f>6/828</f>
        <v>7.246376811594203E-3</v>
      </c>
      <c r="AD506" s="106">
        <f>9/828</f>
        <v>1.0869565217391304E-2</v>
      </c>
      <c r="AE506" s="106">
        <f>10/828</f>
        <v>1.2077294685990338E-2</v>
      </c>
      <c r="AF506" s="106">
        <v>0</v>
      </c>
      <c r="AG506" s="106">
        <f>784/828</f>
        <v>0.9468599033816425</v>
      </c>
      <c r="AH506" s="106">
        <f>2/828</f>
        <v>2.4154589371980675E-3</v>
      </c>
      <c r="AI506" s="106">
        <f>44/828</f>
        <v>5.3140096618357488E-2</v>
      </c>
      <c r="AJ506" s="105">
        <v>0.59178743961352653</v>
      </c>
      <c r="AK506" s="105">
        <v>2.4154589371980701E-3</v>
      </c>
      <c r="AL506" s="12">
        <v>52</v>
      </c>
      <c r="AM506" s="12">
        <v>63</v>
      </c>
      <c r="AN506" s="12">
        <v>1</v>
      </c>
      <c r="AO506" s="12">
        <v>76</v>
      </c>
      <c r="AP506" s="12">
        <v>49</v>
      </c>
      <c r="AQ506" s="12">
        <v>57</v>
      </c>
      <c r="AR506" s="12">
        <v>58</v>
      </c>
      <c r="AS506" s="59">
        <v>1.2987012987012988E-2</v>
      </c>
      <c r="AT506" s="3">
        <v>1</v>
      </c>
      <c r="AU506" s="3">
        <v>6</v>
      </c>
      <c r="AV506" s="52">
        <v>61.9</v>
      </c>
      <c r="AW506" s="52">
        <v>26.3</v>
      </c>
      <c r="AX506" s="52">
        <v>10.4</v>
      </c>
      <c r="AY506" s="71">
        <v>1.4</v>
      </c>
      <c r="AZ506" s="59">
        <v>6.3829787234042548E-2</v>
      </c>
      <c r="BA506" s="59">
        <v>4.4792833146696527E-2</v>
      </c>
      <c r="BB506" s="78">
        <v>92.796515684455102</v>
      </c>
      <c r="BC506" s="49"/>
      <c r="BD506" s="49">
        <v>0</v>
      </c>
      <c r="BE506" s="49">
        <v>0</v>
      </c>
      <c r="BF506" s="49">
        <v>4</v>
      </c>
      <c r="BG506" s="49">
        <v>4.2</v>
      </c>
      <c r="BH506" s="49">
        <v>0</v>
      </c>
      <c r="BI506" s="49">
        <v>3.4</v>
      </c>
      <c r="BJ506" s="49">
        <v>19.899999999999999</v>
      </c>
      <c r="BK506" s="126">
        <v>9920</v>
      </c>
      <c r="BL506" s="126">
        <v>47774</v>
      </c>
      <c r="BM506" s="126">
        <v>44939</v>
      </c>
      <c r="BN506" s="126">
        <v>36558</v>
      </c>
      <c r="BO506" s="59">
        <v>0</v>
      </c>
      <c r="BP506" s="59">
        <v>0.39889999999999998</v>
      </c>
      <c r="BQ506" s="59">
        <v>0.1237</v>
      </c>
      <c r="BR506" s="59">
        <v>0</v>
      </c>
      <c r="BS506" s="59">
        <v>0</v>
      </c>
      <c r="BT506" s="49">
        <v>14.5</v>
      </c>
      <c r="BU506" s="59">
        <f t="shared" si="36"/>
        <v>0.52259999999999995</v>
      </c>
      <c r="BV506" s="59">
        <v>2.9700000000000001E-2</v>
      </c>
      <c r="BW506" s="59">
        <v>0</v>
      </c>
      <c r="BX506" s="59">
        <v>2.9700000000000001E-2</v>
      </c>
      <c r="BY506" s="59">
        <v>0</v>
      </c>
      <c r="BZ506" s="59">
        <v>0</v>
      </c>
      <c r="CA506" s="49">
        <v>22</v>
      </c>
      <c r="CB506" s="59">
        <f t="shared" si="37"/>
        <v>5.9400000000000001E-2</v>
      </c>
      <c r="CC506" s="59">
        <v>0.42799999999999999</v>
      </c>
      <c r="CD506" s="59">
        <v>0.4088</v>
      </c>
      <c r="CE506" s="59">
        <v>0.16320000000000001</v>
      </c>
      <c r="CF506" s="59">
        <v>0</v>
      </c>
      <c r="CG506" s="59">
        <v>0</v>
      </c>
      <c r="CH506" s="49">
        <v>14.1</v>
      </c>
      <c r="CI506" s="39" t="s">
        <v>303</v>
      </c>
      <c r="CJ506" s="18" t="s">
        <v>479</v>
      </c>
      <c r="CK506" s="20"/>
    </row>
    <row r="507" spans="1:99" x14ac:dyDescent="0.25">
      <c r="A507" s="18" t="s">
        <v>479</v>
      </c>
      <c r="B507" s="39" t="s">
        <v>298</v>
      </c>
      <c r="C507" s="39" t="s">
        <v>304</v>
      </c>
      <c r="D507" s="40">
        <v>64</v>
      </c>
      <c r="E507" s="40" t="s">
        <v>83</v>
      </c>
      <c r="F507" s="40">
        <v>64</v>
      </c>
      <c r="G507" s="162" t="s">
        <v>83</v>
      </c>
      <c r="H507" s="162" t="s">
        <v>83</v>
      </c>
      <c r="I507" s="166">
        <v>1</v>
      </c>
      <c r="J507" s="166">
        <v>30</v>
      </c>
      <c r="K507" s="166">
        <v>17</v>
      </c>
      <c r="L507" s="166">
        <v>7</v>
      </c>
      <c r="M507" s="166">
        <v>9</v>
      </c>
      <c r="N507" s="119">
        <v>9.5808383233532898E-2</v>
      </c>
      <c r="O507" s="119">
        <v>9.5808383233532898E-2</v>
      </c>
      <c r="P507" s="116" t="s">
        <v>83</v>
      </c>
      <c r="Q507" s="116" t="s">
        <v>83</v>
      </c>
      <c r="R507" s="119">
        <v>1.49253731343284E-2</v>
      </c>
      <c r="S507" s="119">
        <v>0.146341463414634</v>
      </c>
      <c r="T507" s="119">
        <v>0.124087591240876</v>
      </c>
      <c r="U507" s="119">
        <v>6.08695652173913E-2</v>
      </c>
      <c r="V507" s="119">
        <v>6.25E-2</v>
      </c>
      <c r="W507" s="40">
        <v>580</v>
      </c>
      <c r="X507" s="40">
        <f t="shared" si="40"/>
        <v>580</v>
      </c>
      <c r="Y507" s="40">
        <f t="shared" si="41"/>
        <v>580</v>
      </c>
      <c r="Z507" s="105">
        <v>0.50862068965517204</v>
      </c>
      <c r="AA507" s="105">
        <v>0.49137931034482801</v>
      </c>
      <c r="AB507" s="106">
        <f>4/580</f>
        <v>6.8965517241379309E-3</v>
      </c>
      <c r="AC507" s="106">
        <v>0</v>
      </c>
      <c r="AD507" s="106">
        <f>569/580</f>
        <v>0.98103448275862071</v>
      </c>
      <c r="AE507" s="106">
        <v>0</v>
      </c>
      <c r="AF507" s="106">
        <v>0</v>
      </c>
      <c r="AG507" s="106">
        <f>7/580</f>
        <v>1.2068965517241379E-2</v>
      </c>
      <c r="AH507" s="106">
        <v>0</v>
      </c>
      <c r="AI507" s="106">
        <f>573/580</f>
        <v>0.98793103448275865</v>
      </c>
      <c r="AJ507" s="105">
        <v>0.8603448275862069</v>
      </c>
      <c r="AK507" s="105">
        <v>0</v>
      </c>
      <c r="AL507" s="12">
        <v>0</v>
      </c>
      <c r="AM507" s="12">
        <v>0</v>
      </c>
      <c r="AN507" s="12">
        <v>63</v>
      </c>
      <c r="AO507" s="12">
        <v>177</v>
      </c>
      <c r="AP507" s="12">
        <v>119</v>
      </c>
      <c r="AQ507" s="12">
        <v>97</v>
      </c>
      <c r="AR507" s="12">
        <v>124</v>
      </c>
      <c r="AS507" s="59">
        <v>0.26250000000000001</v>
      </c>
      <c r="AT507" s="3">
        <v>9</v>
      </c>
      <c r="AU507" s="3">
        <v>6</v>
      </c>
      <c r="AV507" s="52">
        <v>71.599999999999994</v>
      </c>
      <c r="AW507" s="52">
        <v>18.7</v>
      </c>
      <c r="AX507" s="52">
        <v>9.1999999999999993</v>
      </c>
      <c r="AY507" s="71">
        <v>0.6</v>
      </c>
      <c r="AZ507" s="59">
        <v>0.18153846153846154</v>
      </c>
      <c r="BA507" s="59">
        <v>0.17692307692307693</v>
      </c>
      <c r="BB507" s="77">
        <v>93.377702256206902</v>
      </c>
      <c r="BC507" s="49"/>
      <c r="BD507" s="90" t="s">
        <v>83</v>
      </c>
      <c r="BE507" s="90" t="s">
        <v>83</v>
      </c>
      <c r="BF507" s="49">
        <v>22.4</v>
      </c>
      <c r="BG507" s="49">
        <v>13.7</v>
      </c>
      <c r="BH507" s="49">
        <v>3.3</v>
      </c>
      <c r="BI507" s="49">
        <v>2.7</v>
      </c>
      <c r="BJ507" s="49">
        <v>17.5</v>
      </c>
      <c r="BK507" s="126">
        <v>12726</v>
      </c>
      <c r="BL507" s="126">
        <v>47735</v>
      </c>
      <c r="BM507" s="126">
        <v>46862</v>
      </c>
      <c r="BN507" s="126">
        <v>34240</v>
      </c>
      <c r="BO507" s="59">
        <v>0</v>
      </c>
      <c r="BP507" s="59">
        <v>0.22589999999999999</v>
      </c>
      <c r="BQ507" s="59">
        <v>0.2009</v>
      </c>
      <c r="BR507" s="59">
        <v>1.2200000000000001E-2</v>
      </c>
      <c r="BS507" s="59">
        <v>0</v>
      </c>
      <c r="BT507" s="49">
        <v>16</v>
      </c>
      <c r="BU507" s="59">
        <f t="shared" si="36"/>
        <v>0.43899999999999995</v>
      </c>
      <c r="BV507" s="59">
        <v>3.6499999999999998E-2</v>
      </c>
      <c r="BW507" s="59">
        <v>0</v>
      </c>
      <c r="BX507" s="59">
        <v>3.6499999999999998E-2</v>
      </c>
      <c r="BY507" s="59">
        <v>0</v>
      </c>
      <c r="BZ507" s="59">
        <v>0</v>
      </c>
      <c r="CA507" s="49">
        <v>29.3</v>
      </c>
      <c r="CB507" s="59">
        <f t="shared" si="37"/>
        <v>7.2999999999999995E-2</v>
      </c>
      <c r="CC507" s="59">
        <v>0.47589999999999999</v>
      </c>
      <c r="CD507" s="59">
        <v>0.23810000000000001</v>
      </c>
      <c r="CE507" s="59">
        <v>0.27389999999999998</v>
      </c>
      <c r="CF507" s="59">
        <v>1.2200000000000001E-2</v>
      </c>
      <c r="CG507" s="59">
        <v>0</v>
      </c>
      <c r="CH507" s="49">
        <v>15</v>
      </c>
      <c r="CI507" s="39" t="s">
        <v>304</v>
      </c>
      <c r="CJ507" s="18" t="s">
        <v>479</v>
      </c>
      <c r="CK507" s="20"/>
    </row>
    <row r="508" spans="1:99" x14ac:dyDescent="0.25">
      <c r="A508" s="18" t="s">
        <v>479</v>
      </c>
      <c r="B508" s="39" t="s">
        <v>298</v>
      </c>
      <c r="C508" s="39" t="s">
        <v>305</v>
      </c>
      <c r="D508" s="40">
        <v>63</v>
      </c>
      <c r="E508" s="40" t="s">
        <v>83</v>
      </c>
      <c r="F508" s="40">
        <v>63</v>
      </c>
      <c r="G508" s="162" t="s">
        <v>83</v>
      </c>
      <c r="H508" s="162" t="s">
        <v>83</v>
      </c>
      <c r="I508" s="163">
        <v>0</v>
      </c>
      <c r="J508" s="166">
        <v>20</v>
      </c>
      <c r="K508" s="166">
        <v>18</v>
      </c>
      <c r="L508" s="166">
        <v>16</v>
      </c>
      <c r="M508" s="166">
        <v>9</v>
      </c>
      <c r="N508" s="119">
        <v>4.1042345276872998E-2</v>
      </c>
      <c r="O508" s="119">
        <v>4.1042345276872998E-2</v>
      </c>
      <c r="P508" s="116" t="s">
        <v>83</v>
      </c>
      <c r="Q508" s="116" t="s">
        <v>83</v>
      </c>
      <c r="R508" s="115">
        <v>0</v>
      </c>
      <c r="S508" s="119">
        <v>4.33839479392625E-2</v>
      </c>
      <c r="T508" s="119">
        <v>4.6997389033942599E-2</v>
      </c>
      <c r="U508" s="119">
        <v>4.7477744807121698E-2</v>
      </c>
      <c r="V508" s="119">
        <v>2.7950310559006201E-2</v>
      </c>
      <c r="W508" s="40">
        <v>1444</v>
      </c>
      <c r="X508" s="40">
        <f t="shared" si="40"/>
        <v>1444</v>
      </c>
      <c r="Y508" s="40">
        <f t="shared" si="41"/>
        <v>1444</v>
      </c>
      <c r="Z508" s="105">
        <v>0.53739612188365604</v>
      </c>
      <c r="AA508" s="105">
        <v>0.46260387811634401</v>
      </c>
      <c r="AB508" s="106">
        <f>5/1444</f>
        <v>3.4626038781163434E-3</v>
      </c>
      <c r="AC508" s="106">
        <f>25/1444</f>
        <v>1.7313019390581719E-2</v>
      </c>
      <c r="AD508" s="106">
        <f>511/1444</f>
        <v>0.35387811634349031</v>
      </c>
      <c r="AE508" s="106">
        <f>21/1444</f>
        <v>1.4542936288088643E-2</v>
      </c>
      <c r="AF508" s="106">
        <f>2/1444</f>
        <v>1.3850415512465374E-3</v>
      </c>
      <c r="AG508" s="106">
        <f>876/1444</f>
        <v>0.60664819944598336</v>
      </c>
      <c r="AH508" s="106">
        <f>4/1444</f>
        <v>2.7700831024930748E-3</v>
      </c>
      <c r="AI508" s="106">
        <f>568/1444</f>
        <v>0.39335180055401664</v>
      </c>
      <c r="AJ508" s="105">
        <v>0.48545706371191133</v>
      </c>
      <c r="AK508" s="105">
        <v>6.9252077562326902E-4</v>
      </c>
      <c r="AL508" s="12">
        <v>0</v>
      </c>
      <c r="AM508" s="12">
        <v>0</v>
      </c>
      <c r="AN508" s="12">
        <v>30</v>
      </c>
      <c r="AO508" s="12">
        <v>421</v>
      </c>
      <c r="AP508" s="12">
        <v>359</v>
      </c>
      <c r="AQ508" s="12">
        <v>330</v>
      </c>
      <c r="AR508" s="12">
        <v>304</v>
      </c>
      <c r="AS508" s="59">
        <v>6.6518847006651879E-2</v>
      </c>
      <c r="AT508" s="3">
        <v>9</v>
      </c>
      <c r="AU508" s="3">
        <v>6</v>
      </c>
      <c r="AV508" s="52">
        <v>53.7</v>
      </c>
      <c r="AW508" s="52">
        <v>23.7</v>
      </c>
      <c r="AX508" s="52">
        <v>20.399999999999999</v>
      </c>
      <c r="AY508" s="71">
        <v>2.2999999999999998</v>
      </c>
      <c r="AZ508" s="59">
        <v>0.15678524374176547</v>
      </c>
      <c r="BA508" s="59">
        <v>7.8392621870882737E-2</v>
      </c>
      <c r="BB508" s="78">
        <v>95.706622670292504</v>
      </c>
      <c r="BC508" s="49"/>
      <c r="BD508" s="90" t="s">
        <v>83</v>
      </c>
      <c r="BE508" s="90" t="s">
        <v>83</v>
      </c>
      <c r="BF508" s="49">
        <v>13.2</v>
      </c>
      <c r="BG508" s="49">
        <v>2.4</v>
      </c>
      <c r="BH508" s="49">
        <v>3.1</v>
      </c>
      <c r="BI508" s="49">
        <v>2.6</v>
      </c>
      <c r="BJ508" s="49">
        <v>21.4</v>
      </c>
      <c r="BK508" s="126">
        <v>8835</v>
      </c>
      <c r="BL508" s="126">
        <v>47634</v>
      </c>
      <c r="BM508" s="126">
        <v>42396</v>
      </c>
      <c r="BN508" s="126">
        <v>38206</v>
      </c>
      <c r="BO508" s="59">
        <v>0</v>
      </c>
      <c r="BP508" s="59">
        <v>0.378</v>
      </c>
      <c r="BQ508" s="59">
        <v>0.21490000000000001</v>
      </c>
      <c r="BR508" s="59">
        <v>0</v>
      </c>
      <c r="BS508" s="59">
        <v>0</v>
      </c>
      <c r="BT508" s="49">
        <v>11.3</v>
      </c>
      <c r="BU508" s="59">
        <f t="shared" si="36"/>
        <v>0.59289999999999998</v>
      </c>
      <c r="BV508" s="59">
        <v>2.92E-2</v>
      </c>
      <c r="BW508" s="59">
        <v>3.2000000000000002E-3</v>
      </c>
      <c r="BX508" s="59">
        <v>1.46E-2</v>
      </c>
      <c r="BY508" s="59">
        <v>0</v>
      </c>
      <c r="BZ508" s="59">
        <v>7.3000000000000001E-3</v>
      </c>
      <c r="CA508" s="49">
        <v>18.600000000000001</v>
      </c>
      <c r="CB508" s="59">
        <f t="shared" si="37"/>
        <v>5.4300000000000001E-2</v>
      </c>
      <c r="CC508" s="59">
        <v>0.34670000000000001</v>
      </c>
      <c r="CD508" s="59">
        <v>0.40189999999999998</v>
      </c>
      <c r="CE508" s="59">
        <v>0.24410000000000001</v>
      </c>
      <c r="CF508" s="59">
        <v>0</v>
      </c>
      <c r="CG508" s="59">
        <v>7.3000000000000001E-3</v>
      </c>
      <c r="CH508" s="49">
        <v>11.4</v>
      </c>
      <c r="CI508" s="39" t="s">
        <v>305</v>
      </c>
      <c r="CJ508" s="18" t="s">
        <v>479</v>
      </c>
      <c r="CK508" s="20"/>
    </row>
    <row r="509" spans="1:99" x14ac:dyDescent="0.25">
      <c r="A509" s="18" t="s">
        <v>479</v>
      </c>
      <c r="B509" s="39" t="s">
        <v>298</v>
      </c>
      <c r="C509" s="39" t="s">
        <v>306</v>
      </c>
      <c r="D509" s="40">
        <v>0</v>
      </c>
      <c r="E509" s="40">
        <v>0</v>
      </c>
      <c r="F509" s="40">
        <v>0</v>
      </c>
      <c r="G509" s="163">
        <v>0</v>
      </c>
      <c r="H509" s="163">
        <v>0</v>
      </c>
      <c r="I509" s="163">
        <v>0</v>
      </c>
      <c r="J509" s="163">
        <v>0</v>
      </c>
      <c r="K509" s="163">
        <v>0</v>
      </c>
      <c r="L509" s="163">
        <v>0</v>
      </c>
      <c r="M509" s="163">
        <v>0</v>
      </c>
      <c r="N509" s="115">
        <v>0</v>
      </c>
      <c r="O509" s="115">
        <v>0</v>
      </c>
      <c r="P509" s="115">
        <v>0</v>
      </c>
      <c r="Q509" s="115">
        <v>0</v>
      </c>
      <c r="R509" s="115">
        <v>0</v>
      </c>
      <c r="S509" s="115">
        <v>0</v>
      </c>
      <c r="T509" s="115">
        <v>0</v>
      </c>
      <c r="U509" s="115">
        <v>0</v>
      </c>
      <c r="V509" s="115">
        <v>0</v>
      </c>
      <c r="W509" s="40">
        <v>290</v>
      </c>
      <c r="X509" s="40">
        <f t="shared" si="40"/>
        <v>62</v>
      </c>
      <c r="Y509" s="40">
        <f t="shared" si="41"/>
        <v>109</v>
      </c>
      <c r="Z509" s="105">
        <v>0.52413793103448303</v>
      </c>
      <c r="AA509" s="105">
        <v>0.47586206896551703</v>
      </c>
      <c r="AB509" s="106">
        <f>20/290</f>
        <v>6.8965517241379309E-2</v>
      </c>
      <c r="AC509" s="106">
        <f>2/290</f>
        <v>6.8965517241379309E-3</v>
      </c>
      <c r="AD509" s="106">
        <f>3/290</f>
        <v>1.0344827586206896E-2</v>
      </c>
      <c r="AE509" s="106">
        <f>13/290</f>
        <v>4.4827586206896551E-2</v>
      </c>
      <c r="AF509" s="106">
        <v>0</v>
      </c>
      <c r="AG509" s="106">
        <f>250/290</f>
        <v>0.86206896551724133</v>
      </c>
      <c r="AH509" s="106">
        <f>2/290</f>
        <v>6.8965517241379309E-3</v>
      </c>
      <c r="AI509" s="106">
        <f>40/290</f>
        <v>0.13793103448275862</v>
      </c>
      <c r="AJ509" s="105">
        <v>0.72758620689655173</v>
      </c>
      <c r="AK509" s="105">
        <v>4.13793103448276E-2</v>
      </c>
      <c r="AL509" s="12">
        <v>24</v>
      </c>
      <c r="AM509" s="12">
        <v>23</v>
      </c>
      <c r="AN509" s="12">
        <v>3</v>
      </c>
      <c r="AO509" s="12">
        <v>22</v>
      </c>
      <c r="AP509" s="12">
        <v>12</v>
      </c>
      <c r="AQ509" s="12">
        <v>14</v>
      </c>
      <c r="AR509" s="12">
        <v>11</v>
      </c>
      <c r="AS509" s="59">
        <v>0.12</v>
      </c>
      <c r="AT509" s="3">
        <v>1</v>
      </c>
      <c r="AU509" s="3">
        <v>6</v>
      </c>
      <c r="AV509" s="52">
        <v>68.900000000000006</v>
      </c>
      <c r="AW509" s="52">
        <v>28.1</v>
      </c>
      <c r="AX509" s="52">
        <v>3</v>
      </c>
      <c r="AY509" s="70">
        <v>0</v>
      </c>
      <c r="AZ509" s="59">
        <v>1.6181229773462782E-2</v>
      </c>
      <c r="BA509" s="59">
        <v>1.2944983818770227E-2</v>
      </c>
      <c r="BB509" s="77">
        <v>93.021616068010999</v>
      </c>
      <c r="BC509" s="49"/>
      <c r="BD509" s="49">
        <v>3.8</v>
      </c>
      <c r="BE509" s="49">
        <v>0</v>
      </c>
      <c r="BF509" s="49">
        <v>0</v>
      </c>
      <c r="BG509" s="49">
        <v>0</v>
      </c>
      <c r="BH509" s="49">
        <v>0</v>
      </c>
      <c r="BI509" s="49">
        <v>0</v>
      </c>
      <c r="BJ509" s="49">
        <v>18.600000000000001</v>
      </c>
      <c r="BK509" s="126">
        <v>11857</v>
      </c>
      <c r="BL509" s="126">
        <v>46278</v>
      </c>
      <c r="BM509" s="126">
        <v>46376</v>
      </c>
      <c r="BN509" s="126">
        <v>37167</v>
      </c>
      <c r="BO509" s="59">
        <v>0</v>
      </c>
      <c r="BP509" s="59">
        <v>0.33829999999999999</v>
      </c>
      <c r="BQ509" s="59">
        <v>0.13320000000000001</v>
      </c>
      <c r="BR509" s="59">
        <v>0</v>
      </c>
      <c r="BS509" s="59">
        <v>2.2200000000000001E-2</v>
      </c>
      <c r="BT509" s="49">
        <v>9.6</v>
      </c>
      <c r="BU509" s="59">
        <f t="shared" si="36"/>
        <v>0.49370000000000003</v>
      </c>
      <c r="BV509" s="59">
        <v>4.4400000000000002E-2</v>
      </c>
      <c r="BW509" s="59">
        <v>0</v>
      </c>
      <c r="BX509" s="59">
        <v>2.2200000000000001E-2</v>
      </c>
      <c r="BY509" s="59">
        <v>2.2200000000000001E-2</v>
      </c>
      <c r="BZ509" s="59">
        <v>0</v>
      </c>
      <c r="CA509" s="49">
        <v>14.5</v>
      </c>
      <c r="CB509" s="59">
        <f t="shared" si="37"/>
        <v>8.8800000000000004E-2</v>
      </c>
      <c r="CC509" s="59">
        <v>0.41399999999999998</v>
      </c>
      <c r="CD509" s="59">
        <v>0.36049999999999999</v>
      </c>
      <c r="CE509" s="59">
        <v>0.18110000000000001</v>
      </c>
      <c r="CF509" s="59">
        <v>2.2200000000000001E-2</v>
      </c>
      <c r="CG509" s="59">
        <v>2.2200000000000001E-2</v>
      </c>
      <c r="CH509" s="49">
        <v>13</v>
      </c>
      <c r="CI509" s="39" t="s">
        <v>306</v>
      </c>
      <c r="CJ509" s="18" t="s">
        <v>479</v>
      </c>
      <c r="CK509" s="20"/>
    </row>
    <row r="510" spans="1:99" x14ac:dyDescent="0.25">
      <c r="A510" s="18" t="s">
        <v>479</v>
      </c>
      <c r="B510" s="39" t="s">
        <v>298</v>
      </c>
      <c r="C510" s="39" t="s">
        <v>307</v>
      </c>
      <c r="D510" s="40">
        <v>18</v>
      </c>
      <c r="E510" s="40">
        <v>1</v>
      </c>
      <c r="F510" s="40">
        <v>17</v>
      </c>
      <c r="G510" s="163">
        <v>0</v>
      </c>
      <c r="H510" s="166">
        <v>1</v>
      </c>
      <c r="I510" s="163">
        <v>0</v>
      </c>
      <c r="J510" s="166">
        <v>2</v>
      </c>
      <c r="K510" s="166">
        <v>9</v>
      </c>
      <c r="L510" s="166">
        <v>5</v>
      </c>
      <c r="M510" s="166">
        <v>1</v>
      </c>
      <c r="N510" s="119">
        <v>4.3478260869565202E-2</v>
      </c>
      <c r="O510" s="119">
        <v>5.5374592833876198E-2</v>
      </c>
      <c r="P510" s="115">
        <v>0</v>
      </c>
      <c r="Q510" s="119">
        <v>1.5384615384615399E-2</v>
      </c>
      <c r="R510" s="115">
        <v>0</v>
      </c>
      <c r="S510" s="119">
        <v>2.5000000000000001E-2</v>
      </c>
      <c r="T510" s="119">
        <v>0.11111111111111099</v>
      </c>
      <c r="U510" s="119">
        <v>8.6206896551724102E-2</v>
      </c>
      <c r="V510" s="119">
        <v>1.5151515151515201E-2</v>
      </c>
      <c r="W510" s="40">
        <v>386</v>
      </c>
      <c r="X510" s="40">
        <f t="shared" si="40"/>
        <v>290</v>
      </c>
      <c r="Y510" s="40">
        <f t="shared" si="41"/>
        <v>386</v>
      </c>
      <c r="Z510" s="105">
        <v>0.5</v>
      </c>
      <c r="AA510" s="105">
        <v>0.5</v>
      </c>
      <c r="AB510" s="106">
        <f>2/386</f>
        <v>5.1813471502590676E-3</v>
      </c>
      <c r="AC510" s="106">
        <f>3/386</f>
        <v>7.7720207253886009E-3</v>
      </c>
      <c r="AD510" s="106">
        <f>135/386</f>
        <v>0.34974093264248707</v>
      </c>
      <c r="AE510" s="106">
        <f>82/386</f>
        <v>0.21243523316062177</v>
      </c>
      <c r="AF510" s="106">
        <v>0</v>
      </c>
      <c r="AG510" s="106">
        <f>164/386</f>
        <v>0.42487046632124353</v>
      </c>
      <c r="AH510" s="106">
        <v>0</v>
      </c>
      <c r="AI510" s="106">
        <f>222/386</f>
        <v>0.57512953367875652</v>
      </c>
      <c r="AJ510" s="105">
        <v>0.7409326424870466</v>
      </c>
      <c r="AK510" s="105">
        <v>5.4404145077720199E-2</v>
      </c>
      <c r="AL510" s="12">
        <v>35</v>
      </c>
      <c r="AM510" s="12">
        <v>61</v>
      </c>
      <c r="AN510" s="12">
        <v>20</v>
      </c>
      <c r="AO510" s="12">
        <v>75</v>
      </c>
      <c r="AP510" s="12">
        <v>76</v>
      </c>
      <c r="AQ510" s="12">
        <v>58</v>
      </c>
      <c r="AR510" s="12">
        <v>61</v>
      </c>
      <c r="AS510" s="59">
        <v>0.21052631578947367</v>
      </c>
      <c r="AT510" s="3">
        <v>7</v>
      </c>
      <c r="AU510" s="3">
        <v>6</v>
      </c>
      <c r="AV510" s="52">
        <v>73.900000000000006</v>
      </c>
      <c r="AW510" s="52">
        <v>14.7</v>
      </c>
      <c r="AX510" s="52">
        <v>11.4</v>
      </c>
      <c r="AY510" s="70">
        <v>0</v>
      </c>
      <c r="AZ510" s="59">
        <v>0.17560975609756097</v>
      </c>
      <c r="BA510" s="59">
        <v>8.2926829268292687E-2</v>
      </c>
      <c r="BB510" s="78">
        <v>94.518420591561394</v>
      </c>
      <c r="BC510" s="49"/>
      <c r="BD510" s="90" t="s">
        <v>83</v>
      </c>
      <c r="BE510" s="49">
        <v>2.2000000000000002</v>
      </c>
      <c r="BF510" s="49">
        <v>4.8</v>
      </c>
      <c r="BG510" s="49">
        <v>6.1</v>
      </c>
      <c r="BH510" s="49">
        <v>4.3</v>
      </c>
      <c r="BI510" s="49">
        <v>3.3</v>
      </c>
      <c r="BJ510" s="49">
        <v>19.3</v>
      </c>
      <c r="BK510" s="126">
        <v>11079</v>
      </c>
      <c r="BL510" s="126">
        <v>49199</v>
      </c>
      <c r="BM510" s="126">
        <v>46703</v>
      </c>
      <c r="BN510" s="126">
        <v>40112</v>
      </c>
      <c r="BO510" s="59">
        <v>0</v>
      </c>
      <c r="BP510" s="59">
        <v>0.39090000000000003</v>
      </c>
      <c r="BQ510" s="59">
        <v>0.17399999999999999</v>
      </c>
      <c r="BR510" s="59">
        <v>0</v>
      </c>
      <c r="BS510" s="59">
        <v>0</v>
      </c>
      <c r="BT510" s="49">
        <v>13.9</v>
      </c>
      <c r="BU510" s="59">
        <f t="shared" si="36"/>
        <v>0.56489999999999996</v>
      </c>
      <c r="BV510" s="59">
        <v>4.3499999999999997E-2</v>
      </c>
      <c r="BW510" s="59">
        <v>0</v>
      </c>
      <c r="BX510" s="59">
        <v>4.3499999999999997E-2</v>
      </c>
      <c r="BY510" s="59">
        <v>0</v>
      </c>
      <c r="BZ510" s="59">
        <v>0</v>
      </c>
      <c r="CA510" s="49">
        <v>19</v>
      </c>
      <c r="CB510" s="59">
        <f t="shared" si="37"/>
        <v>8.6999999999999994E-2</v>
      </c>
      <c r="CC510" s="59">
        <v>0.34810000000000002</v>
      </c>
      <c r="CD510" s="59">
        <v>0.39090000000000003</v>
      </c>
      <c r="CE510" s="59">
        <v>0.2611</v>
      </c>
      <c r="CF510" s="59">
        <v>0</v>
      </c>
      <c r="CG510" s="59">
        <v>0</v>
      </c>
      <c r="CH510" s="49">
        <v>13.1</v>
      </c>
      <c r="CI510" s="39" t="s">
        <v>307</v>
      </c>
      <c r="CJ510" s="18" t="s">
        <v>479</v>
      </c>
      <c r="CK510" s="20"/>
    </row>
    <row r="511" spans="1:99" x14ac:dyDescent="0.25">
      <c r="A511" s="18" t="s">
        <v>479</v>
      </c>
      <c r="B511" s="39" t="s">
        <v>298</v>
      </c>
      <c r="C511" s="39" t="s">
        <v>308</v>
      </c>
      <c r="D511" s="40">
        <v>60</v>
      </c>
      <c r="E511" s="40" t="s">
        <v>83</v>
      </c>
      <c r="F511" s="40">
        <v>60</v>
      </c>
      <c r="G511" s="162" t="s">
        <v>83</v>
      </c>
      <c r="H511" s="162" t="s">
        <v>83</v>
      </c>
      <c r="I511" s="166">
        <v>3</v>
      </c>
      <c r="J511" s="166">
        <v>21</v>
      </c>
      <c r="K511" s="166">
        <v>21</v>
      </c>
      <c r="L511" s="166">
        <v>4</v>
      </c>
      <c r="M511" s="166">
        <v>11</v>
      </c>
      <c r="N511" s="119">
        <v>5.2401746724890799E-2</v>
      </c>
      <c r="O511" s="119">
        <v>5.2401746724890799E-2</v>
      </c>
      <c r="P511" s="116" t="s">
        <v>83</v>
      </c>
      <c r="Q511" s="116" t="s">
        <v>83</v>
      </c>
      <c r="R511" s="119">
        <v>4.2253521126760597E-2</v>
      </c>
      <c r="S511" s="119">
        <v>7.0707070707070704E-2</v>
      </c>
      <c r="T511" s="119">
        <v>6.3636363636363602E-2</v>
      </c>
      <c r="U511" s="119">
        <v>1.7777777777777799E-2</v>
      </c>
      <c r="V511" s="119">
        <v>4.9549549549549599E-2</v>
      </c>
      <c r="W511" s="40">
        <v>1037</v>
      </c>
      <c r="X511" s="40">
        <f t="shared" si="40"/>
        <v>1037</v>
      </c>
      <c r="Y511" s="40">
        <f t="shared" si="41"/>
        <v>1037</v>
      </c>
      <c r="Z511" s="105">
        <v>0.497589199614272</v>
      </c>
      <c r="AA511" s="105">
        <v>0.50241080038572805</v>
      </c>
      <c r="AB511" s="106">
        <f>6/1037</f>
        <v>5.7859209257473485E-3</v>
      </c>
      <c r="AC511" s="106">
        <f>6/1037</f>
        <v>5.7859209257473485E-3</v>
      </c>
      <c r="AD511" s="106">
        <f>379/1037</f>
        <v>0.36547733847637415</v>
      </c>
      <c r="AE511" s="106">
        <f>21/1037</f>
        <v>2.0250723240115717E-2</v>
      </c>
      <c r="AF511" s="106">
        <v>0</v>
      </c>
      <c r="AG511" s="106">
        <f>623/1037</f>
        <v>0.60077145612343297</v>
      </c>
      <c r="AH511" s="106">
        <f>2/1037</f>
        <v>1.9286403085824494E-3</v>
      </c>
      <c r="AI511" s="106">
        <f>414/1037</f>
        <v>0.39922854387656703</v>
      </c>
      <c r="AJ511" s="105">
        <v>0.67116682738669242</v>
      </c>
      <c r="AK511" s="105">
        <v>9.6432015429122504E-4</v>
      </c>
      <c r="AL511" s="12">
        <v>0</v>
      </c>
      <c r="AM511" s="12">
        <v>0</v>
      </c>
      <c r="AN511" s="12">
        <v>59</v>
      </c>
      <c r="AO511" s="12">
        <v>263</v>
      </c>
      <c r="AP511" s="12">
        <v>300</v>
      </c>
      <c r="AQ511" s="12">
        <v>201</v>
      </c>
      <c r="AR511" s="12">
        <v>214</v>
      </c>
      <c r="AS511" s="59">
        <v>0.18322981366459629</v>
      </c>
      <c r="AT511" s="3">
        <v>9</v>
      </c>
      <c r="AU511" s="3">
        <v>6</v>
      </c>
      <c r="AV511" s="52">
        <v>62.4</v>
      </c>
      <c r="AW511" s="52">
        <v>19.8</v>
      </c>
      <c r="AX511" s="52">
        <v>16.8</v>
      </c>
      <c r="AY511" s="71">
        <v>1</v>
      </c>
      <c r="AZ511" s="59">
        <v>0.21492007104795738</v>
      </c>
      <c r="BA511" s="59">
        <v>9.5914742451154528E-2</v>
      </c>
      <c r="BB511" s="77">
        <v>93.8666944821112</v>
      </c>
      <c r="BC511" s="49"/>
      <c r="BD511" s="90" t="s">
        <v>83</v>
      </c>
      <c r="BE511" s="90" t="s">
        <v>83</v>
      </c>
      <c r="BF511" s="49">
        <v>6</v>
      </c>
      <c r="BG511" s="49">
        <v>2.6</v>
      </c>
      <c r="BH511" s="49">
        <v>2.6</v>
      </c>
      <c r="BI511" s="49">
        <v>2</v>
      </c>
      <c r="BJ511" s="49">
        <v>18.899999999999999</v>
      </c>
      <c r="BK511" s="126">
        <v>9974</v>
      </c>
      <c r="BL511" s="126">
        <v>47350</v>
      </c>
      <c r="BM511" s="126">
        <v>42859</v>
      </c>
      <c r="BN511" s="126">
        <v>37534</v>
      </c>
      <c r="BO511" s="59">
        <v>0</v>
      </c>
      <c r="BP511" s="59">
        <v>0.37830000000000003</v>
      </c>
      <c r="BQ511" s="59">
        <v>0.19800000000000001</v>
      </c>
      <c r="BR511" s="59">
        <v>9.1000000000000004E-3</v>
      </c>
      <c r="BS511" s="59">
        <v>0</v>
      </c>
      <c r="BT511" s="49">
        <v>12.4</v>
      </c>
      <c r="BU511" s="59">
        <f t="shared" si="36"/>
        <v>0.58540000000000003</v>
      </c>
      <c r="BV511" s="59">
        <v>3.4000000000000002E-2</v>
      </c>
      <c r="BW511" s="59">
        <v>0</v>
      </c>
      <c r="BX511" s="59">
        <v>2.7300000000000001E-2</v>
      </c>
      <c r="BY511" s="59">
        <v>0</v>
      </c>
      <c r="BZ511" s="59">
        <v>0</v>
      </c>
      <c r="CA511" s="49">
        <v>14.5</v>
      </c>
      <c r="CB511" s="59">
        <f t="shared" si="37"/>
        <v>6.1300000000000007E-2</v>
      </c>
      <c r="CC511" s="59">
        <v>0.36009999999999998</v>
      </c>
      <c r="CD511" s="59">
        <v>0.38740000000000002</v>
      </c>
      <c r="CE511" s="59">
        <v>0.24349999999999999</v>
      </c>
      <c r="CF511" s="59">
        <v>9.1000000000000004E-3</v>
      </c>
      <c r="CG511" s="59">
        <v>0</v>
      </c>
      <c r="CH511" s="49">
        <v>12.7</v>
      </c>
      <c r="CI511" s="39" t="s">
        <v>308</v>
      </c>
      <c r="CJ511" s="18" t="s">
        <v>479</v>
      </c>
      <c r="CK511" s="20"/>
    </row>
    <row r="512" spans="1:99" x14ac:dyDescent="0.25">
      <c r="A512" s="18" t="s">
        <v>479</v>
      </c>
      <c r="B512" s="39" t="s">
        <v>298</v>
      </c>
      <c r="C512" s="39" t="s">
        <v>135</v>
      </c>
      <c r="D512" s="40">
        <v>10</v>
      </c>
      <c r="E512" s="40">
        <v>2</v>
      </c>
      <c r="F512" s="40">
        <v>8</v>
      </c>
      <c r="G512" s="163">
        <v>0</v>
      </c>
      <c r="H512" s="166">
        <v>2</v>
      </c>
      <c r="I512" s="163">
        <v>0</v>
      </c>
      <c r="J512" s="166">
        <v>4</v>
      </c>
      <c r="K512" s="166">
        <v>1</v>
      </c>
      <c r="L512" s="166">
        <v>1</v>
      </c>
      <c r="M512" s="166">
        <v>2</v>
      </c>
      <c r="N512" s="119">
        <v>2.8011204481792701E-2</v>
      </c>
      <c r="O512" s="119">
        <v>3.6199095022624403E-2</v>
      </c>
      <c r="P512" s="115">
        <v>0</v>
      </c>
      <c r="Q512" s="119">
        <v>2.7777777777777801E-2</v>
      </c>
      <c r="R512" s="115">
        <v>0</v>
      </c>
      <c r="S512" s="119">
        <v>6.7796610169491497E-2</v>
      </c>
      <c r="T512" s="119">
        <v>1.7857142857142901E-2</v>
      </c>
      <c r="U512" s="119">
        <v>2.1739130434782601E-2</v>
      </c>
      <c r="V512" s="119">
        <v>3.9215686274509803E-2</v>
      </c>
      <c r="W512" s="40">
        <v>757</v>
      </c>
      <c r="X512" s="40">
        <f t="shared" si="40"/>
        <v>197</v>
      </c>
      <c r="Y512" s="40">
        <f t="shared" si="41"/>
        <v>321</v>
      </c>
      <c r="Z512" s="105">
        <v>0.48084544253632799</v>
      </c>
      <c r="AA512" s="105">
        <v>0.51915455746367201</v>
      </c>
      <c r="AB512" s="106">
        <f>13/757</f>
        <v>1.7173051519154558E-2</v>
      </c>
      <c r="AC512" s="106">
        <f>2/757</f>
        <v>2.6420079260237781E-3</v>
      </c>
      <c r="AD512" s="106">
        <f>283/757</f>
        <v>0.37384412153236457</v>
      </c>
      <c r="AE512" s="106">
        <f>11/757</f>
        <v>1.4531043593130779E-2</v>
      </c>
      <c r="AF512" s="106">
        <v>0</v>
      </c>
      <c r="AG512" s="106">
        <f>444/757</f>
        <v>0.5865257595772787</v>
      </c>
      <c r="AH512" s="106">
        <f>4/757</f>
        <v>5.2840158520475562E-3</v>
      </c>
      <c r="AI512" s="106">
        <f>313/757</f>
        <v>0.4134742404227213</v>
      </c>
      <c r="AJ512" s="105">
        <v>0.77675033025099072</v>
      </c>
      <c r="AK512" s="105">
        <v>0</v>
      </c>
      <c r="AL512" s="12">
        <v>58</v>
      </c>
      <c r="AM512" s="12">
        <v>66</v>
      </c>
      <c r="AN512" s="12">
        <v>9</v>
      </c>
      <c r="AO512" s="12">
        <v>49</v>
      </c>
      <c r="AP512" s="12">
        <v>48</v>
      </c>
      <c r="AQ512" s="12">
        <v>42</v>
      </c>
      <c r="AR512" s="12">
        <v>49</v>
      </c>
      <c r="AS512" s="59">
        <v>0.15517241379310345</v>
      </c>
      <c r="AT512" s="3">
        <v>1</v>
      </c>
      <c r="AU512" s="3">
        <v>6</v>
      </c>
      <c r="AV512" s="52">
        <v>67.5</v>
      </c>
      <c r="AW512" s="52">
        <v>27.5</v>
      </c>
      <c r="AX512" s="52">
        <v>5.0999999999999996</v>
      </c>
      <c r="AY512" s="70">
        <v>0</v>
      </c>
      <c r="AZ512" s="59">
        <v>0.11411764705882353</v>
      </c>
      <c r="BA512" s="59">
        <v>0.11176470588235295</v>
      </c>
      <c r="BB512" s="77">
        <v>93.534722821440099</v>
      </c>
      <c r="BC512" s="49"/>
      <c r="BD512" s="49">
        <v>1.8</v>
      </c>
      <c r="BE512" s="49">
        <v>0</v>
      </c>
      <c r="BF512" s="49">
        <v>4.3</v>
      </c>
      <c r="BG512" s="49">
        <v>8.3000000000000007</v>
      </c>
      <c r="BH512" s="49">
        <v>4.9000000000000004</v>
      </c>
      <c r="BI512" s="49">
        <v>0</v>
      </c>
      <c r="BJ512" s="49">
        <v>18.3</v>
      </c>
      <c r="BK512" s="126">
        <v>9457</v>
      </c>
      <c r="BL512" s="126">
        <v>47207</v>
      </c>
      <c r="BM512" s="126">
        <v>47230</v>
      </c>
      <c r="BN512" s="126">
        <v>37086</v>
      </c>
      <c r="BO512" s="59">
        <v>0</v>
      </c>
      <c r="BP512" s="59">
        <v>0.41460000000000002</v>
      </c>
      <c r="BQ512" s="59">
        <v>0.1648</v>
      </c>
      <c r="BR512" s="59">
        <v>0</v>
      </c>
      <c r="BS512" s="59">
        <v>0</v>
      </c>
      <c r="BT512" s="49">
        <v>12</v>
      </c>
      <c r="BU512" s="59">
        <f t="shared" si="36"/>
        <v>0.57940000000000003</v>
      </c>
      <c r="BV512" s="59">
        <v>2.1299999999999999E-2</v>
      </c>
      <c r="BW512" s="59">
        <v>0</v>
      </c>
      <c r="BX512" s="59">
        <v>2.4500000000000001E-2</v>
      </c>
      <c r="BY512" s="59">
        <v>0</v>
      </c>
      <c r="BZ512" s="59">
        <v>0</v>
      </c>
      <c r="CA512" s="49">
        <v>16.2</v>
      </c>
      <c r="CB512" s="59">
        <f t="shared" si="37"/>
        <v>4.58E-2</v>
      </c>
      <c r="CC512" s="59">
        <v>0.38400000000000001</v>
      </c>
      <c r="CD512" s="59">
        <v>0.41460000000000002</v>
      </c>
      <c r="CE512" s="59">
        <v>0.2014</v>
      </c>
      <c r="CF512" s="59">
        <v>0</v>
      </c>
      <c r="CG512" s="59">
        <v>0</v>
      </c>
      <c r="CH512" s="49">
        <v>11.1</v>
      </c>
      <c r="CI512" s="39" t="s">
        <v>135</v>
      </c>
      <c r="CJ512" s="18" t="s">
        <v>479</v>
      </c>
      <c r="CK512" s="20"/>
    </row>
    <row r="513" spans="1:89" x14ac:dyDescent="0.25">
      <c r="A513" s="18" t="s">
        <v>479</v>
      </c>
      <c r="B513" s="39" t="s">
        <v>309</v>
      </c>
      <c r="C513" s="39" t="s">
        <v>310</v>
      </c>
      <c r="D513" s="40">
        <v>8</v>
      </c>
      <c r="E513" s="40" t="s">
        <v>83</v>
      </c>
      <c r="F513" s="40">
        <v>8</v>
      </c>
      <c r="G513" s="162" t="s">
        <v>83</v>
      </c>
      <c r="H513" s="162" t="s">
        <v>83</v>
      </c>
      <c r="I513" s="163">
        <v>0</v>
      </c>
      <c r="J513" s="166">
        <v>2</v>
      </c>
      <c r="K513" s="166">
        <v>3</v>
      </c>
      <c r="L513" s="166">
        <v>1</v>
      </c>
      <c r="M513" s="166">
        <v>2</v>
      </c>
      <c r="N513" s="119">
        <v>2.02020202020202E-2</v>
      </c>
      <c r="O513" s="119">
        <v>2.02020202020202E-2</v>
      </c>
      <c r="P513" s="116" t="s">
        <v>83</v>
      </c>
      <c r="Q513" s="116" t="s">
        <v>83</v>
      </c>
      <c r="R513" s="115">
        <v>0</v>
      </c>
      <c r="S513" s="119">
        <v>2.1052631578947399E-2</v>
      </c>
      <c r="T513" s="119">
        <v>3.03030303030303E-2</v>
      </c>
      <c r="U513" s="119">
        <v>1.2987012987013E-2</v>
      </c>
      <c r="V513" s="119">
        <v>2.5974025974026E-2</v>
      </c>
      <c r="W513" s="40">
        <v>349</v>
      </c>
      <c r="X513" s="40">
        <f t="shared" si="40"/>
        <v>349</v>
      </c>
      <c r="Y513" s="40">
        <f t="shared" si="41"/>
        <v>349</v>
      </c>
      <c r="Z513" s="105">
        <v>0.48997134670487102</v>
      </c>
      <c r="AA513" s="105">
        <v>0.51002865329512903</v>
      </c>
      <c r="AB513" s="106">
        <f>2/349</f>
        <v>5.7306590257879654E-3</v>
      </c>
      <c r="AC513" s="106">
        <f>4/349</f>
        <v>1.1461318051575931E-2</v>
      </c>
      <c r="AD513" s="106">
        <f>242/349</f>
        <v>0.69340974212034379</v>
      </c>
      <c r="AE513" s="106">
        <f>3/349</f>
        <v>8.5959885386819486E-3</v>
      </c>
      <c r="AF513" s="106">
        <v>0</v>
      </c>
      <c r="AG513" s="106">
        <f>96/349</f>
        <v>0.27507163323782235</v>
      </c>
      <c r="AH513" s="106">
        <f>2/349</f>
        <v>5.7306590257879654E-3</v>
      </c>
      <c r="AI513" s="106">
        <f>253/349</f>
        <v>0.72492836676217765</v>
      </c>
      <c r="AJ513" s="105">
        <v>0.79942693409742116</v>
      </c>
      <c r="AK513" s="105">
        <v>0</v>
      </c>
      <c r="AL513" s="12">
        <v>0</v>
      </c>
      <c r="AM513" s="12">
        <v>0</v>
      </c>
      <c r="AN513" s="12">
        <v>47</v>
      </c>
      <c r="AO513" s="12">
        <v>81</v>
      </c>
      <c r="AP513" s="12">
        <v>87</v>
      </c>
      <c r="AQ513" s="12">
        <v>67</v>
      </c>
      <c r="AR513" s="12">
        <v>67</v>
      </c>
      <c r="AS513" s="59">
        <v>0.3671875</v>
      </c>
      <c r="AT513" s="3">
        <v>9</v>
      </c>
      <c r="AU513" s="3">
        <v>6</v>
      </c>
      <c r="AV513" s="52">
        <v>81.5</v>
      </c>
      <c r="AW513" s="52">
        <v>16.7</v>
      </c>
      <c r="AX513" s="52">
        <v>1.7</v>
      </c>
      <c r="AY513" s="70">
        <v>0</v>
      </c>
      <c r="AZ513" s="59">
        <v>0.26923076923076922</v>
      </c>
      <c r="BA513" s="59">
        <v>1.0256410256410256E-2</v>
      </c>
      <c r="BB513" s="78">
        <v>92.963407014640595</v>
      </c>
      <c r="BC513" s="49">
        <v>18.829516539440199</v>
      </c>
      <c r="BD513" s="90" t="s">
        <v>83</v>
      </c>
      <c r="BE513" s="90" t="s">
        <v>83</v>
      </c>
      <c r="BF513" s="49">
        <v>9.5</v>
      </c>
      <c r="BG513" s="49">
        <v>1.1000000000000001</v>
      </c>
      <c r="BH513" s="49">
        <v>1.5</v>
      </c>
      <c r="BI513" s="49">
        <v>2.9</v>
      </c>
      <c r="BJ513" s="49">
        <v>17.5</v>
      </c>
      <c r="BK513" s="126">
        <v>18299</v>
      </c>
      <c r="BL513" s="126">
        <v>62626</v>
      </c>
      <c r="BM513" s="126">
        <v>52484</v>
      </c>
      <c r="BN513" s="126">
        <v>50798</v>
      </c>
      <c r="BO513" s="59">
        <v>3.1E-2</v>
      </c>
      <c r="BP513" s="59">
        <v>0.2437</v>
      </c>
      <c r="BQ513" s="59">
        <v>0.28160000000000002</v>
      </c>
      <c r="BR513" s="59">
        <v>0</v>
      </c>
      <c r="BS513" s="59">
        <v>3.2899999999999999E-2</v>
      </c>
      <c r="BT513" s="49">
        <v>21</v>
      </c>
      <c r="BU513" s="59">
        <f t="shared" si="36"/>
        <v>0.58920000000000006</v>
      </c>
      <c r="BV513" s="59">
        <v>3.7699999999999997E-2</v>
      </c>
      <c r="BW513" s="59">
        <v>3.5900000000000001E-2</v>
      </c>
      <c r="BX513" s="59">
        <v>1.89E-2</v>
      </c>
      <c r="BY513" s="59">
        <v>0</v>
      </c>
      <c r="BZ513" s="59">
        <v>0</v>
      </c>
      <c r="CA513" s="49">
        <v>22.7</v>
      </c>
      <c r="CB513" s="59">
        <f t="shared" si="37"/>
        <v>9.2499999999999999E-2</v>
      </c>
      <c r="CC513" s="59">
        <v>0.31159999999999999</v>
      </c>
      <c r="CD513" s="59">
        <v>0.31730000000000003</v>
      </c>
      <c r="CE513" s="59">
        <v>0.3382</v>
      </c>
      <c r="CF513" s="59">
        <v>0</v>
      </c>
      <c r="CG513" s="59">
        <v>3.2899999999999999E-2</v>
      </c>
      <c r="CH513" s="49">
        <v>18.8</v>
      </c>
      <c r="CI513" s="39" t="s">
        <v>310</v>
      </c>
      <c r="CJ513" s="18" t="s">
        <v>479</v>
      </c>
      <c r="CK513" s="20"/>
    </row>
    <row r="514" spans="1:89" x14ac:dyDescent="0.25">
      <c r="A514" s="18" t="s">
        <v>479</v>
      </c>
      <c r="B514" s="39" t="s">
        <v>311</v>
      </c>
      <c r="C514" s="39" t="s">
        <v>312</v>
      </c>
      <c r="D514" s="40">
        <v>5</v>
      </c>
      <c r="E514" s="40" t="s">
        <v>83</v>
      </c>
      <c r="F514" s="40">
        <v>5</v>
      </c>
      <c r="G514" s="162" t="s">
        <v>83</v>
      </c>
      <c r="H514" s="162" t="s">
        <v>83</v>
      </c>
      <c r="I514" s="162" t="s">
        <v>83</v>
      </c>
      <c r="J514" s="166">
        <v>1</v>
      </c>
      <c r="K514" s="166">
        <v>3</v>
      </c>
      <c r="L514" s="166">
        <v>0</v>
      </c>
      <c r="M514" s="166">
        <v>1</v>
      </c>
      <c r="N514" s="119">
        <v>2.4752475247524799E-2</v>
      </c>
      <c r="O514" s="119">
        <v>2.4752475247524799E-2</v>
      </c>
      <c r="P514" s="116" t="s">
        <v>83</v>
      </c>
      <c r="Q514" s="116" t="s">
        <v>83</v>
      </c>
      <c r="R514" s="116" t="s">
        <v>83</v>
      </c>
      <c r="S514" s="119">
        <v>1.8181818181818198E-2</v>
      </c>
      <c r="T514" s="119">
        <v>6.1224489795918401E-2</v>
      </c>
      <c r="U514" s="119">
        <v>0</v>
      </c>
      <c r="V514" s="119">
        <v>1.9607843137254902E-2</v>
      </c>
      <c r="W514" s="40">
        <v>181</v>
      </c>
      <c r="X514" s="40">
        <f t="shared" si="40"/>
        <v>181</v>
      </c>
      <c r="Y514" s="40">
        <f t="shared" si="41"/>
        <v>181</v>
      </c>
      <c r="Z514" s="105">
        <v>0.524861878453039</v>
      </c>
      <c r="AA514" s="105">
        <v>0.475138121546961</v>
      </c>
      <c r="AB514" s="106">
        <v>0</v>
      </c>
      <c r="AC514" s="106">
        <v>0</v>
      </c>
      <c r="AD514" s="106">
        <f>172/181</f>
        <v>0.95027624309392267</v>
      </c>
      <c r="AE514" s="106">
        <v>0</v>
      </c>
      <c r="AF514" s="106">
        <v>0</v>
      </c>
      <c r="AG514" s="106">
        <f>7/181</f>
        <v>3.8674033149171269E-2</v>
      </c>
      <c r="AH514" s="106">
        <f>2/181</f>
        <v>1.1049723756906077E-2</v>
      </c>
      <c r="AI514" s="106">
        <f>174/181</f>
        <v>0.96132596685082872</v>
      </c>
      <c r="AJ514" s="105">
        <v>0.88397790055248615</v>
      </c>
      <c r="AK514" s="105">
        <v>0</v>
      </c>
      <c r="AL514" s="12">
        <v>0</v>
      </c>
      <c r="AM514" s="12">
        <v>0</v>
      </c>
      <c r="AN514" s="12">
        <v>0</v>
      </c>
      <c r="AO514" s="12">
        <v>46</v>
      </c>
      <c r="AP514" s="12">
        <v>43</v>
      </c>
      <c r="AQ514" s="12">
        <v>46</v>
      </c>
      <c r="AR514" s="12">
        <v>46</v>
      </c>
      <c r="AS514" s="59">
        <v>0</v>
      </c>
      <c r="AT514" s="3">
        <v>9</v>
      </c>
      <c r="AU514" s="3">
        <v>6</v>
      </c>
      <c r="AV514" s="52">
        <v>62.6</v>
      </c>
      <c r="AW514" s="52">
        <v>27.5</v>
      </c>
      <c r="AX514" s="52">
        <v>8.8000000000000007</v>
      </c>
      <c r="AY514" s="71">
        <v>1.1000000000000001</v>
      </c>
      <c r="AZ514" s="59">
        <v>0.13</v>
      </c>
      <c r="BA514" s="59">
        <v>0.33</v>
      </c>
      <c r="BB514" s="77">
        <v>91.560367843369903</v>
      </c>
      <c r="BC514" s="49">
        <v>48</v>
      </c>
      <c r="BD514" s="90" t="s">
        <v>83</v>
      </c>
      <c r="BE514" s="90" t="s">
        <v>83</v>
      </c>
      <c r="BF514" s="49">
        <v>8.3000000000000007</v>
      </c>
      <c r="BG514" s="49">
        <v>5.3</v>
      </c>
      <c r="BH514" s="49">
        <v>7</v>
      </c>
      <c r="BI514" s="49">
        <v>0</v>
      </c>
      <c r="BJ514" s="49">
        <v>15.7</v>
      </c>
      <c r="BK514" s="126">
        <v>13447</v>
      </c>
      <c r="BL514" s="126">
        <v>50978</v>
      </c>
      <c r="BM514" s="126">
        <v>61216</v>
      </c>
      <c r="BN514" s="126">
        <v>35362</v>
      </c>
      <c r="BO514" s="59">
        <v>0</v>
      </c>
      <c r="BP514" s="59">
        <v>0.1767</v>
      </c>
      <c r="BQ514" s="59">
        <v>0.1497</v>
      </c>
      <c r="BR514" s="59">
        <v>0</v>
      </c>
      <c r="BS514" s="59">
        <v>0</v>
      </c>
      <c r="BT514" s="49">
        <v>11.9</v>
      </c>
      <c r="BU514" s="59">
        <f t="shared" si="36"/>
        <v>0.32640000000000002</v>
      </c>
      <c r="BV514" s="59">
        <v>2.52E-2</v>
      </c>
      <c r="BW514" s="59">
        <v>0</v>
      </c>
      <c r="BX514" s="59">
        <v>8.4099999999999994E-2</v>
      </c>
      <c r="BY514" s="59">
        <v>0</v>
      </c>
      <c r="BZ514" s="59">
        <v>0</v>
      </c>
      <c r="CA514" s="49">
        <v>22.6</v>
      </c>
      <c r="CB514" s="59">
        <f t="shared" si="37"/>
        <v>0.10929999999999999</v>
      </c>
      <c r="CC514" s="59">
        <v>0.55800000000000005</v>
      </c>
      <c r="CD514" s="59">
        <v>0.1767</v>
      </c>
      <c r="CE514" s="59">
        <v>0.26529999999999998</v>
      </c>
      <c r="CF514" s="59">
        <v>0</v>
      </c>
      <c r="CG514" s="59">
        <v>0</v>
      </c>
      <c r="CH514" s="49">
        <v>15.3</v>
      </c>
      <c r="CI514" s="39" t="s">
        <v>312</v>
      </c>
      <c r="CJ514" s="18" t="s">
        <v>479</v>
      </c>
      <c r="CK514" s="20"/>
    </row>
    <row r="515" spans="1:89" x14ac:dyDescent="0.25">
      <c r="A515" s="18" t="s">
        <v>479</v>
      </c>
      <c r="B515" s="39" t="s">
        <v>311</v>
      </c>
      <c r="C515" s="39" t="s">
        <v>313</v>
      </c>
      <c r="D515" s="40">
        <v>8</v>
      </c>
      <c r="E515" s="40" t="s">
        <v>83</v>
      </c>
      <c r="F515" s="40">
        <v>8</v>
      </c>
      <c r="G515" s="162" t="s">
        <v>83</v>
      </c>
      <c r="H515" s="162" t="s">
        <v>83</v>
      </c>
      <c r="I515" s="162" t="s">
        <v>83</v>
      </c>
      <c r="J515" s="166">
        <v>1</v>
      </c>
      <c r="K515" s="166">
        <v>0</v>
      </c>
      <c r="L515" s="166">
        <v>4</v>
      </c>
      <c r="M515" s="166">
        <v>3</v>
      </c>
      <c r="N515" s="119">
        <v>2.3880597014925401E-2</v>
      </c>
      <c r="O515" s="119">
        <v>2.3880597014925401E-2</v>
      </c>
      <c r="P515" s="116" t="s">
        <v>83</v>
      </c>
      <c r="Q515" s="116" t="s">
        <v>83</v>
      </c>
      <c r="R515" s="116" t="s">
        <v>83</v>
      </c>
      <c r="S515" s="119">
        <v>9.7087378640776708E-3</v>
      </c>
      <c r="T515" s="119">
        <v>0</v>
      </c>
      <c r="U515" s="119">
        <v>4.7058823529411799E-2</v>
      </c>
      <c r="V515" s="119">
        <v>5.3571428571428603E-2</v>
      </c>
      <c r="W515" s="40">
        <v>311</v>
      </c>
      <c r="X515" s="40">
        <f t="shared" si="40"/>
        <v>311</v>
      </c>
      <c r="Y515" s="40">
        <f t="shared" si="41"/>
        <v>311</v>
      </c>
      <c r="Z515" s="105">
        <v>0.50803858520900302</v>
      </c>
      <c r="AA515" s="105">
        <v>0.49196141479099698</v>
      </c>
      <c r="AB515" s="106">
        <v>0</v>
      </c>
      <c r="AC515" s="106">
        <v>0</v>
      </c>
      <c r="AD515" s="106">
        <f>71/311</f>
        <v>0.22829581993569131</v>
      </c>
      <c r="AE515" s="106">
        <f>2/311</f>
        <v>6.4308681672025723E-3</v>
      </c>
      <c r="AF515" s="106">
        <v>0</v>
      </c>
      <c r="AG515" s="106">
        <f>234/311</f>
        <v>0.752411575562701</v>
      </c>
      <c r="AH515" s="106">
        <f>4/311</f>
        <v>1.2861736334405145E-2</v>
      </c>
      <c r="AI515" s="106">
        <f>77/311</f>
        <v>0.24758842443729903</v>
      </c>
      <c r="AJ515" s="105">
        <v>0.68167202572347263</v>
      </c>
      <c r="AK515" s="105">
        <v>0</v>
      </c>
      <c r="AL515" s="12">
        <v>0</v>
      </c>
      <c r="AM515" s="12">
        <v>0</v>
      </c>
      <c r="AN515" s="12">
        <v>0</v>
      </c>
      <c r="AO515" s="12">
        <v>95</v>
      </c>
      <c r="AP515" s="12">
        <v>85</v>
      </c>
      <c r="AQ515" s="12">
        <v>81</v>
      </c>
      <c r="AR515" s="12">
        <v>50</v>
      </c>
      <c r="AS515" s="59">
        <v>0</v>
      </c>
      <c r="AT515" s="3">
        <v>9</v>
      </c>
      <c r="AU515" s="3">
        <v>6</v>
      </c>
      <c r="AV515" s="52">
        <v>68</v>
      </c>
      <c r="AW515" s="52">
        <v>29.4</v>
      </c>
      <c r="AX515" s="52">
        <v>2.6</v>
      </c>
      <c r="AY515" s="70">
        <v>0</v>
      </c>
      <c r="AZ515" s="59">
        <v>1.5105740181268883E-2</v>
      </c>
      <c r="BA515" s="59">
        <v>0.16918429003021149</v>
      </c>
      <c r="BB515" s="78">
        <v>94.262148642210605</v>
      </c>
      <c r="BC515" s="49">
        <v>28.7009063444109</v>
      </c>
      <c r="BD515" s="90" t="s">
        <v>83</v>
      </c>
      <c r="BE515" s="90" t="s">
        <v>83</v>
      </c>
      <c r="BF515" s="49">
        <v>2.2999999999999998</v>
      </c>
      <c r="BG515" s="49">
        <v>1.3</v>
      </c>
      <c r="BH515" s="49">
        <v>0</v>
      </c>
      <c r="BI515" s="49">
        <v>0</v>
      </c>
      <c r="BJ515" s="49">
        <v>18.3</v>
      </c>
      <c r="BK515" s="126">
        <v>9927</v>
      </c>
      <c r="BL515" s="126">
        <v>52818</v>
      </c>
      <c r="BM515" s="126">
        <v>20275</v>
      </c>
      <c r="BN515" s="126">
        <v>33283</v>
      </c>
      <c r="BO515" s="59">
        <v>0</v>
      </c>
      <c r="BP515" s="59">
        <v>0.1817</v>
      </c>
      <c r="BQ515" s="59">
        <v>0.2326</v>
      </c>
      <c r="BR515" s="59">
        <v>0</v>
      </c>
      <c r="BS515" s="59">
        <v>0</v>
      </c>
      <c r="BT515" s="49">
        <v>13.7</v>
      </c>
      <c r="BU515" s="59">
        <f t="shared" ref="BU515:BU578" si="42">SUM(BO515:BS515)</f>
        <v>0.4143</v>
      </c>
      <c r="BV515" s="59">
        <v>2.5999999999999999E-2</v>
      </c>
      <c r="BW515" s="59">
        <v>0</v>
      </c>
      <c r="BX515" s="59">
        <v>0</v>
      </c>
      <c r="BY515" s="59">
        <v>0</v>
      </c>
      <c r="BZ515" s="59">
        <v>0</v>
      </c>
      <c r="CA515" s="49">
        <v>5</v>
      </c>
      <c r="CB515" s="59">
        <f t="shared" ref="CB515:CB578" si="43">SUM(BV515:BZ515)</f>
        <v>2.5999999999999999E-2</v>
      </c>
      <c r="CC515" s="59">
        <v>0.55979999999999996</v>
      </c>
      <c r="CD515" s="59">
        <v>0.1817</v>
      </c>
      <c r="CE515" s="59">
        <v>0.25850000000000001</v>
      </c>
      <c r="CF515" s="59">
        <v>0</v>
      </c>
      <c r="CG515" s="59">
        <v>0</v>
      </c>
      <c r="CH515" s="49">
        <v>10.9</v>
      </c>
      <c r="CI515" s="39" t="s">
        <v>313</v>
      </c>
      <c r="CJ515" s="18" t="s">
        <v>479</v>
      </c>
      <c r="CK515" s="20"/>
    </row>
    <row r="516" spans="1:89" x14ac:dyDescent="0.25">
      <c r="A516" s="18" t="s">
        <v>479</v>
      </c>
      <c r="B516" s="39" t="s">
        <v>311</v>
      </c>
      <c r="C516" s="39" t="s">
        <v>314</v>
      </c>
      <c r="D516" s="40">
        <v>20</v>
      </c>
      <c r="E516" s="40" t="s">
        <v>83</v>
      </c>
      <c r="F516" s="40">
        <v>20</v>
      </c>
      <c r="G516" s="162" t="s">
        <v>83</v>
      </c>
      <c r="H516" s="162" t="s">
        <v>83</v>
      </c>
      <c r="I516" s="162" t="s">
        <v>83</v>
      </c>
      <c r="J516" s="166">
        <v>6</v>
      </c>
      <c r="K516" s="166">
        <v>7</v>
      </c>
      <c r="L516" s="166">
        <v>3</v>
      </c>
      <c r="M516" s="166">
        <v>4</v>
      </c>
      <c r="N516" s="119">
        <v>3.90625E-2</v>
      </c>
      <c r="O516" s="119">
        <v>3.90625E-2</v>
      </c>
      <c r="P516" s="116" t="s">
        <v>83</v>
      </c>
      <c r="Q516" s="116" t="s">
        <v>83</v>
      </c>
      <c r="R516" s="116" t="s">
        <v>83</v>
      </c>
      <c r="S516" s="119">
        <v>3.1578947368421102E-2</v>
      </c>
      <c r="T516" s="119">
        <v>6.3063063063063099E-2</v>
      </c>
      <c r="U516" s="119">
        <v>2.9126213592233E-2</v>
      </c>
      <c r="V516" s="119">
        <v>3.7037037037037E-2</v>
      </c>
      <c r="W516" s="40">
        <v>434</v>
      </c>
      <c r="X516" s="40">
        <f t="shared" si="40"/>
        <v>434</v>
      </c>
      <c r="Y516" s="40">
        <f t="shared" si="41"/>
        <v>434</v>
      </c>
      <c r="Z516" s="105">
        <v>0.493087557603687</v>
      </c>
      <c r="AA516" s="105">
        <v>0.50691244239631295</v>
      </c>
      <c r="AB516" s="106">
        <v>0</v>
      </c>
      <c r="AC516" s="106">
        <f>4/434</f>
        <v>9.2165898617511521E-3</v>
      </c>
      <c r="AD516" s="106">
        <f>250/434</f>
        <v>0.57603686635944695</v>
      </c>
      <c r="AE516" s="106">
        <f>8/434</f>
        <v>1.8433179723502304E-2</v>
      </c>
      <c r="AF516" s="106">
        <v>0</v>
      </c>
      <c r="AG516" s="106">
        <f>170/434</f>
        <v>0.39170506912442399</v>
      </c>
      <c r="AH516" s="106">
        <f>2/434</f>
        <v>4.608294930875576E-3</v>
      </c>
      <c r="AI516" s="106">
        <f>264/434</f>
        <v>0.60829493087557607</v>
      </c>
      <c r="AJ516" s="105">
        <v>0.84562211981566815</v>
      </c>
      <c r="AK516" s="105">
        <v>1.1520737327188901E-2</v>
      </c>
      <c r="AL516" s="12">
        <v>0</v>
      </c>
      <c r="AM516" s="12">
        <v>0</v>
      </c>
      <c r="AN516" s="12">
        <v>0</v>
      </c>
      <c r="AO516" s="12">
        <v>154</v>
      </c>
      <c r="AP516" s="12">
        <v>93</v>
      </c>
      <c r="AQ516" s="12">
        <v>85</v>
      </c>
      <c r="AR516" s="12">
        <v>102</v>
      </c>
      <c r="AS516" s="59">
        <v>0</v>
      </c>
      <c r="AT516" s="3">
        <v>9</v>
      </c>
      <c r="AU516" s="3">
        <v>6</v>
      </c>
      <c r="AV516" s="52">
        <v>79.099999999999994</v>
      </c>
      <c r="AW516" s="52">
        <v>10.8</v>
      </c>
      <c r="AX516" s="52">
        <v>6.7</v>
      </c>
      <c r="AY516" s="71">
        <v>3.4</v>
      </c>
      <c r="AZ516" s="59">
        <v>0</v>
      </c>
      <c r="BA516" s="59">
        <v>0.14201183431952663</v>
      </c>
      <c r="BB516" s="77">
        <v>90.975663625194997</v>
      </c>
      <c r="BC516" s="49">
        <v>47.834645669291298</v>
      </c>
      <c r="BD516" s="90" t="s">
        <v>83</v>
      </c>
      <c r="BE516" s="90" t="s">
        <v>83</v>
      </c>
      <c r="BF516" s="49">
        <v>17.399999999999999</v>
      </c>
      <c r="BG516" s="49">
        <v>3.3</v>
      </c>
      <c r="BH516" s="49">
        <v>4.4000000000000004</v>
      </c>
      <c r="BI516" s="49">
        <v>5.2</v>
      </c>
      <c r="BJ516" s="49">
        <v>16.899999999999999</v>
      </c>
      <c r="BK516" s="126">
        <v>10509</v>
      </c>
      <c r="BL516" s="126">
        <v>52631</v>
      </c>
      <c r="BM516" s="126">
        <v>57776</v>
      </c>
      <c r="BN516" s="126">
        <v>44031</v>
      </c>
      <c r="BO516" s="59">
        <v>2.1999999999999999E-2</v>
      </c>
      <c r="BP516" s="59">
        <v>0.25430000000000003</v>
      </c>
      <c r="BQ516" s="59">
        <v>0.34910000000000002</v>
      </c>
      <c r="BR516" s="59">
        <v>0</v>
      </c>
      <c r="BS516" s="59">
        <v>0</v>
      </c>
      <c r="BT516" s="49">
        <v>12.1</v>
      </c>
      <c r="BU516" s="59">
        <f t="shared" si="42"/>
        <v>0.62540000000000007</v>
      </c>
      <c r="BV516" s="59">
        <v>2.1499999999999998E-2</v>
      </c>
      <c r="BW516" s="59">
        <v>0</v>
      </c>
      <c r="BX516" s="59">
        <v>4.3999999999999997E-2</v>
      </c>
      <c r="BY516" s="59">
        <v>0</v>
      </c>
      <c r="BZ516" s="59">
        <v>0</v>
      </c>
      <c r="CA516" s="49">
        <v>21.4</v>
      </c>
      <c r="CB516" s="59">
        <f t="shared" si="43"/>
        <v>6.5500000000000003E-2</v>
      </c>
      <c r="CC516" s="59">
        <v>0.32940000000000003</v>
      </c>
      <c r="CD516" s="59">
        <v>0.25430000000000003</v>
      </c>
      <c r="CE516" s="59">
        <v>0.4163</v>
      </c>
      <c r="CF516" s="59">
        <v>0</v>
      </c>
      <c r="CG516" s="59">
        <v>0</v>
      </c>
      <c r="CH516" s="49">
        <v>11.9</v>
      </c>
      <c r="CI516" s="39" t="s">
        <v>314</v>
      </c>
      <c r="CJ516" s="18" t="s">
        <v>479</v>
      </c>
      <c r="CK516" s="20"/>
    </row>
    <row r="517" spans="1:89" x14ac:dyDescent="0.25">
      <c r="A517" s="18" t="s">
        <v>479</v>
      </c>
      <c r="B517" s="39" t="s">
        <v>315</v>
      </c>
      <c r="C517" s="39" t="s">
        <v>316</v>
      </c>
      <c r="D517" s="40">
        <v>1</v>
      </c>
      <c r="E517" s="40">
        <v>0</v>
      </c>
      <c r="F517" s="40">
        <v>1</v>
      </c>
      <c r="G517" s="163">
        <v>0</v>
      </c>
      <c r="H517" s="163">
        <v>0</v>
      </c>
      <c r="I517" s="162" t="s">
        <v>83</v>
      </c>
      <c r="J517" s="166">
        <v>1</v>
      </c>
      <c r="K517" s="163">
        <v>0</v>
      </c>
      <c r="L517" s="163">
        <v>0</v>
      </c>
      <c r="M517" s="163">
        <v>0</v>
      </c>
      <c r="N517" s="119">
        <v>4.0816326530612197E-3</v>
      </c>
      <c r="O517" s="119">
        <v>6.41025641025641E-3</v>
      </c>
      <c r="P517" s="115">
        <v>0</v>
      </c>
      <c r="Q517" s="115">
        <v>0</v>
      </c>
      <c r="R517" s="116" t="s">
        <v>83</v>
      </c>
      <c r="S517" s="119">
        <v>2.4390243902439001E-2</v>
      </c>
      <c r="T517" s="115">
        <v>0</v>
      </c>
      <c r="U517" s="115">
        <v>0</v>
      </c>
      <c r="V517" s="115">
        <v>0</v>
      </c>
      <c r="W517" s="40">
        <v>568</v>
      </c>
      <c r="X517" s="40">
        <f t="shared" si="40"/>
        <v>148</v>
      </c>
      <c r="Y517" s="40">
        <f t="shared" si="41"/>
        <v>223</v>
      </c>
      <c r="Z517" s="105">
        <v>0.48063380281690099</v>
      </c>
      <c r="AA517" s="105">
        <v>0.51936619718309895</v>
      </c>
      <c r="AB517" s="106">
        <f>155/568</f>
        <v>0.272887323943662</v>
      </c>
      <c r="AC517" s="106">
        <v>0</v>
      </c>
      <c r="AD517" s="106">
        <f>6/568</f>
        <v>1.0563380281690141E-2</v>
      </c>
      <c r="AE517" s="106">
        <f>4/568</f>
        <v>7.0422535211267607E-3</v>
      </c>
      <c r="AF517" s="106">
        <v>0</v>
      </c>
      <c r="AG517" s="106">
        <f>386/568</f>
        <v>0.67957746478873238</v>
      </c>
      <c r="AH517" s="106">
        <f>17/568</f>
        <v>2.9929577464788731E-2</v>
      </c>
      <c r="AI517" s="106">
        <f>182/568</f>
        <v>0.32042253521126762</v>
      </c>
      <c r="AJ517" s="105">
        <v>0.54225352112676062</v>
      </c>
      <c r="AK517" s="105">
        <v>0</v>
      </c>
      <c r="AL517" s="12">
        <v>45</v>
      </c>
      <c r="AM517" s="12">
        <v>30</v>
      </c>
      <c r="AN517" s="12">
        <v>0</v>
      </c>
      <c r="AO517" s="12">
        <v>36</v>
      </c>
      <c r="AP517" s="12">
        <v>39</v>
      </c>
      <c r="AQ517" s="12">
        <v>38</v>
      </c>
      <c r="AR517" s="12">
        <v>35</v>
      </c>
      <c r="AS517" s="59">
        <v>0</v>
      </c>
      <c r="AT517" s="3">
        <v>1</v>
      </c>
      <c r="AU517" s="3">
        <v>6</v>
      </c>
      <c r="AV517" s="52">
        <v>70.8</v>
      </c>
      <c r="AW517" s="52">
        <v>24.7</v>
      </c>
      <c r="AX517" s="52">
        <v>4.5</v>
      </c>
      <c r="AY517" s="70">
        <v>0</v>
      </c>
      <c r="AZ517" s="59">
        <v>1.9448946515397084E-2</v>
      </c>
      <c r="BA517" s="59">
        <v>8.2658022690437608E-2</v>
      </c>
      <c r="BB517" s="78">
        <v>93.453936097310304</v>
      </c>
      <c r="BC517" s="49">
        <v>24.054982817869401</v>
      </c>
      <c r="BD517" s="49">
        <v>0</v>
      </c>
      <c r="BE517" s="49">
        <v>0</v>
      </c>
      <c r="BF517" s="49">
        <v>0</v>
      </c>
      <c r="BG517" s="49">
        <v>0</v>
      </c>
      <c r="BH517" s="49">
        <v>0</v>
      </c>
      <c r="BI517" s="49">
        <v>0</v>
      </c>
      <c r="BJ517" s="49">
        <v>18.7</v>
      </c>
      <c r="BK517" s="126">
        <v>9543</v>
      </c>
      <c r="BL517" s="126">
        <v>44996</v>
      </c>
      <c r="BM517" s="126">
        <v>33867</v>
      </c>
      <c r="BN517" s="126">
        <v>33806</v>
      </c>
      <c r="BO517" s="59">
        <v>0</v>
      </c>
      <c r="BP517" s="59">
        <v>0.3982</v>
      </c>
      <c r="BQ517" s="59">
        <v>0.1444</v>
      </c>
      <c r="BR517" s="59">
        <v>0</v>
      </c>
      <c r="BS517" s="59">
        <v>0</v>
      </c>
      <c r="BT517" s="49">
        <v>12.9</v>
      </c>
      <c r="BU517" s="59">
        <f t="shared" si="42"/>
        <v>0.54259999999999997</v>
      </c>
      <c r="BV517" s="59">
        <v>2.92E-2</v>
      </c>
      <c r="BW517" s="59">
        <v>0</v>
      </c>
      <c r="BX517" s="59">
        <v>1.46E-2</v>
      </c>
      <c r="BY517" s="59">
        <v>0</v>
      </c>
      <c r="BZ517" s="59">
        <v>0</v>
      </c>
      <c r="CA517" s="49">
        <v>11.3</v>
      </c>
      <c r="CB517" s="59">
        <f t="shared" si="43"/>
        <v>4.3799999999999999E-2</v>
      </c>
      <c r="CC517" s="59">
        <v>0.3992</v>
      </c>
      <c r="CD517" s="59">
        <v>0.44180000000000003</v>
      </c>
      <c r="CE517" s="59">
        <v>0.159</v>
      </c>
      <c r="CF517" s="59">
        <v>0</v>
      </c>
      <c r="CG517" s="59">
        <v>0</v>
      </c>
      <c r="CH517" s="49">
        <v>11.8</v>
      </c>
      <c r="CI517" s="39" t="s">
        <v>316</v>
      </c>
      <c r="CJ517" s="18" t="s">
        <v>479</v>
      </c>
      <c r="CK517" s="20"/>
    </row>
    <row r="518" spans="1:89" x14ac:dyDescent="0.25">
      <c r="A518" s="18" t="s">
        <v>479</v>
      </c>
      <c r="B518" s="39" t="s">
        <v>315</v>
      </c>
      <c r="C518" s="39" t="s">
        <v>317</v>
      </c>
      <c r="D518" s="40">
        <v>1</v>
      </c>
      <c r="E518" s="40">
        <v>0</v>
      </c>
      <c r="F518" s="40">
        <v>1</v>
      </c>
      <c r="G518" s="163">
        <v>0</v>
      </c>
      <c r="H518" s="163">
        <v>0</v>
      </c>
      <c r="I518" s="162" t="s">
        <v>83</v>
      </c>
      <c r="J518" s="166">
        <v>1</v>
      </c>
      <c r="K518" s="163">
        <v>0</v>
      </c>
      <c r="L518" s="163">
        <v>0</v>
      </c>
      <c r="M518" s="163">
        <v>0</v>
      </c>
      <c r="N518" s="119">
        <v>6.3694267515923596E-3</v>
      </c>
      <c r="O518" s="119">
        <v>1.05263157894737E-2</v>
      </c>
      <c r="P518" s="115">
        <v>0</v>
      </c>
      <c r="Q518" s="115">
        <v>0</v>
      </c>
      <c r="R518" s="116" t="s">
        <v>83</v>
      </c>
      <c r="S518" s="119">
        <v>3.4482758620689703E-2</v>
      </c>
      <c r="T518" s="115">
        <v>0</v>
      </c>
      <c r="U518" s="115">
        <v>0</v>
      </c>
      <c r="V518" s="115">
        <v>0</v>
      </c>
      <c r="W518" s="40">
        <v>303</v>
      </c>
      <c r="X518" s="40">
        <f t="shared" si="40"/>
        <v>92</v>
      </c>
      <c r="Y518" s="40">
        <f t="shared" si="41"/>
        <v>149</v>
      </c>
      <c r="Z518" s="105">
        <v>0.43234323432343202</v>
      </c>
      <c r="AA518" s="105">
        <v>0.56765676567656798</v>
      </c>
      <c r="AB518" s="106">
        <f>214/303</f>
        <v>0.70627062706270627</v>
      </c>
      <c r="AC518" s="106">
        <v>0</v>
      </c>
      <c r="AD518" s="106">
        <f>2/303</f>
        <v>6.6006600660066007E-3</v>
      </c>
      <c r="AE518" s="106">
        <f>1/303</f>
        <v>3.3003300330033004E-3</v>
      </c>
      <c r="AF518" s="106">
        <v>0</v>
      </c>
      <c r="AG518" s="106">
        <f>49/303</f>
        <v>0.1617161716171617</v>
      </c>
      <c r="AH518" s="106">
        <f>37/303</f>
        <v>0.12211221122112212</v>
      </c>
      <c r="AI518" s="106">
        <f>254/303</f>
        <v>0.83828382838283833</v>
      </c>
      <c r="AJ518" s="105">
        <v>0.67326732673267331</v>
      </c>
      <c r="AK518" s="105">
        <v>0</v>
      </c>
      <c r="AL518" s="12">
        <v>31</v>
      </c>
      <c r="AM518" s="12">
        <v>26</v>
      </c>
      <c r="AN518" s="12">
        <v>0</v>
      </c>
      <c r="AO518" s="12">
        <v>27</v>
      </c>
      <c r="AP518" s="12">
        <v>26</v>
      </c>
      <c r="AQ518" s="12">
        <v>22</v>
      </c>
      <c r="AR518" s="12">
        <v>17</v>
      </c>
      <c r="AS518" s="59">
        <v>0</v>
      </c>
      <c r="AT518" s="3">
        <v>1</v>
      </c>
      <c r="AU518" s="3">
        <v>6</v>
      </c>
      <c r="AV518" s="52">
        <v>68.2</v>
      </c>
      <c r="AW518" s="52">
        <v>26.4</v>
      </c>
      <c r="AX518" s="52">
        <v>4.7</v>
      </c>
      <c r="AY518" s="71">
        <v>0.7</v>
      </c>
      <c r="AZ518" s="59">
        <v>0</v>
      </c>
      <c r="BA518" s="59">
        <v>0.10443037974683544</v>
      </c>
      <c r="BB518" s="77">
        <v>93.558991842201394</v>
      </c>
      <c r="BC518" s="49">
        <v>15.789473684210501</v>
      </c>
      <c r="BD518" s="49">
        <v>0</v>
      </c>
      <c r="BE518" s="49">
        <v>0</v>
      </c>
      <c r="BF518" s="49">
        <v>0</v>
      </c>
      <c r="BG518" s="49">
        <v>0</v>
      </c>
      <c r="BH518" s="49">
        <v>0</v>
      </c>
      <c r="BI518" s="49">
        <v>0</v>
      </c>
      <c r="BJ518" s="49">
        <v>18.600000000000001</v>
      </c>
      <c r="BK518" s="126">
        <v>10586</v>
      </c>
      <c r="BL518" s="126">
        <v>45340</v>
      </c>
      <c r="BM518" s="126">
        <v>52372</v>
      </c>
      <c r="BN518" s="126">
        <v>32589</v>
      </c>
      <c r="BO518" s="59">
        <v>0</v>
      </c>
      <c r="BP518" s="59">
        <v>0.28000000000000003</v>
      </c>
      <c r="BQ518" s="59">
        <v>0.1396</v>
      </c>
      <c r="BR518" s="59">
        <v>0</v>
      </c>
      <c r="BS518" s="59">
        <v>0</v>
      </c>
      <c r="BT518" s="49">
        <v>15.8</v>
      </c>
      <c r="BU518" s="59">
        <f t="shared" si="42"/>
        <v>0.41960000000000003</v>
      </c>
      <c r="BV518" s="59">
        <v>2.3300000000000001E-2</v>
      </c>
      <c r="BW518" s="59">
        <v>0</v>
      </c>
      <c r="BX518" s="59">
        <v>4.6699999999999998E-2</v>
      </c>
      <c r="BY518" s="59">
        <v>0</v>
      </c>
      <c r="BZ518" s="59">
        <v>0</v>
      </c>
      <c r="CA518" s="49">
        <v>23</v>
      </c>
      <c r="CB518" s="59">
        <f t="shared" si="43"/>
        <v>7.0000000000000007E-2</v>
      </c>
      <c r="CC518" s="59">
        <v>0.443</v>
      </c>
      <c r="CD518" s="59">
        <v>0.3241</v>
      </c>
      <c r="CE518" s="59">
        <v>0.2329</v>
      </c>
      <c r="CF518" s="59">
        <v>0</v>
      </c>
      <c r="CG518" s="59">
        <v>0</v>
      </c>
      <c r="CH518" s="49">
        <v>13.8</v>
      </c>
      <c r="CI518" s="39" t="s">
        <v>317</v>
      </c>
      <c r="CJ518" s="18" t="s">
        <v>479</v>
      </c>
      <c r="CK518" s="20"/>
    </row>
    <row r="519" spans="1:89" x14ac:dyDescent="0.25">
      <c r="A519" s="18" t="s">
        <v>479</v>
      </c>
      <c r="B519" s="39" t="s">
        <v>315</v>
      </c>
      <c r="C519" s="39" t="s">
        <v>318</v>
      </c>
      <c r="D519" s="40">
        <v>3</v>
      </c>
      <c r="E519" s="40">
        <v>2</v>
      </c>
      <c r="F519" s="40">
        <v>1</v>
      </c>
      <c r="G519" s="163">
        <v>0</v>
      </c>
      <c r="H519" s="166">
        <v>2</v>
      </c>
      <c r="I519" s="162" t="s">
        <v>83</v>
      </c>
      <c r="J519" s="163">
        <v>0</v>
      </c>
      <c r="K519" s="163">
        <v>0</v>
      </c>
      <c r="L519" s="166">
        <v>1</v>
      </c>
      <c r="M519" s="163">
        <v>0</v>
      </c>
      <c r="N519" s="119">
        <v>1.2096774193548401E-2</v>
      </c>
      <c r="O519" s="119">
        <v>6.4935064935064896E-3</v>
      </c>
      <c r="P519" s="115">
        <v>0</v>
      </c>
      <c r="Q519" s="119">
        <v>4.4444444444444398E-2</v>
      </c>
      <c r="R519" s="116" t="s">
        <v>83</v>
      </c>
      <c r="S519" s="115">
        <v>0</v>
      </c>
      <c r="T519" s="115">
        <v>0</v>
      </c>
      <c r="U519" s="119">
        <v>2.7777777777777801E-2</v>
      </c>
      <c r="V519" s="115">
        <v>0</v>
      </c>
      <c r="W519" s="40">
        <v>550</v>
      </c>
      <c r="X519" s="40">
        <f t="shared" si="40"/>
        <v>146</v>
      </c>
      <c r="Y519" s="40">
        <f t="shared" si="41"/>
        <v>231</v>
      </c>
      <c r="Z519" s="105">
        <v>0.53818181818181798</v>
      </c>
      <c r="AA519" s="105">
        <v>0.46181818181818202</v>
      </c>
      <c r="AB519" s="106">
        <f>38/550</f>
        <v>6.9090909090909092E-2</v>
      </c>
      <c r="AC519" s="106">
        <f>1/550</f>
        <v>1.8181818181818182E-3</v>
      </c>
      <c r="AD519" s="106">
        <f>71/550</f>
        <v>0.12909090909090909</v>
      </c>
      <c r="AE519" s="106">
        <f>10/550</f>
        <v>1.8181818181818181E-2</v>
      </c>
      <c r="AF519" s="106">
        <v>0</v>
      </c>
      <c r="AG519" s="106">
        <f>422/550</f>
        <v>0.76727272727272722</v>
      </c>
      <c r="AH519" s="106">
        <f>8/550</f>
        <v>1.4545454545454545E-2</v>
      </c>
      <c r="AI519" s="106">
        <f>128/550</f>
        <v>0.23272727272727273</v>
      </c>
      <c r="AJ519" s="105">
        <v>0.57090909090909092</v>
      </c>
      <c r="AK519" s="105">
        <v>1.8181818181818199E-3</v>
      </c>
      <c r="AL519" s="12">
        <v>44</v>
      </c>
      <c r="AM519" s="12">
        <v>41</v>
      </c>
      <c r="AN519" s="12">
        <v>0</v>
      </c>
      <c r="AO519" s="12">
        <v>41</v>
      </c>
      <c r="AP519" s="12">
        <v>39</v>
      </c>
      <c r="AQ519" s="12">
        <v>33</v>
      </c>
      <c r="AR519" s="12">
        <v>33</v>
      </c>
      <c r="AS519" s="59">
        <v>0</v>
      </c>
      <c r="AT519" s="3">
        <v>1</v>
      </c>
      <c r="AU519" s="3">
        <v>6</v>
      </c>
      <c r="AV519" s="52">
        <v>76.900000000000006</v>
      </c>
      <c r="AW519" s="52">
        <v>19.8</v>
      </c>
      <c r="AX519" s="52">
        <v>2.1</v>
      </c>
      <c r="AY519" s="71">
        <v>1.2</v>
      </c>
      <c r="AZ519" s="59">
        <v>2.4711696869851731E-2</v>
      </c>
      <c r="BA519" s="59">
        <v>2.800658978583196E-2</v>
      </c>
      <c r="BB519" s="78">
        <v>94.654355689440806</v>
      </c>
      <c r="BC519" s="49">
        <v>16.5811965811966</v>
      </c>
      <c r="BD519" s="49">
        <v>2.2999999999999998</v>
      </c>
      <c r="BE519" s="49">
        <v>21.6</v>
      </c>
      <c r="BF519" s="49">
        <v>0</v>
      </c>
      <c r="BG519" s="49">
        <v>0</v>
      </c>
      <c r="BH519" s="49">
        <v>0</v>
      </c>
      <c r="BI519" s="49">
        <v>2.4</v>
      </c>
      <c r="BJ519" s="49">
        <v>19.3</v>
      </c>
      <c r="BK519" s="126">
        <v>10857</v>
      </c>
      <c r="BL519" s="126">
        <v>47724</v>
      </c>
      <c r="BM519" s="126">
        <v>42304</v>
      </c>
      <c r="BN519" s="126">
        <v>35734</v>
      </c>
      <c r="BO519" s="59">
        <v>0</v>
      </c>
      <c r="BP519" s="59">
        <v>0.42449999999999999</v>
      </c>
      <c r="BQ519" s="59">
        <v>7.9600000000000004E-2</v>
      </c>
      <c r="BR519" s="59">
        <v>1.3299999999999999E-2</v>
      </c>
      <c r="BS519" s="59">
        <v>0</v>
      </c>
      <c r="BT519" s="49">
        <v>16.5</v>
      </c>
      <c r="BU519" s="59">
        <f t="shared" si="42"/>
        <v>0.51739999999999997</v>
      </c>
      <c r="BV519" s="59">
        <v>2.6499999999999999E-2</v>
      </c>
      <c r="BW519" s="59">
        <v>0</v>
      </c>
      <c r="BX519" s="59">
        <v>2.6499999999999999E-2</v>
      </c>
      <c r="BY519" s="59">
        <v>0</v>
      </c>
      <c r="BZ519" s="59">
        <v>0</v>
      </c>
      <c r="CA519" s="49">
        <v>18.8</v>
      </c>
      <c r="CB519" s="59">
        <f t="shared" si="43"/>
        <v>5.2999999999999999E-2</v>
      </c>
      <c r="CC519" s="59">
        <v>0.37659999999999999</v>
      </c>
      <c r="CD519" s="59">
        <v>0.4642</v>
      </c>
      <c r="CE519" s="59">
        <v>0.14599999999999999</v>
      </c>
      <c r="CF519" s="59">
        <v>1.3299999999999999E-2</v>
      </c>
      <c r="CG519" s="59">
        <v>0</v>
      </c>
      <c r="CH519" s="49">
        <v>14.9</v>
      </c>
      <c r="CI519" s="39" t="s">
        <v>318</v>
      </c>
      <c r="CJ519" s="18" t="s">
        <v>479</v>
      </c>
      <c r="CK519" s="20"/>
    </row>
    <row r="520" spans="1:89" x14ac:dyDescent="0.25">
      <c r="A520" s="18" t="s">
        <v>479</v>
      </c>
      <c r="B520" s="39" t="s">
        <v>315</v>
      </c>
      <c r="C520" s="39" t="s">
        <v>319</v>
      </c>
      <c r="D520" s="40">
        <v>4</v>
      </c>
      <c r="E520" s="40" t="s">
        <v>83</v>
      </c>
      <c r="F520" s="40">
        <v>4</v>
      </c>
      <c r="G520" s="162" t="s">
        <v>83</v>
      </c>
      <c r="H520" s="162" t="s">
        <v>83</v>
      </c>
      <c r="I520" s="162" t="s">
        <v>83</v>
      </c>
      <c r="J520" s="163">
        <v>2</v>
      </c>
      <c r="K520" s="163">
        <v>1</v>
      </c>
      <c r="L520" s="163">
        <v>0</v>
      </c>
      <c r="M520" s="163">
        <v>1</v>
      </c>
      <c r="N520" s="115">
        <v>1.1904761904761901E-2</v>
      </c>
      <c r="O520" s="115">
        <v>1.1904761904761901E-2</v>
      </c>
      <c r="P520" s="116" t="s">
        <v>83</v>
      </c>
      <c r="Q520" s="116" t="s">
        <v>83</v>
      </c>
      <c r="R520" s="116" t="s">
        <v>83</v>
      </c>
      <c r="S520" s="115">
        <v>2.1505376344085999E-2</v>
      </c>
      <c r="T520" s="115">
        <v>1.2345679012345699E-2</v>
      </c>
      <c r="U520" s="115">
        <v>0</v>
      </c>
      <c r="V520" s="115">
        <v>1.4705882352941201E-2</v>
      </c>
      <c r="W520" s="40">
        <v>315</v>
      </c>
      <c r="X520" s="40">
        <f t="shared" si="40"/>
        <v>315</v>
      </c>
      <c r="Y520" s="40">
        <f t="shared" si="41"/>
        <v>315</v>
      </c>
      <c r="Z520" s="105">
        <v>0.50158730158730203</v>
      </c>
      <c r="AA520" s="105">
        <v>0.49841269841269797</v>
      </c>
      <c r="AB520" s="106">
        <f>18/315</f>
        <v>5.7142857142857141E-2</v>
      </c>
      <c r="AC520" s="106">
        <f>1/315</f>
        <v>3.1746031746031746E-3</v>
      </c>
      <c r="AD520" s="106">
        <f>120/315</f>
        <v>0.38095238095238093</v>
      </c>
      <c r="AE520" s="106">
        <f>10/315</f>
        <v>3.1746031746031744E-2</v>
      </c>
      <c r="AF520" s="106">
        <v>0</v>
      </c>
      <c r="AG520" s="106">
        <f>161/315</f>
        <v>0.51111111111111107</v>
      </c>
      <c r="AH520" s="106">
        <f>5/315</f>
        <v>1.5873015873015872E-2</v>
      </c>
      <c r="AI520" s="106">
        <f>154/315</f>
        <v>0.48888888888888887</v>
      </c>
      <c r="AJ520" s="105">
        <v>0.53650793650793649</v>
      </c>
      <c r="AK520" s="105">
        <v>3.1746031746031698E-3</v>
      </c>
      <c r="AL520" s="12">
        <v>0</v>
      </c>
      <c r="AM520" s="12">
        <v>0</v>
      </c>
      <c r="AN520" s="12">
        <v>0</v>
      </c>
      <c r="AO520" s="12">
        <v>88</v>
      </c>
      <c r="AP520" s="12">
        <v>74</v>
      </c>
      <c r="AQ520" s="12">
        <v>88</v>
      </c>
      <c r="AR520" s="12">
        <v>65</v>
      </c>
      <c r="AS520" s="59">
        <v>0</v>
      </c>
      <c r="AT520" s="3">
        <v>9</v>
      </c>
      <c r="AU520" s="3">
        <v>6</v>
      </c>
      <c r="AV520" s="52">
        <v>83.8</v>
      </c>
      <c r="AW520" s="52">
        <v>13.3</v>
      </c>
      <c r="AX520" s="52">
        <v>2.9</v>
      </c>
      <c r="AY520" s="70">
        <v>0</v>
      </c>
      <c r="AZ520" s="59">
        <v>0</v>
      </c>
      <c r="BA520" s="59">
        <v>8.6567164179104483E-2</v>
      </c>
      <c r="BB520" s="77">
        <v>94.693917274939196</v>
      </c>
      <c r="BC520" s="49">
        <v>13.920454545454501</v>
      </c>
      <c r="BD520" s="90" t="s">
        <v>83</v>
      </c>
      <c r="BE520" s="90" t="s">
        <v>83</v>
      </c>
      <c r="BF520" s="49">
        <v>0</v>
      </c>
      <c r="BG520" s="49">
        <v>0</v>
      </c>
      <c r="BH520" s="49">
        <v>0</v>
      </c>
      <c r="BI520" s="49">
        <v>1.2</v>
      </c>
      <c r="BJ520" s="49">
        <v>18.600000000000001</v>
      </c>
      <c r="BK520" s="126">
        <v>12810</v>
      </c>
      <c r="BL520" s="126">
        <v>44295</v>
      </c>
      <c r="BM520" s="126">
        <v>50322</v>
      </c>
      <c r="BN520" s="126">
        <v>32203</v>
      </c>
      <c r="BO520" s="59">
        <v>0</v>
      </c>
      <c r="BP520" s="59">
        <v>0.28970000000000001</v>
      </c>
      <c r="BQ520" s="59">
        <v>0.13619999999999999</v>
      </c>
      <c r="BR520" s="59">
        <v>0</v>
      </c>
      <c r="BS520" s="59">
        <v>0</v>
      </c>
      <c r="BT520" s="49">
        <v>10.7</v>
      </c>
      <c r="BU520" s="59">
        <f t="shared" si="42"/>
        <v>0.4259</v>
      </c>
      <c r="BV520" s="59">
        <v>1.7500000000000002E-2</v>
      </c>
      <c r="BW520" s="59">
        <v>0</v>
      </c>
      <c r="BX520" s="59">
        <v>3.5000000000000003E-2</v>
      </c>
      <c r="BY520" s="59">
        <v>0</v>
      </c>
      <c r="BZ520" s="59">
        <v>0</v>
      </c>
      <c r="CA520" s="49">
        <v>14</v>
      </c>
      <c r="CB520" s="59">
        <f t="shared" si="43"/>
        <v>5.2500000000000005E-2</v>
      </c>
      <c r="CC520" s="59">
        <v>0.46910000000000002</v>
      </c>
      <c r="CD520" s="59">
        <v>0.32469999999999999</v>
      </c>
      <c r="CE520" s="59">
        <v>0.20619999999999999</v>
      </c>
      <c r="CF520" s="59">
        <v>0</v>
      </c>
      <c r="CG520" s="59">
        <v>0</v>
      </c>
      <c r="CH520" s="49">
        <v>10.1</v>
      </c>
      <c r="CI520" s="39" t="s">
        <v>319</v>
      </c>
      <c r="CJ520" s="18" t="s">
        <v>479</v>
      </c>
      <c r="CK520" s="20"/>
    </row>
    <row r="521" spans="1:89" x14ac:dyDescent="0.25">
      <c r="A521" s="18" t="s">
        <v>479</v>
      </c>
      <c r="B521" s="39" t="s">
        <v>315</v>
      </c>
      <c r="C521" s="39" t="s">
        <v>320</v>
      </c>
      <c r="D521" s="40">
        <v>5</v>
      </c>
      <c r="E521" s="40">
        <v>1</v>
      </c>
      <c r="F521" s="40">
        <v>4</v>
      </c>
      <c r="G521" s="163">
        <v>1</v>
      </c>
      <c r="H521" s="163">
        <v>0</v>
      </c>
      <c r="I521" s="162" t="s">
        <v>83</v>
      </c>
      <c r="J521" s="163">
        <v>3</v>
      </c>
      <c r="K521" s="163">
        <v>1</v>
      </c>
      <c r="L521" s="163">
        <v>0</v>
      </c>
      <c r="M521" s="163">
        <v>0</v>
      </c>
      <c r="N521" s="115">
        <v>2.04081632653061E-2</v>
      </c>
      <c r="O521" s="115">
        <v>2.3391812865497099E-2</v>
      </c>
      <c r="P521" s="115">
        <v>3.03030303030303E-2</v>
      </c>
      <c r="Q521" s="115">
        <v>0</v>
      </c>
      <c r="R521" s="116" t="s">
        <v>83</v>
      </c>
      <c r="S521" s="115">
        <v>6.9767441860465101E-2</v>
      </c>
      <c r="T521" s="115">
        <v>2.27272727272727E-2</v>
      </c>
      <c r="U521" s="115">
        <v>0</v>
      </c>
      <c r="V521" s="115">
        <v>0</v>
      </c>
      <c r="W521" s="40">
        <v>515</v>
      </c>
      <c r="X521" s="40">
        <f t="shared" si="40"/>
        <v>159</v>
      </c>
      <c r="Y521" s="40">
        <f t="shared" si="41"/>
        <v>228</v>
      </c>
      <c r="Z521" s="105">
        <v>0.466019417475728</v>
      </c>
      <c r="AA521" s="105">
        <v>0.53398058252427205</v>
      </c>
      <c r="AB521" s="106">
        <f>38/515</f>
        <v>7.3786407766990289E-2</v>
      </c>
      <c r="AC521" s="106">
        <f>1/515</f>
        <v>1.9417475728155339E-3</v>
      </c>
      <c r="AD521" s="106">
        <f>48/515</f>
        <v>9.3203883495145634E-2</v>
      </c>
      <c r="AE521" s="106">
        <f>13/515</f>
        <v>2.524271844660194E-2</v>
      </c>
      <c r="AF521" s="106">
        <v>0</v>
      </c>
      <c r="AG521" s="106">
        <f>396/515</f>
        <v>0.76893203883495143</v>
      </c>
      <c r="AH521" s="106">
        <f>19/515</f>
        <v>3.6893203883495145E-2</v>
      </c>
      <c r="AI521" s="106">
        <f>119/515</f>
        <v>0.23106796116504855</v>
      </c>
      <c r="AJ521" s="105">
        <v>0.59223300970873782</v>
      </c>
      <c r="AK521" s="105">
        <v>1.94174757281553E-3</v>
      </c>
      <c r="AL521" s="12">
        <v>30</v>
      </c>
      <c r="AM521" s="12">
        <v>39</v>
      </c>
      <c r="AN521" s="12">
        <v>0</v>
      </c>
      <c r="AO521" s="12">
        <v>39</v>
      </c>
      <c r="AP521" s="12">
        <v>41</v>
      </c>
      <c r="AQ521" s="12">
        <v>39</v>
      </c>
      <c r="AR521" s="12">
        <v>40</v>
      </c>
      <c r="AS521" s="59">
        <v>0</v>
      </c>
      <c r="AT521" s="3">
        <v>1</v>
      </c>
      <c r="AU521" s="3">
        <v>6</v>
      </c>
      <c r="AV521" s="52">
        <v>92.1</v>
      </c>
      <c r="AW521" s="52">
        <v>5.9</v>
      </c>
      <c r="AX521" s="52">
        <v>1.3</v>
      </c>
      <c r="AY521" s="71">
        <v>0.7</v>
      </c>
      <c r="AZ521" s="59">
        <v>8.7260034904013961E-3</v>
      </c>
      <c r="BA521" s="59">
        <v>6.1082024432809773E-2</v>
      </c>
      <c r="BB521" s="78">
        <v>94.117088682692994</v>
      </c>
      <c r="BC521" s="49">
        <v>18.401486988847601</v>
      </c>
      <c r="BD521" s="49">
        <v>0</v>
      </c>
      <c r="BE521" s="49">
        <v>0</v>
      </c>
      <c r="BF521" s="49">
        <v>0</v>
      </c>
      <c r="BG521" s="49">
        <v>0</v>
      </c>
      <c r="BH521" s="49">
        <v>0</v>
      </c>
      <c r="BI521" s="49">
        <v>0</v>
      </c>
      <c r="BJ521" s="49">
        <v>19</v>
      </c>
      <c r="BK521" s="126">
        <v>10415</v>
      </c>
      <c r="BL521" s="126">
        <v>45751</v>
      </c>
      <c r="BM521" s="126">
        <v>43507</v>
      </c>
      <c r="BN521" s="126">
        <v>35566</v>
      </c>
      <c r="BO521" s="59">
        <v>0</v>
      </c>
      <c r="BP521" s="59">
        <v>0.43969999999999998</v>
      </c>
      <c r="BQ521" s="59">
        <v>0.1062</v>
      </c>
      <c r="BR521" s="59">
        <v>0</v>
      </c>
      <c r="BS521" s="59">
        <v>0</v>
      </c>
      <c r="BT521" s="49">
        <v>16</v>
      </c>
      <c r="BU521" s="59">
        <f t="shared" si="42"/>
        <v>0.54589999999999994</v>
      </c>
      <c r="BV521" s="59">
        <v>3.0300000000000001E-2</v>
      </c>
      <c r="BW521" s="59">
        <v>0</v>
      </c>
      <c r="BX521" s="59">
        <v>1.52E-2</v>
      </c>
      <c r="BY521" s="59">
        <v>1.52E-2</v>
      </c>
      <c r="BZ521" s="59">
        <v>0</v>
      </c>
      <c r="CA521" s="49">
        <v>16</v>
      </c>
      <c r="CB521" s="59">
        <f t="shared" si="43"/>
        <v>6.0699999999999997E-2</v>
      </c>
      <c r="CC521" s="59">
        <v>0.36309999999999998</v>
      </c>
      <c r="CD521" s="59">
        <v>0.47</v>
      </c>
      <c r="CE521" s="59">
        <v>0.1517</v>
      </c>
      <c r="CF521" s="59">
        <v>1.52E-2</v>
      </c>
      <c r="CG521" s="59">
        <v>0</v>
      </c>
      <c r="CH521" s="49">
        <v>13.6</v>
      </c>
      <c r="CI521" s="39" t="s">
        <v>320</v>
      </c>
      <c r="CJ521" s="18" t="s">
        <v>479</v>
      </c>
      <c r="CK521" s="20"/>
    </row>
    <row r="522" spans="1:89" x14ac:dyDescent="0.25">
      <c r="A522" s="18" t="s">
        <v>479</v>
      </c>
      <c r="B522" s="39" t="s">
        <v>315</v>
      </c>
      <c r="C522" s="39" t="s">
        <v>321</v>
      </c>
      <c r="D522" s="40">
        <v>0</v>
      </c>
      <c r="E522" s="40">
        <v>0</v>
      </c>
      <c r="F522" s="40">
        <v>0</v>
      </c>
      <c r="G522" s="163">
        <v>0</v>
      </c>
      <c r="H522" s="163">
        <v>0</v>
      </c>
      <c r="I522" s="162" t="s">
        <v>83</v>
      </c>
      <c r="J522" s="163">
        <v>0</v>
      </c>
      <c r="K522" s="163">
        <v>0</v>
      </c>
      <c r="L522" s="163">
        <v>0</v>
      </c>
      <c r="M522" s="163">
        <v>0</v>
      </c>
      <c r="N522" s="115">
        <v>0</v>
      </c>
      <c r="O522" s="115">
        <v>0</v>
      </c>
      <c r="P522" s="115">
        <v>0</v>
      </c>
      <c r="Q522" s="115">
        <v>0</v>
      </c>
      <c r="R522" s="116" t="s">
        <v>83</v>
      </c>
      <c r="S522" s="115">
        <v>0</v>
      </c>
      <c r="T522" s="115">
        <v>0</v>
      </c>
      <c r="U522" s="115">
        <v>0</v>
      </c>
      <c r="V522" s="115">
        <v>0</v>
      </c>
      <c r="W522" s="40">
        <v>288</v>
      </c>
      <c r="X522" s="40">
        <f t="shared" si="40"/>
        <v>69</v>
      </c>
      <c r="Y522" s="40">
        <f t="shared" si="41"/>
        <v>123</v>
      </c>
      <c r="Z522" s="105">
        <v>0.48263888888888901</v>
      </c>
      <c r="AA522" s="105">
        <v>0.51736111111111105</v>
      </c>
      <c r="AB522" s="106">
        <f>6/288</f>
        <v>2.0833333333333332E-2</v>
      </c>
      <c r="AC522" s="106">
        <v>0</v>
      </c>
      <c r="AD522" s="106">
        <f>102/288</f>
        <v>0.35416666666666669</v>
      </c>
      <c r="AE522" s="106">
        <f>2/288</f>
        <v>6.9444444444444441E-3</v>
      </c>
      <c r="AF522" s="106">
        <v>0</v>
      </c>
      <c r="AG522" s="106">
        <f>169/288</f>
        <v>0.58680555555555558</v>
      </c>
      <c r="AH522" s="106">
        <f>9/288</f>
        <v>3.125E-2</v>
      </c>
      <c r="AI522" s="106">
        <f>119/288</f>
        <v>0.41319444444444442</v>
      </c>
      <c r="AJ522" s="105">
        <v>0.73263888888888884</v>
      </c>
      <c r="AK522" s="105">
        <v>0</v>
      </c>
      <c r="AL522" s="12">
        <v>28</v>
      </c>
      <c r="AM522" s="12">
        <v>26</v>
      </c>
      <c r="AN522" s="12">
        <v>0</v>
      </c>
      <c r="AO522" s="12">
        <v>18</v>
      </c>
      <c r="AP522" s="12">
        <v>20</v>
      </c>
      <c r="AQ522" s="12">
        <v>13</v>
      </c>
      <c r="AR522" s="12">
        <v>18</v>
      </c>
      <c r="AS522" s="59">
        <v>0</v>
      </c>
      <c r="AT522" s="3">
        <v>1</v>
      </c>
      <c r="AU522" s="3">
        <v>6</v>
      </c>
      <c r="AV522" s="52">
        <v>70.3</v>
      </c>
      <c r="AW522" s="52">
        <v>20.7</v>
      </c>
      <c r="AX522" s="52">
        <v>9</v>
      </c>
      <c r="AY522" s="70">
        <v>0</v>
      </c>
      <c r="AZ522" s="59">
        <v>8.1504702194357362E-2</v>
      </c>
      <c r="BA522" s="59">
        <v>7.8369905956112859E-2</v>
      </c>
      <c r="BB522" s="77">
        <v>96.593531020338403</v>
      </c>
      <c r="BC522" s="49">
        <v>20.7920792079208</v>
      </c>
      <c r="BD522" s="49">
        <v>0</v>
      </c>
      <c r="BE522" s="49">
        <v>3.6</v>
      </c>
      <c r="BF522" s="49">
        <v>5.9</v>
      </c>
      <c r="BG522" s="49">
        <v>4.8</v>
      </c>
      <c r="BH522" s="49">
        <v>0</v>
      </c>
      <c r="BI522" s="49">
        <v>0</v>
      </c>
      <c r="BJ522" s="49">
        <v>17.5</v>
      </c>
      <c r="BK522" s="126">
        <v>10722</v>
      </c>
      <c r="BL522" s="126">
        <v>43533</v>
      </c>
      <c r="BM522" s="126">
        <v>48430</v>
      </c>
      <c r="BN522" s="126">
        <v>32402</v>
      </c>
      <c r="BO522" s="59">
        <v>0</v>
      </c>
      <c r="BP522" s="59">
        <v>0.26</v>
      </c>
      <c r="BQ522" s="59">
        <v>0.2077</v>
      </c>
      <c r="BR522" s="59">
        <v>0</v>
      </c>
      <c r="BS522" s="59">
        <v>0</v>
      </c>
      <c r="BT522" s="49">
        <v>9.8000000000000007</v>
      </c>
      <c r="BU522" s="59">
        <f t="shared" si="42"/>
        <v>0.4677</v>
      </c>
      <c r="BV522" s="59">
        <v>2.3599999999999999E-2</v>
      </c>
      <c r="BW522" s="59">
        <v>0</v>
      </c>
      <c r="BX522" s="59">
        <v>4.6199999999999998E-2</v>
      </c>
      <c r="BY522" s="59">
        <v>0</v>
      </c>
      <c r="BZ522" s="59">
        <v>0</v>
      </c>
      <c r="CA522" s="49">
        <v>13.2</v>
      </c>
      <c r="CB522" s="59">
        <f t="shared" si="43"/>
        <v>6.9800000000000001E-2</v>
      </c>
      <c r="CC522" s="59">
        <v>0.39529999999999998</v>
      </c>
      <c r="CD522" s="59">
        <v>0.32719999999999999</v>
      </c>
      <c r="CE522" s="59">
        <v>0.25390000000000001</v>
      </c>
      <c r="CF522" s="59">
        <v>2.3599999999999999E-2</v>
      </c>
      <c r="CG522" s="59">
        <v>0</v>
      </c>
      <c r="CH522" s="49">
        <v>10.7</v>
      </c>
      <c r="CI522" s="39" t="s">
        <v>321</v>
      </c>
      <c r="CJ522" s="18" t="s">
        <v>479</v>
      </c>
      <c r="CK522" s="20"/>
    </row>
    <row r="523" spans="1:89" x14ac:dyDescent="0.25">
      <c r="A523" s="18" t="s">
        <v>479</v>
      </c>
      <c r="B523" s="39" t="s">
        <v>315</v>
      </c>
      <c r="C523" s="39" t="s">
        <v>322</v>
      </c>
      <c r="D523" s="40">
        <v>2</v>
      </c>
      <c r="E523" s="40">
        <v>1</v>
      </c>
      <c r="F523" s="40">
        <v>1</v>
      </c>
      <c r="G523" s="163">
        <v>0</v>
      </c>
      <c r="H523" s="163">
        <v>1</v>
      </c>
      <c r="I523" s="162" t="s">
        <v>83</v>
      </c>
      <c r="J523" s="163">
        <v>0</v>
      </c>
      <c r="K523" s="163">
        <v>1</v>
      </c>
      <c r="L523" s="163">
        <v>0</v>
      </c>
      <c r="M523" s="163">
        <v>0</v>
      </c>
      <c r="N523" s="115">
        <v>5.8479532163742704E-3</v>
      </c>
      <c r="O523" s="115">
        <v>4.65116279069767E-3</v>
      </c>
      <c r="P523" s="115">
        <v>0</v>
      </c>
      <c r="Q523" s="115">
        <v>1.5384615384615399E-2</v>
      </c>
      <c r="R523" s="116" t="s">
        <v>83</v>
      </c>
      <c r="S523" s="115">
        <v>0</v>
      </c>
      <c r="T523" s="115">
        <v>1.6949152542372899E-2</v>
      </c>
      <c r="U523" s="115">
        <v>0</v>
      </c>
      <c r="V523" s="115">
        <v>0</v>
      </c>
      <c r="W523" s="40">
        <v>321</v>
      </c>
      <c r="X523" s="40">
        <f t="shared" si="40"/>
        <v>208</v>
      </c>
      <c r="Y523" s="40">
        <f t="shared" si="41"/>
        <v>321</v>
      </c>
      <c r="Z523" s="105">
        <v>0.50778816199376897</v>
      </c>
      <c r="AA523" s="105">
        <v>0.49221183800623097</v>
      </c>
      <c r="AB523" s="106">
        <f>114/321</f>
        <v>0.35514018691588783</v>
      </c>
      <c r="AC523" s="106">
        <v>0</v>
      </c>
      <c r="AD523" s="106">
        <f>102/321</f>
        <v>0.31775700934579437</v>
      </c>
      <c r="AE523" s="106">
        <f>6/321</f>
        <v>1.8691588785046728E-2</v>
      </c>
      <c r="AF523" s="106">
        <v>0</v>
      </c>
      <c r="AG523" s="106">
        <f>55/321</f>
        <v>0.17133956386292834</v>
      </c>
      <c r="AH523" s="106">
        <f>44/321</f>
        <v>0.13707165109034267</v>
      </c>
      <c r="AI523" s="106">
        <f>266/321</f>
        <v>0.82866043613707163</v>
      </c>
      <c r="AJ523" s="105">
        <v>0.72274143302180682</v>
      </c>
      <c r="AK523" s="105">
        <v>0</v>
      </c>
      <c r="AL523" s="12">
        <v>56</v>
      </c>
      <c r="AM523" s="12">
        <v>57</v>
      </c>
      <c r="AN523" s="12">
        <v>0</v>
      </c>
      <c r="AO523" s="12">
        <v>54</v>
      </c>
      <c r="AP523" s="12">
        <v>59</v>
      </c>
      <c r="AQ523" s="12">
        <v>49</v>
      </c>
      <c r="AR523" s="12">
        <v>46</v>
      </c>
      <c r="AS523" s="59">
        <v>0</v>
      </c>
      <c r="AT523" s="3">
        <v>7</v>
      </c>
      <c r="AU523" s="3">
        <v>6</v>
      </c>
      <c r="AV523" s="52">
        <v>92.2</v>
      </c>
      <c r="AW523" s="52">
        <v>7.4</v>
      </c>
      <c r="AX523" s="52">
        <v>0.4</v>
      </c>
      <c r="AY523" s="70">
        <v>0</v>
      </c>
      <c r="AZ523" s="59">
        <v>2.046783625730994E-2</v>
      </c>
      <c r="BA523" s="59">
        <v>0.1111111111111111</v>
      </c>
      <c r="BB523" s="78">
        <v>94.992570866217704</v>
      </c>
      <c r="BC523" s="49">
        <v>11.6477272727273</v>
      </c>
      <c r="BD523" s="49">
        <v>0</v>
      </c>
      <c r="BE523" s="49">
        <v>0</v>
      </c>
      <c r="BF523" s="49">
        <v>0</v>
      </c>
      <c r="BG523" s="49">
        <v>0</v>
      </c>
      <c r="BH523" s="49">
        <v>0</v>
      </c>
      <c r="BI523" s="49">
        <v>0</v>
      </c>
      <c r="BJ523" s="49">
        <v>17.8</v>
      </c>
      <c r="BK523" s="126">
        <v>13171</v>
      </c>
      <c r="BL523" s="126">
        <v>45123</v>
      </c>
      <c r="BM523" s="126">
        <v>50777</v>
      </c>
      <c r="BN523" s="126">
        <v>32127</v>
      </c>
      <c r="BO523" s="59">
        <v>1.43E-2</v>
      </c>
      <c r="BP523" s="59">
        <v>0.29899999999999999</v>
      </c>
      <c r="BQ523" s="59">
        <v>0.1158</v>
      </c>
      <c r="BR523" s="59">
        <v>0</v>
      </c>
      <c r="BS523" s="59">
        <v>0</v>
      </c>
      <c r="BT523" s="49">
        <v>14.5</v>
      </c>
      <c r="BU523" s="59">
        <f t="shared" si="42"/>
        <v>0.42909999999999998</v>
      </c>
      <c r="BV523" s="59">
        <v>1.66E-2</v>
      </c>
      <c r="BW523" s="59">
        <v>0</v>
      </c>
      <c r="BX523" s="59">
        <v>3.3099999999999997E-2</v>
      </c>
      <c r="BY523" s="59">
        <v>0</v>
      </c>
      <c r="BZ523" s="59">
        <v>0</v>
      </c>
      <c r="CA523" s="49">
        <v>15.7</v>
      </c>
      <c r="CB523" s="59">
        <f t="shared" si="43"/>
        <v>4.9699999999999994E-2</v>
      </c>
      <c r="CC523" s="59">
        <v>0.48580000000000001</v>
      </c>
      <c r="CD523" s="59">
        <v>0.3322</v>
      </c>
      <c r="CE523" s="59">
        <v>0.16550000000000001</v>
      </c>
      <c r="CF523" s="59">
        <v>1.66E-2</v>
      </c>
      <c r="CG523" s="59">
        <v>0</v>
      </c>
      <c r="CH523" s="49">
        <v>13.6</v>
      </c>
      <c r="CI523" s="39" t="s">
        <v>322</v>
      </c>
      <c r="CJ523" s="18" t="s">
        <v>479</v>
      </c>
      <c r="CK523" s="20"/>
    </row>
    <row r="524" spans="1:89" x14ac:dyDescent="0.25">
      <c r="A524" s="18" t="s">
        <v>479</v>
      </c>
      <c r="B524" s="39" t="s">
        <v>323</v>
      </c>
      <c r="C524" s="39" t="s">
        <v>324</v>
      </c>
      <c r="D524" s="40">
        <v>24</v>
      </c>
      <c r="E524" s="40" t="s">
        <v>83</v>
      </c>
      <c r="F524" s="40">
        <v>24</v>
      </c>
      <c r="G524" s="162" t="s">
        <v>83</v>
      </c>
      <c r="H524" s="162" t="s">
        <v>83</v>
      </c>
      <c r="I524" s="163">
        <v>0</v>
      </c>
      <c r="J524" s="163">
        <v>4</v>
      </c>
      <c r="K524" s="163">
        <v>5</v>
      </c>
      <c r="L524" s="163">
        <v>10</v>
      </c>
      <c r="M524" s="163">
        <v>5</v>
      </c>
      <c r="N524" s="115">
        <v>1.29310344827586E-2</v>
      </c>
      <c r="O524" s="115">
        <v>1.29310344827586E-2</v>
      </c>
      <c r="P524" s="116" t="s">
        <v>83</v>
      </c>
      <c r="Q524" s="116" t="s">
        <v>83</v>
      </c>
      <c r="R524" s="115">
        <v>0</v>
      </c>
      <c r="S524" s="115">
        <v>8.3507306889352793E-3</v>
      </c>
      <c r="T524" s="115">
        <v>9.7276264591439707E-3</v>
      </c>
      <c r="U524" s="115">
        <v>2.4271844660194199E-2</v>
      </c>
      <c r="V524" s="115">
        <v>1.2135922330097099E-2</v>
      </c>
      <c r="W524" s="40">
        <v>1732</v>
      </c>
      <c r="X524" s="40">
        <f t="shared" si="40"/>
        <v>1732</v>
      </c>
      <c r="Y524" s="40">
        <f t="shared" si="41"/>
        <v>1732</v>
      </c>
      <c r="Z524" s="105">
        <v>0.50115473441108505</v>
      </c>
      <c r="AA524" s="105">
        <v>0.49884526558891501</v>
      </c>
      <c r="AB524" s="106">
        <f>9/1732</f>
        <v>5.1963048498845262E-3</v>
      </c>
      <c r="AC524" s="106">
        <f>57/1732</f>
        <v>3.2909930715935336E-2</v>
      </c>
      <c r="AD524" s="106">
        <f>490/1732</f>
        <v>0.28290993071593534</v>
      </c>
      <c r="AE524" s="106">
        <f>177/1732</f>
        <v>0.10219399538106236</v>
      </c>
      <c r="AF524" s="106">
        <f>1/1732</f>
        <v>5.7736720554272516E-4</v>
      </c>
      <c r="AG524" s="106">
        <f>956/1732</f>
        <v>0.55196304849884525</v>
      </c>
      <c r="AH524" s="106">
        <f>42/1732</f>
        <v>2.4249422632794459E-2</v>
      </c>
      <c r="AI524" s="106">
        <f>776/1732</f>
        <v>0.44803695150115475</v>
      </c>
      <c r="AJ524" s="105">
        <v>0.69803695150115475</v>
      </c>
      <c r="AK524" s="105">
        <v>2.1939953810623601E-2</v>
      </c>
      <c r="AL524" s="12">
        <v>0</v>
      </c>
      <c r="AM524" s="12">
        <v>0</v>
      </c>
      <c r="AN524" s="12">
        <v>40</v>
      </c>
      <c r="AO524" s="12">
        <v>437</v>
      </c>
      <c r="AP524" s="12">
        <v>485</v>
      </c>
      <c r="AQ524" s="12">
        <v>382</v>
      </c>
      <c r="AR524" s="12">
        <v>388</v>
      </c>
      <c r="AS524" s="59">
        <v>8.385744234800839E-2</v>
      </c>
      <c r="AT524" s="3">
        <v>9</v>
      </c>
      <c r="AU524" s="3">
        <v>6</v>
      </c>
      <c r="AV524" s="52">
        <v>48.3</v>
      </c>
      <c r="AW524" s="52">
        <v>31.1</v>
      </c>
      <c r="AX524" s="52">
        <v>20.2</v>
      </c>
      <c r="AY524" s="71">
        <v>0.4</v>
      </c>
      <c r="AZ524" s="59">
        <v>0.1701086956521739</v>
      </c>
      <c r="BA524" s="59">
        <v>0.1108695652173913</v>
      </c>
      <c r="BB524" s="77">
        <v>92.267950963222404</v>
      </c>
      <c r="BC524" s="49">
        <v>79.295624332977596</v>
      </c>
      <c r="BD524" s="90" t="s">
        <v>83</v>
      </c>
      <c r="BE524" s="90" t="s">
        <v>83</v>
      </c>
      <c r="BF524" s="49">
        <v>3.7</v>
      </c>
      <c r="BG524" s="49">
        <v>2.6</v>
      </c>
      <c r="BH524" s="49">
        <v>1.8</v>
      </c>
      <c r="BI524" s="49">
        <v>1.2</v>
      </c>
      <c r="BJ524" s="49">
        <v>19.899999999999999</v>
      </c>
      <c r="BK524" s="126">
        <v>12208</v>
      </c>
      <c r="BL524" s="126">
        <v>50282</v>
      </c>
      <c r="BM524" s="126">
        <v>59894</v>
      </c>
      <c r="BN524" s="126">
        <v>47238</v>
      </c>
      <c r="BO524" s="59">
        <v>0</v>
      </c>
      <c r="BP524" s="59">
        <v>0.42370000000000002</v>
      </c>
      <c r="BQ524" s="59">
        <v>0.26910000000000001</v>
      </c>
      <c r="BR524" s="59">
        <v>0</v>
      </c>
      <c r="BS524" s="59">
        <v>1.1299999999999999E-2</v>
      </c>
      <c r="BT524" s="49">
        <v>12.3</v>
      </c>
      <c r="BU524" s="59">
        <f t="shared" si="42"/>
        <v>0.70410000000000006</v>
      </c>
      <c r="BV524" s="59">
        <v>1.6899999999999998E-2</v>
      </c>
      <c r="BW524" s="59">
        <v>0</v>
      </c>
      <c r="BX524" s="59">
        <v>2.8199999999999999E-2</v>
      </c>
      <c r="BY524" s="59">
        <v>0</v>
      </c>
      <c r="BZ524" s="59">
        <v>0</v>
      </c>
      <c r="CA524" s="49">
        <v>22.1</v>
      </c>
      <c r="CB524" s="59">
        <f t="shared" si="43"/>
        <v>4.5100000000000001E-2</v>
      </c>
      <c r="CC524" s="59">
        <v>0.2099</v>
      </c>
      <c r="CD524" s="59">
        <v>0.435</v>
      </c>
      <c r="CE524" s="59">
        <v>0.34379999999999999</v>
      </c>
      <c r="CF524" s="59">
        <v>0</v>
      </c>
      <c r="CG524" s="59">
        <v>1.1299999999999999E-2</v>
      </c>
      <c r="CH524" s="49">
        <v>12.8</v>
      </c>
      <c r="CI524" s="39" t="s">
        <v>324</v>
      </c>
      <c r="CJ524" s="18" t="s">
        <v>479</v>
      </c>
      <c r="CK524" s="20"/>
    </row>
    <row r="525" spans="1:89" x14ac:dyDescent="0.25">
      <c r="A525" s="18" t="s">
        <v>479</v>
      </c>
      <c r="B525" s="39" t="s">
        <v>325</v>
      </c>
      <c r="C525" s="39" t="s">
        <v>326</v>
      </c>
      <c r="D525" s="40">
        <v>41</v>
      </c>
      <c r="E525" s="40">
        <v>2</v>
      </c>
      <c r="F525" s="40">
        <v>39</v>
      </c>
      <c r="G525" s="162" t="s">
        <v>83</v>
      </c>
      <c r="H525" s="163">
        <v>2</v>
      </c>
      <c r="I525" s="163">
        <v>0</v>
      </c>
      <c r="J525" s="163">
        <v>18</v>
      </c>
      <c r="K525" s="163">
        <v>7</v>
      </c>
      <c r="L525" s="163">
        <v>8</v>
      </c>
      <c r="M525" s="163">
        <v>6</v>
      </c>
      <c r="N525" s="115">
        <v>2.68852459016393E-2</v>
      </c>
      <c r="O525" s="115">
        <v>2.56747860434496E-2</v>
      </c>
      <c r="P525" s="116" t="s">
        <v>83</v>
      </c>
      <c r="Q525" s="115">
        <v>0.33333333333333298</v>
      </c>
      <c r="R525" s="115">
        <v>0</v>
      </c>
      <c r="S525" s="115">
        <v>4.2755344418052302E-2</v>
      </c>
      <c r="T525" s="115">
        <v>1.9178082191780799E-2</v>
      </c>
      <c r="U525" s="115">
        <v>2.3668639053254399E-2</v>
      </c>
      <c r="V525" s="115">
        <v>1.6129032258064498E-2</v>
      </c>
      <c r="W525" s="40">
        <v>1466</v>
      </c>
      <c r="X525" s="40">
        <f t="shared" si="40"/>
        <v>1460</v>
      </c>
      <c r="Y525" s="40">
        <f t="shared" si="41"/>
        <v>1466</v>
      </c>
      <c r="Z525" s="105">
        <v>0.47680763983628899</v>
      </c>
      <c r="AA525" s="105">
        <v>0.52319236016371096</v>
      </c>
      <c r="AB525" s="106">
        <f>5/1466</f>
        <v>3.4106412005457027E-3</v>
      </c>
      <c r="AC525" s="106">
        <f>22/1466</f>
        <v>1.5006821282401092E-2</v>
      </c>
      <c r="AD525" s="106">
        <f>491/1466</f>
        <v>0.334924965893588</v>
      </c>
      <c r="AE525" s="106">
        <f>117/1466</f>
        <v>7.9809004092769434E-2</v>
      </c>
      <c r="AF525" s="106">
        <f>4/1466</f>
        <v>2.7285129604365621E-3</v>
      </c>
      <c r="AG525" s="106">
        <f>794/1466</f>
        <v>0.54160982264665758</v>
      </c>
      <c r="AH525" s="106">
        <f>33/1466</f>
        <v>2.2510231923601638E-2</v>
      </c>
      <c r="AI525" s="106">
        <f>672/1466</f>
        <v>0.45839017735334242</v>
      </c>
      <c r="AJ525" s="105">
        <v>0.46384720327421552</v>
      </c>
      <c r="AK525" s="105">
        <v>1.2960436562073701E-2</v>
      </c>
      <c r="AL525" s="12">
        <v>0</v>
      </c>
      <c r="AM525" s="12">
        <v>6</v>
      </c>
      <c r="AN525" s="12">
        <v>21</v>
      </c>
      <c r="AO525" s="12">
        <v>398</v>
      </c>
      <c r="AP525" s="12">
        <v>354</v>
      </c>
      <c r="AQ525" s="12">
        <v>326</v>
      </c>
      <c r="AR525" s="12">
        <v>361</v>
      </c>
      <c r="AS525" s="59">
        <v>5.0119331742243436E-2</v>
      </c>
      <c r="AT525" s="3">
        <v>8</v>
      </c>
      <c r="AU525" s="3">
        <v>6</v>
      </c>
      <c r="AV525" s="52">
        <v>52.5</v>
      </c>
      <c r="AW525" s="52">
        <v>24.3</v>
      </c>
      <c r="AX525" s="52">
        <v>22.4</v>
      </c>
      <c r="AY525" s="71">
        <v>0.7</v>
      </c>
      <c r="AZ525" s="59">
        <v>0.13606340819022458</v>
      </c>
      <c r="BA525" s="59">
        <v>1.4531043593130779E-2</v>
      </c>
      <c r="BB525" s="77">
        <v>96.701219536082704</v>
      </c>
      <c r="BC525" s="49">
        <v>6.60501981505945E-2</v>
      </c>
      <c r="BD525" s="90" t="s">
        <v>83</v>
      </c>
      <c r="BE525" s="49">
        <v>0</v>
      </c>
      <c r="BF525" s="49">
        <v>5.0999999999999996</v>
      </c>
      <c r="BG525" s="49">
        <v>1.8</v>
      </c>
      <c r="BH525" s="49">
        <v>2.2999999999999998</v>
      </c>
      <c r="BI525" s="49">
        <v>2.8</v>
      </c>
      <c r="BJ525" s="49">
        <v>20.2</v>
      </c>
      <c r="BK525" s="126">
        <v>13816</v>
      </c>
      <c r="BL525" s="126">
        <v>54001</v>
      </c>
      <c r="BM525" s="126">
        <v>49903</v>
      </c>
      <c r="BN525" s="126">
        <v>48009</v>
      </c>
      <c r="BO525" s="59">
        <v>1.7999999999999999E-2</v>
      </c>
      <c r="BP525" s="59">
        <v>0.38629999999999998</v>
      </c>
      <c r="BQ525" s="59">
        <v>0.19170000000000001</v>
      </c>
      <c r="BR525" s="59">
        <v>0</v>
      </c>
      <c r="BS525" s="59">
        <v>5.1000000000000004E-3</v>
      </c>
      <c r="BT525" s="49">
        <v>13.7</v>
      </c>
      <c r="BU525" s="59">
        <f t="shared" si="42"/>
        <v>0.60109999999999997</v>
      </c>
      <c r="BV525" s="59">
        <v>4.8099999999999997E-2</v>
      </c>
      <c r="BW525" s="59">
        <v>6.0000000000000001E-3</v>
      </c>
      <c r="BX525" s="59">
        <v>3.61E-2</v>
      </c>
      <c r="BY525" s="59">
        <v>0</v>
      </c>
      <c r="BZ525" s="59">
        <v>0</v>
      </c>
      <c r="CA525" s="49">
        <v>14.9</v>
      </c>
      <c r="CB525" s="59">
        <f t="shared" si="43"/>
        <v>9.0200000000000002E-2</v>
      </c>
      <c r="CC525" s="59">
        <v>0.30270000000000002</v>
      </c>
      <c r="CD525" s="59">
        <v>0.4224</v>
      </c>
      <c r="CE525" s="59">
        <v>0.26989999999999997</v>
      </c>
      <c r="CF525" s="59">
        <v>0</v>
      </c>
      <c r="CG525" s="59">
        <v>5.1000000000000004E-3</v>
      </c>
      <c r="CH525" s="49">
        <v>13.6</v>
      </c>
      <c r="CI525" s="39" t="s">
        <v>326</v>
      </c>
      <c r="CJ525" s="18" t="s">
        <v>479</v>
      </c>
      <c r="CK525" s="20"/>
    </row>
    <row r="526" spans="1:89" x14ac:dyDescent="0.25">
      <c r="A526" s="18" t="s">
        <v>479</v>
      </c>
      <c r="B526" s="39" t="s">
        <v>325</v>
      </c>
      <c r="C526" s="39" t="s">
        <v>327</v>
      </c>
      <c r="D526" s="40">
        <v>43</v>
      </c>
      <c r="E526" s="40">
        <v>2</v>
      </c>
      <c r="F526" s="40">
        <v>41</v>
      </c>
      <c r="G526" s="162" t="s">
        <v>83</v>
      </c>
      <c r="H526" s="163">
        <v>2</v>
      </c>
      <c r="I526" s="163">
        <v>1</v>
      </c>
      <c r="J526" s="163">
        <v>9</v>
      </c>
      <c r="K526" s="163">
        <v>8</v>
      </c>
      <c r="L526" s="163">
        <v>17</v>
      </c>
      <c r="M526" s="163">
        <v>6</v>
      </c>
      <c r="N526" s="115">
        <v>2.7112232030264801E-2</v>
      </c>
      <c r="O526" s="115">
        <v>2.6147959183673498E-2</v>
      </c>
      <c r="P526" s="116" t="s">
        <v>83</v>
      </c>
      <c r="Q526" s="115">
        <v>0.11111111111111099</v>
      </c>
      <c r="R526" s="115">
        <v>3.03030303030303E-2</v>
      </c>
      <c r="S526" s="115">
        <v>2.07373271889401E-2</v>
      </c>
      <c r="T526" s="115">
        <v>2.1052631578947399E-2</v>
      </c>
      <c r="U526" s="115">
        <v>0.05</v>
      </c>
      <c r="V526" s="115">
        <v>1.5748031496062999E-2</v>
      </c>
      <c r="W526" s="40">
        <v>1526</v>
      </c>
      <c r="X526" s="40">
        <f t="shared" si="40"/>
        <v>1513</v>
      </c>
      <c r="Y526" s="40">
        <f t="shared" si="41"/>
        <v>1526</v>
      </c>
      <c r="Z526" s="105">
        <v>0.46788990825688098</v>
      </c>
      <c r="AA526" s="105">
        <v>0.53211009174311896</v>
      </c>
      <c r="AB526" s="106">
        <f>9/1526</f>
        <v>5.8977719528178242E-3</v>
      </c>
      <c r="AC526" s="106">
        <f>14/1526</f>
        <v>9.1743119266055051E-3</v>
      </c>
      <c r="AD526" s="106">
        <f>464/1526</f>
        <v>0.30406290956749671</v>
      </c>
      <c r="AE526" s="106">
        <f>75/1526</f>
        <v>4.9148099606815203E-2</v>
      </c>
      <c r="AF526" s="106">
        <f>2/1526</f>
        <v>1.3106159895150721E-3</v>
      </c>
      <c r="AG526" s="106">
        <f>923/1526</f>
        <v>0.60484927916120579</v>
      </c>
      <c r="AH526" s="106">
        <f>39/1526</f>
        <v>2.5557011795543906E-2</v>
      </c>
      <c r="AI526" s="106">
        <f>603/1526</f>
        <v>0.39515072083879421</v>
      </c>
      <c r="AJ526" s="105">
        <v>0.45216251638269989</v>
      </c>
      <c r="AK526" s="105">
        <v>4.5871559633027499E-3</v>
      </c>
      <c r="AL526" s="12">
        <v>0</v>
      </c>
      <c r="AM526" s="12">
        <v>13</v>
      </c>
      <c r="AN526" s="12">
        <v>33</v>
      </c>
      <c r="AO526" s="12">
        <v>418</v>
      </c>
      <c r="AP526" s="12">
        <v>370</v>
      </c>
      <c r="AQ526" s="12">
        <v>340</v>
      </c>
      <c r="AR526" s="12">
        <v>352</v>
      </c>
      <c r="AS526" s="59">
        <v>7.3170731707317069E-2</v>
      </c>
      <c r="AT526" s="3">
        <v>8</v>
      </c>
      <c r="AU526" s="3">
        <v>6</v>
      </c>
      <c r="AV526" s="52">
        <v>49.4</v>
      </c>
      <c r="AW526" s="52">
        <v>23.4</v>
      </c>
      <c r="AX526" s="52">
        <v>25.3</v>
      </c>
      <c r="AY526" s="71">
        <v>1.8</v>
      </c>
      <c r="AZ526" s="59">
        <v>0.15906210392902409</v>
      </c>
      <c r="BA526" s="59">
        <v>2.5348542458808618E-2</v>
      </c>
      <c r="BB526" s="78">
        <v>95.732227639586895</v>
      </c>
      <c r="BC526" s="49">
        <v>8.6075949367088604</v>
      </c>
      <c r="BD526" s="90" t="s">
        <v>83</v>
      </c>
      <c r="BE526" s="49">
        <v>0</v>
      </c>
      <c r="BF526" s="49">
        <v>9.8000000000000007</v>
      </c>
      <c r="BG526" s="49">
        <v>1.1000000000000001</v>
      </c>
      <c r="BH526" s="49">
        <v>3.2</v>
      </c>
      <c r="BI526" s="49">
        <v>2.2000000000000002</v>
      </c>
      <c r="BJ526" s="49">
        <v>20.399999999999999</v>
      </c>
      <c r="BK526" s="126">
        <v>14215</v>
      </c>
      <c r="BL526" s="126">
        <v>54273</v>
      </c>
      <c r="BM526" s="126">
        <v>51894</v>
      </c>
      <c r="BN526" s="126">
        <v>48497</v>
      </c>
      <c r="BO526" s="59">
        <v>1.1299999999999999E-2</v>
      </c>
      <c r="BP526" s="59">
        <v>0.39450000000000002</v>
      </c>
      <c r="BQ526" s="59">
        <v>0.2296</v>
      </c>
      <c r="BR526" s="59">
        <v>0</v>
      </c>
      <c r="BS526" s="59">
        <v>5.7000000000000002E-3</v>
      </c>
      <c r="BT526" s="49">
        <v>14.3</v>
      </c>
      <c r="BU526" s="59">
        <f t="shared" si="42"/>
        <v>0.6411</v>
      </c>
      <c r="BV526" s="59">
        <v>3.4000000000000002E-2</v>
      </c>
      <c r="BW526" s="59">
        <v>1.1299999999999999E-2</v>
      </c>
      <c r="BX526" s="59">
        <v>2.8799999999999999E-2</v>
      </c>
      <c r="BY526" s="59">
        <v>0</v>
      </c>
      <c r="BZ526" s="59">
        <v>5.7000000000000002E-3</v>
      </c>
      <c r="CA526" s="49">
        <v>12.2</v>
      </c>
      <c r="CB526" s="59">
        <f t="shared" si="43"/>
        <v>7.9799999999999996E-2</v>
      </c>
      <c r="CC526" s="59">
        <v>0.2392</v>
      </c>
      <c r="CD526" s="59">
        <v>0.43980000000000002</v>
      </c>
      <c r="CE526" s="59">
        <v>0.30969999999999998</v>
      </c>
      <c r="CF526" s="59">
        <v>0</v>
      </c>
      <c r="CG526" s="59">
        <v>1.1299999999999999E-2</v>
      </c>
      <c r="CH526" s="49">
        <v>13.1</v>
      </c>
      <c r="CI526" s="39" t="s">
        <v>327</v>
      </c>
      <c r="CJ526" s="18" t="s">
        <v>479</v>
      </c>
      <c r="CK526" s="20"/>
    </row>
    <row r="527" spans="1:89" x14ac:dyDescent="0.25">
      <c r="A527" s="18" t="s">
        <v>479</v>
      </c>
      <c r="B527" s="39" t="s">
        <v>328</v>
      </c>
      <c r="C527" s="39" t="s">
        <v>329</v>
      </c>
      <c r="D527" s="40">
        <v>13</v>
      </c>
      <c r="E527" s="40">
        <v>1</v>
      </c>
      <c r="F527" s="40">
        <v>12</v>
      </c>
      <c r="G527" s="163">
        <v>0</v>
      </c>
      <c r="H527" s="163">
        <v>1</v>
      </c>
      <c r="I527" s="162" t="s">
        <v>83</v>
      </c>
      <c r="J527" s="163">
        <v>0</v>
      </c>
      <c r="K527" s="163">
        <v>3</v>
      </c>
      <c r="L527" s="163">
        <v>2</v>
      </c>
      <c r="M527" s="163">
        <v>7</v>
      </c>
      <c r="N527" s="115">
        <v>2.54901960784314E-2</v>
      </c>
      <c r="O527" s="115">
        <v>3.62537764350453E-2</v>
      </c>
      <c r="P527" s="115">
        <v>0</v>
      </c>
      <c r="Q527" s="115">
        <v>1.2987012987013E-2</v>
      </c>
      <c r="R527" s="116" t="s">
        <v>83</v>
      </c>
      <c r="S527" s="115">
        <v>0</v>
      </c>
      <c r="T527" s="115">
        <v>3.4883720930232599E-2</v>
      </c>
      <c r="U527" s="115">
        <v>2.1052631578947399E-2</v>
      </c>
      <c r="V527" s="115">
        <v>9.45945945945946E-2</v>
      </c>
      <c r="W527" s="40">
        <v>457</v>
      </c>
      <c r="X527" s="40">
        <f t="shared" si="40"/>
        <v>295</v>
      </c>
      <c r="Y527" s="40">
        <f t="shared" si="41"/>
        <v>457</v>
      </c>
      <c r="Z527" s="105">
        <v>0.49452954048140002</v>
      </c>
      <c r="AA527" s="105">
        <v>0.50547045951860003</v>
      </c>
      <c r="AB527" s="106">
        <v>0</v>
      </c>
      <c r="AC527" s="106">
        <v>0</v>
      </c>
      <c r="AD527" s="106">
        <f>426/457</f>
        <v>0.93216630196936545</v>
      </c>
      <c r="AE527" s="106">
        <f>1/457</f>
        <v>2.1881838074398249E-3</v>
      </c>
      <c r="AF527" s="106">
        <v>0</v>
      </c>
      <c r="AG527" s="106">
        <f>30/457</f>
        <v>6.5645514223194742E-2</v>
      </c>
      <c r="AH527" s="106">
        <v>0</v>
      </c>
      <c r="AI527" s="106">
        <f>427/457</f>
        <v>0.93435448577680524</v>
      </c>
      <c r="AJ527" s="105">
        <v>0.87746170678336977</v>
      </c>
      <c r="AK527" s="105">
        <v>2.1881838074398201E-3</v>
      </c>
      <c r="AL527" s="12">
        <v>96</v>
      </c>
      <c r="AM527" s="12">
        <v>66</v>
      </c>
      <c r="AN527" s="12">
        <v>0</v>
      </c>
      <c r="AO527" s="12">
        <v>68</v>
      </c>
      <c r="AP527" s="12">
        <v>78</v>
      </c>
      <c r="AQ527" s="12">
        <v>88</v>
      </c>
      <c r="AR527" s="12">
        <v>61</v>
      </c>
      <c r="AS527" s="59">
        <v>0</v>
      </c>
      <c r="AT527" s="3">
        <v>7</v>
      </c>
      <c r="AU527" s="3">
        <v>6</v>
      </c>
      <c r="AV527" s="52">
        <v>61.2</v>
      </c>
      <c r="AW527" s="52">
        <v>27.6</v>
      </c>
      <c r="AX527" s="52">
        <v>10.3</v>
      </c>
      <c r="AY527" s="71">
        <v>0.9</v>
      </c>
      <c r="AZ527" s="59">
        <v>2.9585798816568046E-2</v>
      </c>
      <c r="BA527" s="59">
        <v>0.34516765285996054</v>
      </c>
      <c r="BB527" s="77">
        <v>92.228014394163495</v>
      </c>
      <c r="BC527" s="49">
        <v>43.589743589743598</v>
      </c>
      <c r="BD527" s="49">
        <v>0</v>
      </c>
      <c r="BE527" s="49">
        <v>0</v>
      </c>
      <c r="BF527" s="49">
        <v>0</v>
      </c>
      <c r="BG527" s="49">
        <v>0</v>
      </c>
      <c r="BH527" s="49">
        <v>0</v>
      </c>
      <c r="BI527" s="49">
        <v>4.9000000000000004</v>
      </c>
      <c r="BJ527" s="49">
        <v>17</v>
      </c>
      <c r="BK527" s="126">
        <v>11587</v>
      </c>
      <c r="BL527" s="126">
        <v>46526</v>
      </c>
      <c r="BM527" s="126">
        <v>58517</v>
      </c>
      <c r="BN527" s="126">
        <v>41214</v>
      </c>
      <c r="BO527" s="59">
        <v>0</v>
      </c>
      <c r="BP527" s="59">
        <v>0.36309999999999998</v>
      </c>
      <c r="BQ527" s="59">
        <v>0.2717</v>
      </c>
      <c r="BR527" s="59">
        <v>0</v>
      </c>
      <c r="BS527" s="59">
        <v>0</v>
      </c>
      <c r="BT527" s="49">
        <v>7.1</v>
      </c>
      <c r="BU527" s="59">
        <f t="shared" si="42"/>
        <v>0.63480000000000003</v>
      </c>
      <c r="BV527" s="59">
        <v>1.7999999999999999E-2</v>
      </c>
      <c r="BW527" s="59">
        <v>0</v>
      </c>
      <c r="BX527" s="59">
        <v>1.7999999999999999E-2</v>
      </c>
      <c r="BY527" s="59">
        <v>0</v>
      </c>
      <c r="BZ527" s="59">
        <v>1.7999999999999999E-2</v>
      </c>
      <c r="CA527" s="49">
        <v>14.7</v>
      </c>
      <c r="CB527" s="59">
        <f t="shared" si="43"/>
        <v>5.3999999999999992E-2</v>
      </c>
      <c r="CC527" s="59">
        <v>0.29330000000000001</v>
      </c>
      <c r="CD527" s="59">
        <v>0.38109999999999999</v>
      </c>
      <c r="CE527" s="59">
        <v>0.30769999999999997</v>
      </c>
      <c r="CF527" s="59">
        <v>0</v>
      </c>
      <c r="CG527" s="59">
        <v>1.7999999999999999E-2</v>
      </c>
      <c r="CH527" s="49">
        <v>7.9</v>
      </c>
      <c r="CI527" s="39" t="s">
        <v>329</v>
      </c>
      <c r="CJ527" s="18" t="s">
        <v>479</v>
      </c>
      <c r="CK527" s="20"/>
    </row>
    <row r="528" spans="1:89" x14ac:dyDescent="0.25">
      <c r="A528" s="18" t="s">
        <v>479</v>
      </c>
      <c r="B528" s="39" t="s">
        <v>330</v>
      </c>
      <c r="C528" s="39" t="s">
        <v>331</v>
      </c>
      <c r="D528" s="40">
        <v>21</v>
      </c>
      <c r="E528" s="40">
        <v>0</v>
      </c>
      <c r="F528" s="40">
        <v>21</v>
      </c>
      <c r="G528" s="163">
        <v>0</v>
      </c>
      <c r="H528" s="163">
        <v>0</v>
      </c>
      <c r="I528" s="163">
        <v>1</v>
      </c>
      <c r="J528" s="163">
        <v>11</v>
      </c>
      <c r="K528" s="163">
        <v>5</v>
      </c>
      <c r="L528" s="163">
        <v>4</v>
      </c>
      <c r="M528" s="163">
        <v>0</v>
      </c>
      <c r="N528" s="115">
        <v>2.0211742059672799E-2</v>
      </c>
      <c r="O528" s="115">
        <v>3.06122448979592E-2</v>
      </c>
      <c r="P528" s="115">
        <v>0</v>
      </c>
      <c r="Q528" s="115">
        <v>0</v>
      </c>
      <c r="R528" s="115">
        <v>4.5454545454545497E-2</v>
      </c>
      <c r="S528" s="115">
        <v>5.9459459459459497E-2</v>
      </c>
      <c r="T528" s="115">
        <v>3.1446540880503103E-2</v>
      </c>
      <c r="U528" s="115">
        <v>2.7027027027027001E-2</v>
      </c>
      <c r="V528" s="115">
        <v>0</v>
      </c>
      <c r="W528" s="40">
        <v>988</v>
      </c>
      <c r="X528" s="40">
        <f t="shared" si="40"/>
        <v>647</v>
      </c>
      <c r="Y528" s="40">
        <f t="shared" si="41"/>
        <v>988</v>
      </c>
      <c r="Z528" s="105">
        <v>0.50506072874493901</v>
      </c>
      <c r="AA528" s="105">
        <v>0.49493927125506099</v>
      </c>
      <c r="AB528" s="106">
        <f>1/988</f>
        <v>1.0121457489878543E-3</v>
      </c>
      <c r="AC528" s="106">
        <f>6/988</f>
        <v>6.0728744939271256E-3</v>
      </c>
      <c r="AD528" s="106">
        <f>498/988</f>
        <v>0.50404858299595146</v>
      </c>
      <c r="AE528" s="106">
        <f>5/988</f>
        <v>5.0607287449392713E-3</v>
      </c>
      <c r="AF528" s="106">
        <v>0</v>
      </c>
      <c r="AG528" s="106">
        <f>475/988</f>
        <v>0.48076923076923078</v>
      </c>
      <c r="AH528" s="106">
        <f>3/988</f>
        <v>3.0364372469635628E-3</v>
      </c>
      <c r="AI528" s="106">
        <f>513/988</f>
        <v>0.51923076923076927</v>
      </c>
      <c r="AJ528" s="105">
        <v>0.5668016194331984</v>
      </c>
      <c r="AK528" s="105">
        <v>3.0364372469635602E-3</v>
      </c>
      <c r="AL528" s="12">
        <v>164</v>
      </c>
      <c r="AM528" s="12">
        <v>177</v>
      </c>
      <c r="AN528" s="12">
        <v>19</v>
      </c>
      <c r="AO528" s="12">
        <v>169</v>
      </c>
      <c r="AP528" s="12">
        <v>151</v>
      </c>
      <c r="AQ528" s="12">
        <v>141</v>
      </c>
      <c r="AR528" s="12">
        <v>167</v>
      </c>
      <c r="AS528" s="59">
        <v>0.10106382978723404</v>
      </c>
      <c r="AT528" s="3">
        <v>7</v>
      </c>
      <c r="AU528" s="3">
        <v>6</v>
      </c>
      <c r="AV528" s="52">
        <v>71.7</v>
      </c>
      <c r="AW528" s="52">
        <v>24.8</v>
      </c>
      <c r="AX528" s="52">
        <v>3.3</v>
      </c>
      <c r="AY528" s="71">
        <v>0.2</v>
      </c>
      <c r="AZ528" s="59">
        <v>0.19611650485436893</v>
      </c>
      <c r="BA528" s="59">
        <v>0.1766990291262136</v>
      </c>
      <c r="BB528" s="78">
        <v>95.359298715388803</v>
      </c>
      <c r="BC528" s="49">
        <v>2.3300970873786402</v>
      </c>
      <c r="BD528" s="49">
        <v>4.4000000000000004</v>
      </c>
      <c r="BE528" s="49">
        <v>0</v>
      </c>
      <c r="BF528" s="49">
        <v>9.8000000000000007</v>
      </c>
      <c r="BG528" s="49">
        <v>1.4</v>
      </c>
      <c r="BH528" s="49">
        <v>0.8</v>
      </c>
      <c r="BI528" s="49">
        <v>0.6</v>
      </c>
      <c r="BJ528" s="49">
        <v>19.8</v>
      </c>
      <c r="BK528" s="126">
        <v>13837</v>
      </c>
      <c r="BL528" s="126">
        <v>61415</v>
      </c>
      <c r="BM528" s="126">
        <v>58660</v>
      </c>
      <c r="BN528" s="126">
        <v>54360</v>
      </c>
      <c r="BO528" s="59">
        <v>1.01E-2</v>
      </c>
      <c r="BP528" s="59">
        <v>0.30830000000000002</v>
      </c>
      <c r="BQ528" s="59">
        <v>0.24959999999999999</v>
      </c>
      <c r="BR528" s="59">
        <v>0</v>
      </c>
      <c r="BS528" s="59">
        <v>1.01E-2</v>
      </c>
      <c r="BT528" s="49">
        <v>12.1</v>
      </c>
      <c r="BU528" s="59">
        <f t="shared" si="42"/>
        <v>0.57810000000000006</v>
      </c>
      <c r="BV528" s="59">
        <v>4.0599999999999997E-2</v>
      </c>
      <c r="BW528" s="59">
        <v>1.01E-2</v>
      </c>
      <c r="BX528" s="59">
        <v>3.04E-2</v>
      </c>
      <c r="BY528" s="59">
        <v>0</v>
      </c>
      <c r="BZ528" s="59">
        <v>1.01E-2</v>
      </c>
      <c r="CA528" s="49">
        <v>18</v>
      </c>
      <c r="CB528" s="59">
        <f t="shared" si="43"/>
        <v>9.1199999999999989E-2</v>
      </c>
      <c r="CC528" s="59">
        <v>0.27679999999999999</v>
      </c>
      <c r="CD528" s="59">
        <v>0.34889999999999999</v>
      </c>
      <c r="CE528" s="59">
        <v>0.33040000000000003</v>
      </c>
      <c r="CF528" s="59">
        <v>2.35E-2</v>
      </c>
      <c r="CG528" s="59">
        <v>2.0299999999999999E-2</v>
      </c>
      <c r="CH528" s="49">
        <v>13.1</v>
      </c>
      <c r="CI528" s="39" t="s">
        <v>331</v>
      </c>
      <c r="CJ528" s="18" t="s">
        <v>479</v>
      </c>
      <c r="CK528" s="20"/>
    </row>
    <row r="529" spans="1:89" x14ac:dyDescent="0.25">
      <c r="A529" s="18" t="s">
        <v>479</v>
      </c>
      <c r="B529" s="39" t="s">
        <v>330</v>
      </c>
      <c r="C529" s="39" t="s">
        <v>332</v>
      </c>
      <c r="D529" s="40">
        <v>17</v>
      </c>
      <c r="E529" s="40">
        <v>1</v>
      </c>
      <c r="F529" s="40">
        <v>16</v>
      </c>
      <c r="G529" s="163">
        <v>0</v>
      </c>
      <c r="H529" s="163">
        <v>1</v>
      </c>
      <c r="I529" s="163">
        <v>0</v>
      </c>
      <c r="J529" s="163">
        <v>3</v>
      </c>
      <c r="K529" s="163">
        <v>5</v>
      </c>
      <c r="L529" s="163">
        <v>5</v>
      </c>
      <c r="M529" s="163">
        <v>3</v>
      </c>
      <c r="N529" s="115">
        <v>2.4355300859598899E-2</v>
      </c>
      <c r="O529" s="115">
        <v>3.3542976939203398E-2</v>
      </c>
      <c r="P529" s="115">
        <v>0</v>
      </c>
      <c r="Q529" s="115">
        <v>8.2644628099173608E-3</v>
      </c>
      <c r="R529" s="115">
        <v>0</v>
      </c>
      <c r="S529" s="115">
        <v>2.7272727272727299E-2</v>
      </c>
      <c r="T529" s="115">
        <v>3.35570469798658E-2</v>
      </c>
      <c r="U529" s="115">
        <v>4.1666666666666699E-2</v>
      </c>
      <c r="V529" s="115">
        <v>3.6144578313252997E-2</v>
      </c>
      <c r="W529" s="40">
        <v>655</v>
      </c>
      <c r="X529" s="40">
        <f t="shared" si="40"/>
        <v>448</v>
      </c>
      <c r="Y529" s="40">
        <f t="shared" si="41"/>
        <v>655</v>
      </c>
      <c r="Z529" s="105">
        <v>0.49312977099236599</v>
      </c>
      <c r="AA529" s="105">
        <v>0.50687022900763401</v>
      </c>
      <c r="AB529" s="106">
        <v>0</v>
      </c>
      <c r="AC529" s="106">
        <v>0</v>
      </c>
      <c r="AD529" s="106">
        <f>511/655</f>
        <v>0.78015267175572522</v>
      </c>
      <c r="AE529" s="106">
        <f>9/655</f>
        <v>1.3740458015267175E-2</v>
      </c>
      <c r="AF529" s="106">
        <v>0</v>
      </c>
      <c r="AG529" s="106">
        <f>128/655</f>
        <v>0.19541984732824427</v>
      </c>
      <c r="AH529" s="106">
        <f>7/655</f>
        <v>1.0687022900763359E-2</v>
      </c>
      <c r="AI529" s="106">
        <f>527/655</f>
        <v>0.80458015267175576</v>
      </c>
      <c r="AJ529" s="105">
        <v>0.69312977099236639</v>
      </c>
      <c r="AK529" s="105">
        <v>3.0534351145038198E-3</v>
      </c>
      <c r="AL529" s="12">
        <v>94</v>
      </c>
      <c r="AM529" s="12">
        <v>113</v>
      </c>
      <c r="AN529" s="12">
        <v>14</v>
      </c>
      <c r="AO529" s="12">
        <v>100</v>
      </c>
      <c r="AP529" s="12">
        <v>145</v>
      </c>
      <c r="AQ529" s="12">
        <v>112</v>
      </c>
      <c r="AR529" s="12">
        <v>77</v>
      </c>
      <c r="AS529" s="59">
        <v>0.12280701754385964</v>
      </c>
      <c r="AT529" s="3">
        <v>7</v>
      </c>
      <c r="AU529" s="3">
        <v>6</v>
      </c>
      <c r="AV529" s="52">
        <v>83.9</v>
      </c>
      <c r="AW529" s="52">
        <v>15.1</v>
      </c>
      <c r="AX529" s="52">
        <v>1</v>
      </c>
      <c r="AY529" s="70">
        <v>0</v>
      </c>
      <c r="AZ529" s="59">
        <v>0.29985443959243085</v>
      </c>
      <c r="BA529" s="59">
        <v>0.22852983988355166</v>
      </c>
      <c r="BB529" s="77">
        <v>95.412249372479593</v>
      </c>
      <c r="BC529" s="49">
        <v>2.7656477438136799</v>
      </c>
      <c r="BD529" s="49">
        <v>3.1</v>
      </c>
      <c r="BE529" s="49">
        <v>3.6</v>
      </c>
      <c r="BF529" s="49">
        <v>0</v>
      </c>
      <c r="BG529" s="49">
        <v>0</v>
      </c>
      <c r="BH529" s="49">
        <v>0</v>
      </c>
      <c r="BI529" s="49">
        <v>2.7</v>
      </c>
      <c r="BJ529" s="49">
        <v>18.600000000000001</v>
      </c>
      <c r="BK529" s="126">
        <v>17712</v>
      </c>
      <c r="BL529" s="126">
        <v>62005</v>
      </c>
      <c r="BM529" s="126">
        <v>67869</v>
      </c>
      <c r="BN529" s="126">
        <v>54484</v>
      </c>
      <c r="BO529" s="59">
        <v>0</v>
      </c>
      <c r="BP529" s="59">
        <v>0.34949999999999998</v>
      </c>
      <c r="BQ529" s="59">
        <v>0.2424</v>
      </c>
      <c r="BR529" s="59">
        <v>1.09E-2</v>
      </c>
      <c r="BS529" s="59">
        <v>1.6299999999999999E-2</v>
      </c>
      <c r="BT529" s="49">
        <v>14.2</v>
      </c>
      <c r="BU529" s="59">
        <f t="shared" si="42"/>
        <v>0.61909999999999998</v>
      </c>
      <c r="BV529" s="59">
        <v>3.2399999999999998E-2</v>
      </c>
      <c r="BW529" s="59">
        <v>0</v>
      </c>
      <c r="BX529" s="59">
        <v>5.91E-2</v>
      </c>
      <c r="BY529" s="59">
        <v>0</v>
      </c>
      <c r="BZ529" s="59">
        <v>0</v>
      </c>
      <c r="CA529" s="49">
        <v>18.8</v>
      </c>
      <c r="CB529" s="59">
        <f t="shared" si="43"/>
        <v>9.1499999999999998E-2</v>
      </c>
      <c r="CC529" s="59">
        <v>0.23860000000000001</v>
      </c>
      <c r="CD529" s="59">
        <v>0.41099999999999998</v>
      </c>
      <c r="CE529" s="59">
        <v>0.3231</v>
      </c>
      <c r="CF529" s="59">
        <v>1.09E-2</v>
      </c>
      <c r="CG529" s="59">
        <v>1.6299999999999999E-2</v>
      </c>
      <c r="CH529" s="49">
        <v>13.9</v>
      </c>
      <c r="CI529" s="39" t="s">
        <v>332</v>
      </c>
      <c r="CJ529" s="18" t="s">
        <v>479</v>
      </c>
      <c r="CK529" s="20"/>
    </row>
    <row r="530" spans="1:89" x14ac:dyDescent="0.25">
      <c r="A530" s="18" t="s">
        <v>479</v>
      </c>
      <c r="B530" s="39" t="s">
        <v>333</v>
      </c>
      <c r="C530" s="39" t="s">
        <v>334</v>
      </c>
      <c r="D530" s="40">
        <v>78</v>
      </c>
      <c r="E530" s="40" t="s">
        <v>83</v>
      </c>
      <c r="F530" s="40">
        <v>78</v>
      </c>
      <c r="G530" s="162" t="s">
        <v>83</v>
      </c>
      <c r="H530" s="162" t="s">
        <v>83</v>
      </c>
      <c r="I530" s="163">
        <v>3</v>
      </c>
      <c r="J530" s="163">
        <v>23</v>
      </c>
      <c r="K530" s="163">
        <v>28</v>
      </c>
      <c r="L530" s="163">
        <v>18</v>
      </c>
      <c r="M530" s="163">
        <v>6</v>
      </c>
      <c r="N530" s="115">
        <v>5.1724137931034503E-2</v>
      </c>
      <c r="O530" s="115">
        <v>5.1724137931034503E-2</v>
      </c>
      <c r="P530" s="116" t="s">
        <v>83</v>
      </c>
      <c r="Q530" s="116" t="s">
        <v>83</v>
      </c>
      <c r="R530" s="115">
        <v>0.157894736842105</v>
      </c>
      <c r="S530" s="115">
        <v>5.4373522458628802E-2</v>
      </c>
      <c r="T530" s="115">
        <v>6.6985645933014398E-2</v>
      </c>
      <c r="U530" s="115">
        <v>5.29411764705882E-2</v>
      </c>
      <c r="V530" s="115">
        <v>1.9480519480519501E-2</v>
      </c>
      <c r="W530" s="40">
        <v>1363</v>
      </c>
      <c r="X530" s="40">
        <f t="shared" si="40"/>
        <v>1363</v>
      </c>
      <c r="Y530" s="40">
        <f t="shared" si="41"/>
        <v>1363</v>
      </c>
      <c r="Z530" s="105">
        <v>0.51430667644900996</v>
      </c>
      <c r="AA530" s="105">
        <v>0.48569332355098999</v>
      </c>
      <c r="AB530" s="106">
        <v>0</v>
      </c>
      <c r="AC530" s="106">
        <f>9/1363</f>
        <v>6.6030814380044021E-3</v>
      </c>
      <c r="AD530" s="106">
        <f>1108/1363</f>
        <v>0.81291269258987531</v>
      </c>
      <c r="AE530" s="106">
        <f>76/1363</f>
        <v>5.5759354365370509E-2</v>
      </c>
      <c r="AF530" s="106">
        <v>0</v>
      </c>
      <c r="AG530" s="106">
        <f>168/1363</f>
        <v>0.12325752017608217</v>
      </c>
      <c r="AH530" s="106">
        <f>2/1363</f>
        <v>1.467351430667645E-3</v>
      </c>
      <c r="AI530" s="106">
        <f>1195/1363</f>
        <v>0.87674247982391784</v>
      </c>
      <c r="AJ530" s="105">
        <v>0.75568598679383714</v>
      </c>
      <c r="AK530" s="105">
        <v>1.3206162876008801E-2</v>
      </c>
      <c r="AL530" s="12">
        <v>0</v>
      </c>
      <c r="AM530" s="12">
        <v>0</v>
      </c>
      <c r="AN530" s="12">
        <v>10</v>
      </c>
      <c r="AO530" s="12">
        <v>382</v>
      </c>
      <c r="AP530" s="12">
        <v>368</v>
      </c>
      <c r="AQ530" s="12">
        <v>315</v>
      </c>
      <c r="AR530" s="12">
        <v>288</v>
      </c>
      <c r="AS530" s="59">
        <v>2.5510204081632654E-2</v>
      </c>
      <c r="AT530" s="3">
        <v>9</v>
      </c>
      <c r="AU530" s="3">
        <v>6</v>
      </c>
      <c r="AV530" s="52">
        <v>61.2</v>
      </c>
      <c r="AW530" s="52">
        <v>27.1</v>
      </c>
      <c r="AX530" s="52">
        <v>11.7</v>
      </c>
      <c r="AY530" s="70">
        <v>0</v>
      </c>
      <c r="AZ530" s="59">
        <v>2.0366598778004071E-3</v>
      </c>
      <c r="BA530" s="59">
        <v>1.3577732518669382E-3</v>
      </c>
      <c r="BB530" s="78">
        <v>92.683744519900301</v>
      </c>
      <c r="BC530" s="49">
        <v>40.569159497021801</v>
      </c>
      <c r="BD530" s="90" t="s">
        <v>83</v>
      </c>
      <c r="BE530" s="90" t="s">
        <v>83</v>
      </c>
      <c r="BF530" s="49">
        <v>13</v>
      </c>
      <c r="BG530" s="49">
        <v>5.0999999999999996</v>
      </c>
      <c r="BH530" s="49">
        <v>3.9</v>
      </c>
      <c r="BI530" s="49">
        <v>4.8</v>
      </c>
      <c r="BJ530" s="49">
        <v>18.100000000000001</v>
      </c>
      <c r="BK530" s="126">
        <v>13202</v>
      </c>
      <c r="BL530" s="126">
        <v>50777</v>
      </c>
      <c r="BM530" s="126">
        <v>52631</v>
      </c>
      <c r="BN530" s="126">
        <v>45418</v>
      </c>
      <c r="BO530" s="59">
        <v>6.1000000000000004E-3</v>
      </c>
      <c r="BP530" s="59">
        <v>0.31890000000000002</v>
      </c>
      <c r="BQ530" s="59">
        <v>0.25140000000000001</v>
      </c>
      <c r="BR530" s="59">
        <v>0</v>
      </c>
      <c r="BS530" s="59">
        <v>6.1000000000000004E-3</v>
      </c>
      <c r="BT530" s="49">
        <v>14.7</v>
      </c>
      <c r="BU530" s="59">
        <f t="shared" si="42"/>
        <v>0.58250000000000002</v>
      </c>
      <c r="BV530" s="59">
        <v>4.8800000000000003E-2</v>
      </c>
      <c r="BW530" s="59">
        <v>0</v>
      </c>
      <c r="BX530" s="59">
        <v>5.4899999999999997E-2</v>
      </c>
      <c r="BY530" s="59">
        <v>0</v>
      </c>
      <c r="BZ530" s="59">
        <v>0</v>
      </c>
      <c r="CA530" s="49">
        <v>15.9</v>
      </c>
      <c r="CB530" s="59">
        <f t="shared" si="43"/>
        <v>0.1037</v>
      </c>
      <c r="CC530" s="59">
        <v>0.27889999999999998</v>
      </c>
      <c r="CD530" s="59">
        <v>0.34939999999999999</v>
      </c>
      <c r="CE530" s="59">
        <v>0.35649999999999998</v>
      </c>
      <c r="CF530" s="59">
        <v>0</v>
      </c>
      <c r="CG530" s="59">
        <v>1.52E-2</v>
      </c>
      <c r="CH530" s="49">
        <v>14.8</v>
      </c>
      <c r="CI530" s="39" t="s">
        <v>334</v>
      </c>
      <c r="CJ530" s="18" t="s">
        <v>479</v>
      </c>
      <c r="CK530" s="20"/>
    </row>
    <row r="531" spans="1:89" x14ac:dyDescent="0.25">
      <c r="A531" s="18" t="s">
        <v>479</v>
      </c>
      <c r="B531" s="39" t="s">
        <v>333</v>
      </c>
      <c r="C531" s="39" t="s">
        <v>335</v>
      </c>
      <c r="D531" s="40">
        <v>4</v>
      </c>
      <c r="E531" s="40">
        <v>0</v>
      </c>
      <c r="F531" s="40">
        <v>4</v>
      </c>
      <c r="G531" s="162" t="s">
        <v>83</v>
      </c>
      <c r="H531" s="163">
        <v>0</v>
      </c>
      <c r="I531" s="163">
        <v>0</v>
      </c>
      <c r="J531" s="163">
        <v>1</v>
      </c>
      <c r="K531" s="163">
        <v>0</v>
      </c>
      <c r="L531" s="163">
        <v>3</v>
      </c>
      <c r="M531" s="163">
        <v>0</v>
      </c>
      <c r="N531" s="115">
        <v>1.8018018018018001E-2</v>
      </c>
      <c r="O531" s="115">
        <v>2.2471910112359599E-2</v>
      </c>
      <c r="P531" s="116" t="s">
        <v>83</v>
      </c>
      <c r="Q531" s="115">
        <v>0</v>
      </c>
      <c r="R531" s="115">
        <v>0</v>
      </c>
      <c r="S531" s="115">
        <v>2.27272727272727E-2</v>
      </c>
      <c r="T531" s="115">
        <v>0</v>
      </c>
      <c r="U531" s="115">
        <v>5.7692307692307702E-2</v>
      </c>
      <c r="V531" s="115">
        <v>0</v>
      </c>
      <c r="W531" s="40">
        <v>217</v>
      </c>
      <c r="X531" s="40">
        <f t="shared" si="40"/>
        <v>173</v>
      </c>
      <c r="Y531" s="40">
        <f t="shared" si="41"/>
        <v>217</v>
      </c>
      <c r="Z531" s="105">
        <v>0.44700460829493099</v>
      </c>
      <c r="AA531" s="105">
        <v>0.55299539170506895</v>
      </c>
      <c r="AB531" s="106">
        <v>0</v>
      </c>
      <c r="AC531" s="106">
        <v>0</v>
      </c>
      <c r="AD531" s="106">
        <f>216/217</f>
        <v>0.99539170506912444</v>
      </c>
      <c r="AE531" s="106">
        <v>0</v>
      </c>
      <c r="AF531" s="106">
        <v>0</v>
      </c>
      <c r="AG531" s="106">
        <f>1/217</f>
        <v>4.608294930875576E-3</v>
      </c>
      <c r="AH531" s="106">
        <v>0</v>
      </c>
      <c r="AI531" s="106">
        <f>216/217</f>
        <v>0.99539170506912444</v>
      </c>
      <c r="AJ531" s="105">
        <v>0.74193548387096775</v>
      </c>
      <c r="AK531" s="105">
        <v>0</v>
      </c>
      <c r="AL531" s="12">
        <v>0</v>
      </c>
      <c r="AM531" s="12">
        <v>44</v>
      </c>
      <c r="AN531" s="12">
        <v>4</v>
      </c>
      <c r="AO531" s="12">
        <v>42</v>
      </c>
      <c r="AP531" s="12">
        <v>40</v>
      </c>
      <c r="AQ531" s="12">
        <v>51</v>
      </c>
      <c r="AR531" s="12">
        <v>36</v>
      </c>
      <c r="AS531" s="59">
        <v>8.6956521739130432E-2</v>
      </c>
      <c r="AT531" s="3">
        <v>8</v>
      </c>
      <c r="AU531" s="3">
        <v>6</v>
      </c>
      <c r="AV531" s="52">
        <v>90.9</v>
      </c>
      <c r="AW531" s="52">
        <v>8.6</v>
      </c>
      <c r="AX531" s="52">
        <v>0.6</v>
      </c>
      <c r="AY531" s="70">
        <v>0</v>
      </c>
      <c r="AZ531" s="59">
        <v>4.5045045045045045E-3</v>
      </c>
      <c r="BA531" s="59">
        <v>0</v>
      </c>
      <c r="BB531" s="77">
        <v>96.319076202524798</v>
      </c>
      <c r="BC531" s="49">
        <v>36.681222707423601</v>
      </c>
      <c r="BD531" s="90" t="s">
        <v>83</v>
      </c>
      <c r="BE531" s="49">
        <v>0</v>
      </c>
      <c r="BF531" s="49">
        <v>9.8000000000000007</v>
      </c>
      <c r="BG531" s="49">
        <v>2.5</v>
      </c>
      <c r="BH531" s="49">
        <v>5</v>
      </c>
      <c r="BI531" s="49">
        <v>0</v>
      </c>
      <c r="BJ531" s="49">
        <v>19.2</v>
      </c>
      <c r="BK531" s="126">
        <v>15656</v>
      </c>
      <c r="BL531" s="126">
        <v>43922</v>
      </c>
      <c r="BM531" s="126">
        <v>61976</v>
      </c>
      <c r="BN531" s="126">
        <v>40583</v>
      </c>
      <c r="BO531" s="59">
        <v>2.6599999999999999E-2</v>
      </c>
      <c r="BP531" s="59">
        <v>0.3654</v>
      </c>
      <c r="BQ531" s="59">
        <v>0.1065</v>
      </c>
      <c r="BR531" s="59">
        <v>0</v>
      </c>
      <c r="BS531" s="59">
        <v>0</v>
      </c>
      <c r="BT531" s="49">
        <v>9.1</v>
      </c>
      <c r="BU531" s="59">
        <f t="shared" si="42"/>
        <v>0.4985</v>
      </c>
      <c r="BV531" s="59">
        <v>2.6599999999999999E-2</v>
      </c>
      <c r="BW531" s="59">
        <v>0</v>
      </c>
      <c r="BX531" s="59">
        <v>5.33E-2</v>
      </c>
      <c r="BY531" s="59">
        <v>0</v>
      </c>
      <c r="BZ531" s="59">
        <v>0</v>
      </c>
      <c r="CA531" s="49">
        <v>15.3</v>
      </c>
      <c r="CB531" s="59">
        <f t="shared" si="43"/>
        <v>7.9899999999999999E-2</v>
      </c>
      <c r="CC531" s="59">
        <v>0.37280000000000002</v>
      </c>
      <c r="CD531" s="59">
        <v>0.43190000000000001</v>
      </c>
      <c r="CE531" s="59">
        <v>0.1953</v>
      </c>
      <c r="CF531" s="59">
        <v>0</v>
      </c>
      <c r="CG531" s="59">
        <v>0</v>
      </c>
      <c r="CH531" s="49">
        <v>11</v>
      </c>
      <c r="CI531" s="39" t="s">
        <v>335</v>
      </c>
      <c r="CJ531" s="18" t="s">
        <v>479</v>
      </c>
      <c r="CK531" s="20"/>
    </row>
    <row r="532" spans="1:89" x14ac:dyDescent="0.25">
      <c r="A532" s="18" t="s">
        <v>479</v>
      </c>
      <c r="B532" s="39" t="s">
        <v>336</v>
      </c>
      <c r="C532" s="39" t="s">
        <v>337</v>
      </c>
      <c r="D532" s="40">
        <v>20</v>
      </c>
      <c r="E532" s="40" t="s">
        <v>83</v>
      </c>
      <c r="F532" s="40">
        <v>20</v>
      </c>
      <c r="G532" s="162" t="s">
        <v>83</v>
      </c>
      <c r="H532" s="162" t="s">
        <v>83</v>
      </c>
      <c r="I532" s="163">
        <v>0</v>
      </c>
      <c r="J532" s="163">
        <v>12</v>
      </c>
      <c r="K532" s="163">
        <v>2</v>
      </c>
      <c r="L532" s="163">
        <v>1</v>
      </c>
      <c r="M532" s="163">
        <v>5</v>
      </c>
      <c r="N532" s="115">
        <v>2.7027027027027001E-2</v>
      </c>
      <c r="O532" s="115">
        <v>2.7027027027027001E-2</v>
      </c>
      <c r="P532" s="116" t="s">
        <v>83</v>
      </c>
      <c r="Q532" s="116" t="s">
        <v>83</v>
      </c>
      <c r="R532" s="115">
        <v>0</v>
      </c>
      <c r="S532" s="115">
        <v>4.8000000000000001E-2</v>
      </c>
      <c r="T532" s="115">
        <v>1.1428571428571401E-2</v>
      </c>
      <c r="U532" s="115">
        <v>6.9444444444444397E-3</v>
      </c>
      <c r="V532" s="115">
        <v>2.9940119760479E-2</v>
      </c>
      <c r="W532" s="40">
        <v>687</v>
      </c>
      <c r="X532" s="40">
        <f t="shared" si="40"/>
        <v>687</v>
      </c>
      <c r="Y532" s="40">
        <f t="shared" si="41"/>
        <v>687</v>
      </c>
      <c r="Z532" s="105">
        <v>0.51237263464337701</v>
      </c>
      <c r="AA532" s="105">
        <v>0.48762736535662299</v>
      </c>
      <c r="AB532" s="106">
        <f>1/687</f>
        <v>1.455604075691412E-3</v>
      </c>
      <c r="AC532" s="106">
        <f>5/687</f>
        <v>7.2780203784570596E-3</v>
      </c>
      <c r="AD532" s="106">
        <f>258/687</f>
        <v>0.37554585152838427</v>
      </c>
      <c r="AE532" s="106">
        <f>13/687</f>
        <v>1.8922852983988356E-2</v>
      </c>
      <c r="AF532" s="106">
        <f>2/687</f>
        <v>2.911208151382824E-3</v>
      </c>
      <c r="AG532" s="106">
        <f>408/687</f>
        <v>0.59388646288209612</v>
      </c>
      <c r="AH532" s="106">
        <v>0</v>
      </c>
      <c r="AI532" s="106">
        <f>279/687</f>
        <v>0.40611353711790393</v>
      </c>
      <c r="AJ532" s="105">
        <v>0.7016011644832606</v>
      </c>
      <c r="AK532" s="105">
        <v>8.7336244541484694E-3</v>
      </c>
      <c r="AL532" s="12">
        <v>0</v>
      </c>
      <c r="AM532" s="12">
        <v>0</v>
      </c>
      <c r="AN532" s="12">
        <v>4</v>
      </c>
      <c r="AO532" s="12">
        <v>219</v>
      </c>
      <c r="AP532" s="12">
        <v>165</v>
      </c>
      <c r="AQ532" s="12">
        <v>138</v>
      </c>
      <c r="AR532" s="12">
        <v>161</v>
      </c>
      <c r="AS532" s="59">
        <v>1.7937219730941704E-2</v>
      </c>
      <c r="AT532" s="3">
        <v>9</v>
      </c>
      <c r="AU532" s="3">
        <v>6</v>
      </c>
      <c r="AV532" s="52">
        <v>66.5</v>
      </c>
      <c r="AW532" s="52">
        <v>20.100000000000001</v>
      </c>
      <c r="AX532" s="52">
        <v>12.9</v>
      </c>
      <c r="AY532" s="71">
        <v>0.6</v>
      </c>
      <c r="AZ532" s="59">
        <v>0.14738292011019283</v>
      </c>
      <c r="BA532" s="59">
        <v>0.21625344352617079</v>
      </c>
      <c r="BB532" s="78">
        <v>92.417592799354097</v>
      </c>
      <c r="BC532" s="49"/>
      <c r="BD532" s="90" t="s">
        <v>83</v>
      </c>
      <c r="BE532" s="90" t="s">
        <v>83</v>
      </c>
      <c r="BF532" s="49">
        <v>8.5</v>
      </c>
      <c r="BG532" s="49">
        <v>10.5</v>
      </c>
      <c r="BH532" s="49">
        <v>3.9</v>
      </c>
      <c r="BI532" s="49">
        <v>1.3</v>
      </c>
      <c r="BJ532" s="49">
        <v>18.5</v>
      </c>
      <c r="BK532" s="126">
        <v>8448</v>
      </c>
      <c r="BL532" s="126">
        <v>61737</v>
      </c>
      <c r="BM532" s="126">
        <v>49677</v>
      </c>
      <c r="BN532" s="126">
        <v>44257</v>
      </c>
      <c r="BO532" s="59">
        <v>0</v>
      </c>
      <c r="BP532" s="59">
        <v>0</v>
      </c>
      <c r="BQ532" s="59">
        <v>1.72E-2</v>
      </c>
      <c r="BR532" s="59">
        <v>0</v>
      </c>
      <c r="BS532" s="59">
        <v>0</v>
      </c>
      <c r="BT532" s="49">
        <v>11</v>
      </c>
      <c r="BU532" s="59">
        <f t="shared" si="42"/>
        <v>1.72E-2</v>
      </c>
      <c r="BV532" s="59">
        <v>3.4500000000000003E-2</v>
      </c>
      <c r="BW532" s="59">
        <v>0</v>
      </c>
      <c r="BX532" s="59">
        <v>5.1700000000000003E-2</v>
      </c>
      <c r="BY532" s="59">
        <v>0</v>
      </c>
      <c r="BZ532" s="59">
        <v>0</v>
      </c>
      <c r="CA532" s="49">
        <v>22.2</v>
      </c>
      <c r="CB532" s="59">
        <f t="shared" si="43"/>
        <v>8.6199999999999999E-2</v>
      </c>
      <c r="CC532" s="59">
        <v>0.2026</v>
      </c>
      <c r="CD532" s="59">
        <v>0.51559999999999995</v>
      </c>
      <c r="CE532" s="59">
        <v>0.28179999999999999</v>
      </c>
      <c r="CF532" s="59">
        <v>0</v>
      </c>
      <c r="CG532" s="59">
        <v>0</v>
      </c>
      <c r="CH532" s="49">
        <v>15</v>
      </c>
      <c r="CI532" s="39" t="s">
        <v>337</v>
      </c>
      <c r="CJ532" s="18" t="s">
        <v>479</v>
      </c>
      <c r="CK532" s="20"/>
    </row>
    <row r="533" spans="1:89" x14ac:dyDescent="0.25">
      <c r="A533" s="18" t="s">
        <v>479</v>
      </c>
      <c r="B533" s="39" t="s">
        <v>336</v>
      </c>
      <c r="C533" s="39" t="s">
        <v>338</v>
      </c>
      <c r="D533" s="40">
        <v>95</v>
      </c>
      <c r="E533" s="40" t="s">
        <v>83</v>
      </c>
      <c r="F533" s="40">
        <v>95</v>
      </c>
      <c r="G533" s="162" t="s">
        <v>83</v>
      </c>
      <c r="H533" s="162" t="s">
        <v>83</v>
      </c>
      <c r="I533" s="163">
        <v>0</v>
      </c>
      <c r="J533" s="163">
        <v>44</v>
      </c>
      <c r="K533" s="163">
        <v>26</v>
      </c>
      <c r="L533" s="163">
        <v>15</v>
      </c>
      <c r="M533" s="163">
        <v>10</v>
      </c>
      <c r="N533" s="115">
        <v>0.10106382978723399</v>
      </c>
      <c r="O533" s="115">
        <v>0.10106382978723399</v>
      </c>
      <c r="P533" s="116" t="s">
        <v>83</v>
      </c>
      <c r="Q533" s="116" t="s">
        <v>83</v>
      </c>
      <c r="R533" s="115">
        <v>0</v>
      </c>
      <c r="S533" s="115">
        <v>0.128279883381924</v>
      </c>
      <c r="T533" s="115">
        <v>0.104838709677419</v>
      </c>
      <c r="U533" s="115">
        <v>7.3529411764705899E-2</v>
      </c>
      <c r="V533" s="115">
        <v>7.1428571428571397E-2</v>
      </c>
      <c r="W533" s="40">
        <v>772</v>
      </c>
      <c r="X533" s="40">
        <f t="shared" si="40"/>
        <v>772</v>
      </c>
      <c r="Y533" s="40">
        <f t="shared" si="41"/>
        <v>772</v>
      </c>
      <c r="Z533" s="105">
        <v>0.50518134715025897</v>
      </c>
      <c r="AA533" s="105">
        <v>0.49481865284974103</v>
      </c>
      <c r="AB533" s="106">
        <f>2/772</f>
        <v>2.5906735751295338E-3</v>
      </c>
      <c r="AC533" s="106">
        <f>13/772</f>
        <v>1.683937823834197E-2</v>
      </c>
      <c r="AD533" s="106">
        <f>613/772</f>
        <v>0.79404145077720212</v>
      </c>
      <c r="AE533" s="106">
        <f>9/772</f>
        <v>1.1658031088082901E-2</v>
      </c>
      <c r="AF533" s="106">
        <v>0</v>
      </c>
      <c r="AG533" s="106">
        <f>132/772</f>
        <v>0.17098445595854922</v>
      </c>
      <c r="AH533" s="106">
        <f>3/772</f>
        <v>3.8860103626943004E-3</v>
      </c>
      <c r="AI533" s="106">
        <f>640/772</f>
        <v>0.82901554404145072</v>
      </c>
      <c r="AJ533" s="105">
        <v>0.74352331606217614</v>
      </c>
      <c r="AK533" s="105">
        <v>9.0673575129533706E-3</v>
      </c>
      <c r="AL533" s="12">
        <v>0</v>
      </c>
      <c r="AM533" s="12">
        <v>0</v>
      </c>
      <c r="AN533" s="12">
        <v>3</v>
      </c>
      <c r="AO533" s="12">
        <v>287</v>
      </c>
      <c r="AP533" s="12">
        <v>197</v>
      </c>
      <c r="AQ533" s="12">
        <v>164</v>
      </c>
      <c r="AR533" s="12">
        <v>121</v>
      </c>
      <c r="AS533" s="59">
        <v>1.0344827586206896E-2</v>
      </c>
      <c r="AT533" s="3">
        <v>9</v>
      </c>
      <c r="AU533" s="3">
        <v>6</v>
      </c>
      <c r="AV533" s="52">
        <v>75</v>
      </c>
      <c r="AW533" s="52">
        <v>18.5</v>
      </c>
      <c r="AX533" s="52">
        <v>6</v>
      </c>
      <c r="AY533" s="71">
        <v>0.5</v>
      </c>
      <c r="AZ533" s="59">
        <v>6.5217391304347823E-3</v>
      </c>
      <c r="BA533" s="59">
        <v>0.10652173913043478</v>
      </c>
      <c r="BB533" s="77">
        <v>94.517624240202807</v>
      </c>
      <c r="BC533" s="49">
        <v>4.7670639219934996</v>
      </c>
      <c r="BD533" s="90" t="s">
        <v>83</v>
      </c>
      <c r="BE533" s="90" t="s">
        <v>83</v>
      </c>
      <c r="BF533" s="49">
        <v>23.2</v>
      </c>
      <c r="BG533" s="49">
        <v>7.6</v>
      </c>
      <c r="BH533" s="49">
        <v>5.4</v>
      </c>
      <c r="BI533" s="49">
        <v>0</v>
      </c>
      <c r="BJ533" s="49">
        <v>19.100000000000001</v>
      </c>
      <c r="BK533" s="126">
        <v>9805</v>
      </c>
      <c r="BL533" s="126">
        <v>54305</v>
      </c>
      <c r="BM533" s="126">
        <v>48868</v>
      </c>
      <c r="BN533" s="126">
        <v>39833</v>
      </c>
      <c r="BO533" s="59">
        <v>0</v>
      </c>
      <c r="BP533" s="59">
        <v>0</v>
      </c>
      <c r="BQ533" s="59">
        <v>3.5299999999999998E-2</v>
      </c>
      <c r="BR533" s="59">
        <v>0</v>
      </c>
      <c r="BS533" s="59">
        <v>0</v>
      </c>
      <c r="BT533" s="49">
        <v>15</v>
      </c>
      <c r="BU533" s="59">
        <f t="shared" si="42"/>
        <v>3.5299999999999998E-2</v>
      </c>
      <c r="BV533" s="59">
        <v>1.18E-2</v>
      </c>
      <c r="BW533" s="59">
        <v>0</v>
      </c>
      <c r="BX533" s="59">
        <v>3.5299999999999998E-2</v>
      </c>
      <c r="BY533" s="59">
        <v>0</v>
      </c>
      <c r="BZ533" s="59">
        <v>1.18E-2</v>
      </c>
      <c r="CA533" s="49">
        <v>16.2</v>
      </c>
      <c r="CB533" s="59">
        <f t="shared" si="43"/>
        <v>5.8899999999999994E-2</v>
      </c>
      <c r="CC533" s="59">
        <v>0.27360000000000001</v>
      </c>
      <c r="CD533" s="59">
        <v>0.47860000000000003</v>
      </c>
      <c r="CE533" s="59">
        <v>0.23599999999999999</v>
      </c>
      <c r="CF533" s="59">
        <v>0</v>
      </c>
      <c r="CG533" s="59">
        <v>1.18E-2</v>
      </c>
      <c r="CH533" s="49">
        <v>12.1</v>
      </c>
      <c r="CI533" s="39" t="s">
        <v>338</v>
      </c>
      <c r="CJ533" s="18" t="s">
        <v>479</v>
      </c>
      <c r="CK533" s="20"/>
    </row>
    <row r="534" spans="1:89" x14ac:dyDescent="0.25">
      <c r="A534" s="18" t="s">
        <v>479</v>
      </c>
      <c r="B534" s="39" t="s">
        <v>336</v>
      </c>
      <c r="C534" s="39" t="s">
        <v>339</v>
      </c>
      <c r="D534" s="40">
        <v>16</v>
      </c>
      <c r="E534" s="40">
        <v>3</v>
      </c>
      <c r="F534" s="40">
        <v>13</v>
      </c>
      <c r="G534" s="163">
        <v>2</v>
      </c>
      <c r="H534" s="163">
        <v>1</v>
      </c>
      <c r="I534" s="163">
        <v>0</v>
      </c>
      <c r="J534" s="163">
        <v>7</v>
      </c>
      <c r="K534" s="163">
        <v>3</v>
      </c>
      <c r="L534" s="163">
        <v>2</v>
      </c>
      <c r="M534" s="163">
        <v>1</v>
      </c>
      <c r="N534" s="115">
        <v>5.5172413793103399E-2</v>
      </c>
      <c r="O534" s="115">
        <v>6.9518716577540093E-2</v>
      </c>
      <c r="P534" s="115">
        <v>4.5454545454545497E-2</v>
      </c>
      <c r="Q534" s="115">
        <v>1.6949152542372899E-2</v>
      </c>
      <c r="R534" s="115">
        <v>0</v>
      </c>
      <c r="S534" s="115">
        <v>8.9743589743589702E-2</v>
      </c>
      <c r="T534" s="115">
        <v>7.8947368421052599E-2</v>
      </c>
      <c r="U534" s="115">
        <v>4.8780487804878099E-2</v>
      </c>
      <c r="V534" s="115">
        <v>3.3333333333333298E-2</v>
      </c>
      <c r="W534" s="40">
        <v>323</v>
      </c>
      <c r="X534" s="40">
        <f t="shared" si="40"/>
        <v>144</v>
      </c>
      <c r="Y534" s="40">
        <f t="shared" si="41"/>
        <v>234</v>
      </c>
      <c r="Z534" s="105">
        <v>0.44582043343653199</v>
      </c>
      <c r="AA534" s="105">
        <v>0.55417956656346701</v>
      </c>
      <c r="AB534" s="106">
        <v>0</v>
      </c>
      <c r="AC534" s="106">
        <f>1/323</f>
        <v>3.0959752321981426E-3</v>
      </c>
      <c r="AD534" s="106">
        <f>237/323</f>
        <v>0.73374613003095979</v>
      </c>
      <c r="AE534" s="106">
        <f>5/323</f>
        <v>1.5479876160990712E-2</v>
      </c>
      <c r="AF534" s="106">
        <v>0</v>
      </c>
      <c r="AG534" s="106">
        <f>80/323</f>
        <v>0.24767801857585139</v>
      </c>
      <c r="AH534" s="106">
        <v>0</v>
      </c>
      <c r="AI534" s="106">
        <f>243/323</f>
        <v>0.75232198142414863</v>
      </c>
      <c r="AJ534" s="105">
        <v>0.86377708978328172</v>
      </c>
      <c r="AK534" s="105">
        <v>0</v>
      </c>
      <c r="AL534" s="12">
        <v>37</v>
      </c>
      <c r="AM534" s="12">
        <v>53</v>
      </c>
      <c r="AN534" s="12">
        <v>1</v>
      </c>
      <c r="AO534" s="12">
        <v>49</v>
      </c>
      <c r="AP534" s="12">
        <v>30</v>
      </c>
      <c r="AQ534" s="12">
        <v>37</v>
      </c>
      <c r="AR534" s="12">
        <v>27</v>
      </c>
      <c r="AS534" s="59">
        <v>0.02</v>
      </c>
      <c r="AT534" s="3">
        <v>5</v>
      </c>
      <c r="AU534" s="3">
        <v>6</v>
      </c>
      <c r="AV534" s="52">
        <v>86.8</v>
      </c>
      <c r="AW534" s="52">
        <v>10.4</v>
      </c>
      <c r="AX534" s="52">
        <v>2.9</v>
      </c>
      <c r="AY534" s="70">
        <v>0</v>
      </c>
      <c r="AZ534" s="59">
        <v>0</v>
      </c>
      <c r="BA534" s="59">
        <v>0.31914893617021278</v>
      </c>
      <c r="BB534" s="78">
        <v>94.458267360325706</v>
      </c>
      <c r="BC534" s="49">
        <v>3.1413612565445002</v>
      </c>
      <c r="BD534" s="49">
        <v>9.6999999999999993</v>
      </c>
      <c r="BE534" s="49">
        <v>5.0999999999999996</v>
      </c>
      <c r="BF534" s="49">
        <v>27</v>
      </c>
      <c r="BG534" s="49">
        <v>13.8</v>
      </c>
      <c r="BH534" s="49">
        <v>2.9</v>
      </c>
      <c r="BI534" s="49">
        <v>8.3000000000000007</v>
      </c>
      <c r="BJ534" s="49">
        <v>17</v>
      </c>
      <c r="BK534" s="126">
        <v>20824</v>
      </c>
      <c r="BL534" s="126">
        <v>48685</v>
      </c>
      <c r="BM534" s="126">
        <v>45766</v>
      </c>
      <c r="BN534" s="126">
        <v>39751</v>
      </c>
      <c r="BO534" s="59">
        <v>0</v>
      </c>
      <c r="BP534" s="59">
        <v>0.17910000000000001</v>
      </c>
      <c r="BQ534" s="59">
        <v>6.7199999999999996E-2</v>
      </c>
      <c r="BR534" s="59">
        <v>0</v>
      </c>
      <c r="BS534" s="59">
        <v>0</v>
      </c>
      <c r="BT534" s="49">
        <v>14.8</v>
      </c>
      <c r="BU534" s="59">
        <f t="shared" si="42"/>
        <v>0.24630000000000002</v>
      </c>
      <c r="BV534" s="59">
        <v>3.9100000000000003E-2</v>
      </c>
      <c r="BW534" s="59">
        <v>2.5000000000000001E-3</v>
      </c>
      <c r="BX534" s="59">
        <v>4.48E-2</v>
      </c>
      <c r="BY534" s="59">
        <v>0</v>
      </c>
      <c r="BZ534" s="59">
        <v>0</v>
      </c>
      <c r="CA534" s="49">
        <v>22.6</v>
      </c>
      <c r="CB534" s="59">
        <f t="shared" si="43"/>
        <v>8.6400000000000005E-2</v>
      </c>
      <c r="CC534" s="59">
        <v>0.32229999999999998</v>
      </c>
      <c r="CD534" s="59">
        <v>0.45379999999999998</v>
      </c>
      <c r="CE534" s="59">
        <v>0.22389999999999999</v>
      </c>
      <c r="CF534" s="59">
        <v>0</v>
      </c>
      <c r="CG534" s="59">
        <v>0</v>
      </c>
      <c r="CH534" s="49">
        <v>12.5</v>
      </c>
      <c r="CI534" s="39" t="s">
        <v>339</v>
      </c>
      <c r="CJ534" s="18" t="s">
        <v>479</v>
      </c>
      <c r="CK534" s="20"/>
    </row>
    <row r="535" spans="1:89" x14ac:dyDescent="0.25">
      <c r="A535" s="18" t="s">
        <v>479</v>
      </c>
      <c r="B535" s="39" t="s">
        <v>336</v>
      </c>
      <c r="C535" s="39" t="s">
        <v>340</v>
      </c>
      <c r="D535" s="40">
        <v>57</v>
      </c>
      <c r="E535" s="40" t="s">
        <v>83</v>
      </c>
      <c r="F535" s="40">
        <v>57</v>
      </c>
      <c r="G535" s="162" t="s">
        <v>83</v>
      </c>
      <c r="H535" s="162" t="s">
        <v>83</v>
      </c>
      <c r="I535" s="163">
        <v>0</v>
      </c>
      <c r="J535" s="163">
        <v>31</v>
      </c>
      <c r="K535" s="163">
        <v>9</v>
      </c>
      <c r="L535" s="163">
        <v>7</v>
      </c>
      <c r="M535" s="163">
        <v>10</v>
      </c>
      <c r="N535" s="115">
        <v>5.8103975535168197E-2</v>
      </c>
      <c r="O535" s="115">
        <v>5.8103975535168197E-2</v>
      </c>
      <c r="P535" s="116" t="s">
        <v>83</v>
      </c>
      <c r="Q535" s="116" t="s">
        <v>83</v>
      </c>
      <c r="R535" s="115">
        <v>0</v>
      </c>
      <c r="S535" s="115">
        <v>9.3373493975903596E-2</v>
      </c>
      <c r="T535" s="115">
        <v>3.47490347490347E-2</v>
      </c>
      <c r="U535" s="115">
        <v>3.3816425120772903E-2</v>
      </c>
      <c r="V535" s="115">
        <v>5.5248618784530398E-2</v>
      </c>
      <c r="W535" s="40">
        <v>915</v>
      </c>
      <c r="X535" s="40">
        <f t="shared" si="40"/>
        <v>915</v>
      </c>
      <c r="Y535" s="40">
        <f t="shared" si="41"/>
        <v>915</v>
      </c>
      <c r="Z535" s="105">
        <v>0.490710382513661</v>
      </c>
      <c r="AA535" s="105">
        <v>0.50928961748633905</v>
      </c>
      <c r="AB535" s="106">
        <f>1/915</f>
        <v>1.092896174863388E-3</v>
      </c>
      <c r="AC535" s="106">
        <f>2/915</f>
        <v>2.185792349726776E-3</v>
      </c>
      <c r="AD535" s="106">
        <f>359/915</f>
        <v>0.39234972677595631</v>
      </c>
      <c r="AE535" s="106">
        <f>32/915</f>
        <v>3.4972677595628415E-2</v>
      </c>
      <c r="AF535" s="106">
        <v>0</v>
      </c>
      <c r="AG535" s="106">
        <f>518/915</f>
        <v>0.566120218579235</v>
      </c>
      <c r="AH535" s="106">
        <f>3/915</f>
        <v>3.2786885245901639E-3</v>
      </c>
      <c r="AI535" s="106">
        <f>397/915</f>
        <v>0.43387978142076505</v>
      </c>
      <c r="AJ535" s="105">
        <v>0.56284153005464477</v>
      </c>
      <c r="AK535" s="105">
        <v>1.3114754098360701E-2</v>
      </c>
      <c r="AL535" s="12">
        <v>0</v>
      </c>
      <c r="AM535" s="12">
        <v>0</v>
      </c>
      <c r="AN535" s="12">
        <v>2</v>
      </c>
      <c r="AO535" s="12">
        <v>298</v>
      </c>
      <c r="AP535" s="12">
        <v>246</v>
      </c>
      <c r="AQ535" s="12">
        <v>204</v>
      </c>
      <c r="AR535" s="12">
        <v>165</v>
      </c>
      <c r="AS535" s="59">
        <v>6.6666666666666671E-3</v>
      </c>
      <c r="AT535" s="3">
        <v>9</v>
      </c>
      <c r="AU535" s="3">
        <v>6</v>
      </c>
      <c r="AV535" s="52">
        <v>57</v>
      </c>
      <c r="AW535" s="52">
        <v>26.9</v>
      </c>
      <c r="AX535" s="52">
        <v>16.2</v>
      </c>
      <c r="AY535" s="70">
        <v>0</v>
      </c>
      <c r="AZ535" s="59">
        <v>1.0427528675703858E-3</v>
      </c>
      <c r="BA535" s="59">
        <v>0.12095933263816476</v>
      </c>
      <c r="BB535" s="77">
        <v>94.766013407319505</v>
      </c>
      <c r="BC535" s="49">
        <v>6.9864442127215796</v>
      </c>
      <c r="BD535" s="90" t="s">
        <v>83</v>
      </c>
      <c r="BE535" s="90" t="s">
        <v>83</v>
      </c>
      <c r="BF535" s="49">
        <v>24.3</v>
      </c>
      <c r="BG535" s="49">
        <v>12.1</v>
      </c>
      <c r="BH535" s="49">
        <v>3.1</v>
      </c>
      <c r="BI535" s="49">
        <v>4.2</v>
      </c>
      <c r="BJ535" s="49">
        <v>19.7</v>
      </c>
      <c r="BK535" s="126">
        <v>7873</v>
      </c>
      <c r="BL535" s="126">
        <v>57565</v>
      </c>
      <c r="BM535" s="126">
        <v>47319</v>
      </c>
      <c r="BN535" s="126">
        <v>41314</v>
      </c>
      <c r="BO535" s="59">
        <v>0</v>
      </c>
      <c r="BP535" s="59">
        <v>1.41E-2</v>
      </c>
      <c r="BQ535" s="59">
        <v>1.41E-2</v>
      </c>
      <c r="BR535" s="59">
        <v>1.41E-2</v>
      </c>
      <c r="BS535" s="59">
        <v>0</v>
      </c>
      <c r="BT535" s="49">
        <v>14</v>
      </c>
      <c r="BU535" s="59">
        <f t="shared" si="42"/>
        <v>4.2299999999999997E-2</v>
      </c>
      <c r="BV535" s="59">
        <v>2.81E-2</v>
      </c>
      <c r="BW535" s="59">
        <v>0</v>
      </c>
      <c r="BX535" s="59">
        <v>4.2200000000000001E-2</v>
      </c>
      <c r="BY535" s="59">
        <v>0</v>
      </c>
      <c r="BZ535" s="59">
        <v>0</v>
      </c>
      <c r="CA535" s="49">
        <v>11.8</v>
      </c>
      <c r="CB535" s="59">
        <f t="shared" si="43"/>
        <v>7.0300000000000001E-2</v>
      </c>
      <c r="CC535" s="59">
        <v>0.2341</v>
      </c>
      <c r="CD535" s="59">
        <v>0.52680000000000005</v>
      </c>
      <c r="CE535" s="59">
        <v>0.22509999999999999</v>
      </c>
      <c r="CF535" s="59">
        <v>1.41E-2</v>
      </c>
      <c r="CG535" s="59">
        <v>0</v>
      </c>
      <c r="CH535" s="49">
        <v>11.1</v>
      </c>
      <c r="CI535" s="39" t="s">
        <v>340</v>
      </c>
      <c r="CJ535" s="18" t="s">
        <v>479</v>
      </c>
      <c r="CK535" s="20"/>
    </row>
    <row r="536" spans="1:89" x14ac:dyDescent="0.25">
      <c r="A536" s="18" t="s">
        <v>479</v>
      </c>
      <c r="B536" s="39" t="s">
        <v>336</v>
      </c>
      <c r="C536" s="39" t="s">
        <v>341</v>
      </c>
      <c r="D536" s="40">
        <v>35</v>
      </c>
      <c r="E536" s="40" t="s">
        <v>83</v>
      </c>
      <c r="F536" s="40">
        <v>35</v>
      </c>
      <c r="G536" s="162" t="s">
        <v>83</v>
      </c>
      <c r="H536" s="162" t="s">
        <v>83</v>
      </c>
      <c r="I536" s="163">
        <v>0</v>
      </c>
      <c r="J536" s="163">
        <v>11</v>
      </c>
      <c r="K536" s="163">
        <v>11</v>
      </c>
      <c r="L536" s="163">
        <v>9</v>
      </c>
      <c r="M536" s="163">
        <v>4</v>
      </c>
      <c r="N536" s="115">
        <v>5.7377049180327898E-2</v>
      </c>
      <c r="O536" s="115">
        <v>5.7377049180327898E-2</v>
      </c>
      <c r="P536" s="116" t="s">
        <v>83</v>
      </c>
      <c r="Q536" s="116" t="s">
        <v>83</v>
      </c>
      <c r="R536" s="115">
        <v>0</v>
      </c>
      <c r="S536" s="115">
        <v>5.4187192118226597E-2</v>
      </c>
      <c r="T536" s="115">
        <v>7.1895424836601302E-2</v>
      </c>
      <c r="U536" s="115">
        <v>7.69230769230769E-2</v>
      </c>
      <c r="V536" s="115">
        <v>3.2520325203252001E-2</v>
      </c>
      <c r="W536" s="40">
        <v>552</v>
      </c>
      <c r="X536" s="40">
        <f t="shared" si="40"/>
        <v>552</v>
      </c>
      <c r="Y536" s="40">
        <f t="shared" si="41"/>
        <v>552</v>
      </c>
      <c r="Z536" s="105">
        <v>0.48369565217391303</v>
      </c>
      <c r="AA536" s="105">
        <v>0.51630434782608703</v>
      </c>
      <c r="AB536" s="106">
        <f>3/552</f>
        <v>5.434782608695652E-3</v>
      </c>
      <c r="AC536" s="106">
        <v>0</v>
      </c>
      <c r="AD536" s="106">
        <f>388/552</f>
        <v>0.70289855072463769</v>
      </c>
      <c r="AE536" s="106">
        <f>6/552</f>
        <v>1.0869565217391304E-2</v>
      </c>
      <c r="AF536" s="106">
        <v>0</v>
      </c>
      <c r="AG536" s="106">
        <f>154/552</f>
        <v>0.27898550724637683</v>
      </c>
      <c r="AH536" s="106">
        <f>1/552</f>
        <v>1.8115942028985507E-3</v>
      </c>
      <c r="AI536" s="106">
        <f>398/552</f>
        <v>0.72101449275362317</v>
      </c>
      <c r="AJ536" s="105">
        <v>0.73188405797101452</v>
      </c>
      <c r="AK536" s="105">
        <v>0</v>
      </c>
      <c r="AL536" s="12">
        <v>0</v>
      </c>
      <c r="AM536" s="12">
        <v>0</v>
      </c>
      <c r="AN536" s="12">
        <v>12</v>
      </c>
      <c r="AO536" s="12">
        <v>177</v>
      </c>
      <c r="AP536" s="12">
        <v>135</v>
      </c>
      <c r="AQ536" s="12">
        <v>110</v>
      </c>
      <c r="AR536" s="12">
        <v>118</v>
      </c>
      <c r="AS536" s="59">
        <v>6.3492063492063489E-2</v>
      </c>
      <c r="AT536" s="3">
        <v>9</v>
      </c>
      <c r="AU536" s="3">
        <v>6</v>
      </c>
      <c r="AV536" s="52">
        <v>72.099999999999994</v>
      </c>
      <c r="AW536" s="52">
        <v>22.8</v>
      </c>
      <c r="AX536" s="52">
        <v>4.7</v>
      </c>
      <c r="AY536" s="71">
        <v>0.4</v>
      </c>
      <c r="AZ536" s="59">
        <v>0</v>
      </c>
      <c r="BA536" s="59">
        <v>0.23946037099494097</v>
      </c>
      <c r="BB536" s="78">
        <v>94.997186448235993</v>
      </c>
      <c r="BC536" s="49">
        <v>0.168634064080944</v>
      </c>
      <c r="BD536" s="90" t="s">
        <v>83</v>
      </c>
      <c r="BE536" s="90" t="s">
        <v>83</v>
      </c>
      <c r="BF536" s="49">
        <v>22.5</v>
      </c>
      <c r="BG536" s="49">
        <v>9.6</v>
      </c>
      <c r="BH536" s="49">
        <v>0</v>
      </c>
      <c r="BI536" s="49">
        <v>1.8</v>
      </c>
      <c r="BJ536" s="49">
        <v>17.100000000000001</v>
      </c>
      <c r="BK536" s="126">
        <v>9607</v>
      </c>
      <c r="BL536" s="126">
        <v>56523</v>
      </c>
      <c r="BM536" s="126">
        <v>50576</v>
      </c>
      <c r="BN536" s="126">
        <v>42337</v>
      </c>
      <c r="BO536" s="59">
        <v>1.9099999999999999E-2</v>
      </c>
      <c r="BP536" s="59">
        <v>5.74E-2</v>
      </c>
      <c r="BQ536" s="59">
        <v>1.9099999999999999E-2</v>
      </c>
      <c r="BR536" s="59">
        <v>0</v>
      </c>
      <c r="BS536" s="59">
        <v>0</v>
      </c>
      <c r="BT536" s="49">
        <v>15.2</v>
      </c>
      <c r="BU536" s="59">
        <f t="shared" si="42"/>
        <v>9.5599999999999991E-2</v>
      </c>
      <c r="BV536" s="59">
        <v>3.8199999999999998E-2</v>
      </c>
      <c r="BW536" s="59">
        <v>0</v>
      </c>
      <c r="BX536" s="59">
        <v>5.74E-2</v>
      </c>
      <c r="BY536" s="59">
        <v>0</v>
      </c>
      <c r="BZ536" s="59">
        <v>0</v>
      </c>
      <c r="CA536" s="49">
        <v>20.8</v>
      </c>
      <c r="CB536" s="59">
        <f t="shared" si="43"/>
        <v>9.5599999999999991E-2</v>
      </c>
      <c r="CC536" s="59">
        <v>0.22739999999999999</v>
      </c>
      <c r="CD536" s="59">
        <v>0.49669999999999997</v>
      </c>
      <c r="CE536" s="59">
        <v>0.25679999999999997</v>
      </c>
      <c r="CF536" s="59">
        <v>1.9099999999999999E-2</v>
      </c>
      <c r="CG536" s="59">
        <v>0</v>
      </c>
      <c r="CH536" s="49">
        <v>12.5</v>
      </c>
      <c r="CI536" s="39" t="s">
        <v>341</v>
      </c>
      <c r="CJ536" s="18" t="s">
        <v>479</v>
      </c>
      <c r="CK536" s="20"/>
    </row>
    <row r="537" spans="1:89" x14ac:dyDescent="0.25">
      <c r="A537" s="18" t="s">
        <v>479</v>
      </c>
      <c r="B537" s="39" t="s">
        <v>336</v>
      </c>
      <c r="C537" s="39" t="s">
        <v>342</v>
      </c>
      <c r="D537" s="40">
        <v>25</v>
      </c>
      <c r="E537" s="40" t="s">
        <v>83</v>
      </c>
      <c r="F537" s="40">
        <v>25</v>
      </c>
      <c r="G537" s="162" t="s">
        <v>83</v>
      </c>
      <c r="H537" s="162" t="s">
        <v>83</v>
      </c>
      <c r="I537" s="163">
        <v>0</v>
      </c>
      <c r="J537" s="163">
        <v>13</v>
      </c>
      <c r="K537" s="163">
        <v>3</v>
      </c>
      <c r="L537" s="163">
        <v>4</v>
      </c>
      <c r="M537" s="163">
        <v>5</v>
      </c>
      <c r="N537" s="115">
        <v>4.9019607843137303E-2</v>
      </c>
      <c r="O537" s="115">
        <v>4.9019607843137303E-2</v>
      </c>
      <c r="P537" s="116" t="s">
        <v>83</v>
      </c>
      <c r="Q537" s="116" t="s">
        <v>83</v>
      </c>
      <c r="R537" s="115">
        <v>0</v>
      </c>
      <c r="S537" s="115">
        <v>8.1250000000000003E-2</v>
      </c>
      <c r="T537" s="115">
        <v>2.3622047244094498E-2</v>
      </c>
      <c r="U537" s="115">
        <v>4.2553191489361701E-2</v>
      </c>
      <c r="V537" s="115">
        <v>4.5871559633027498E-2</v>
      </c>
      <c r="W537" s="40">
        <v>472</v>
      </c>
      <c r="X537" s="40">
        <f t="shared" si="40"/>
        <v>472</v>
      </c>
      <c r="Y537" s="40">
        <f t="shared" si="41"/>
        <v>472</v>
      </c>
      <c r="Z537" s="105">
        <v>0.480932203389831</v>
      </c>
      <c r="AA537" s="105">
        <v>0.519067796610169</v>
      </c>
      <c r="AB537" s="106">
        <f>1/472</f>
        <v>2.1186440677966102E-3</v>
      </c>
      <c r="AC537" s="106">
        <v>0</v>
      </c>
      <c r="AD537" s="106">
        <f>205/472</f>
        <v>0.43432203389830509</v>
      </c>
      <c r="AE537" s="106">
        <v>0</v>
      </c>
      <c r="AF537" s="106">
        <v>0</v>
      </c>
      <c r="AG537" s="106">
        <f>265/472</f>
        <v>0.56144067796610164</v>
      </c>
      <c r="AH537" s="106">
        <f>1/472</f>
        <v>2.1186440677966102E-3</v>
      </c>
      <c r="AI537" s="106">
        <f>207/472</f>
        <v>0.4385593220338983</v>
      </c>
      <c r="AJ537" s="105">
        <v>0.66949152542372881</v>
      </c>
      <c r="AK537" s="105">
        <v>0</v>
      </c>
      <c r="AL537" s="12">
        <v>0</v>
      </c>
      <c r="AM537" s="12">
        <v>0</v>
      </c>
      <c r="AN537" s="12">
        <v>19</v>
      </c>
      <c r="AO537" s="12">
        <v>145</v>
      </c>
      <c r="AP537" s="12">
        <v>115</v>
      </c>
      <c r="AQ537" s="12">
        <v>91</v>
      </c>
      <c r="AR537" s="12">
        <v>102</v>
      </c>
      <c r="AS537" s="59">
        <v>0.11585365853658537</v>
      </c>
      <c r="AT537" s="3">
        <v>9</v>
      </c>
      <c r="AU537" s="3">
        <v>6</v>
      </c>
      <c r="AV537" s="52">
        <v>68.900000000000006</v>
      </c>
      <c r="AW537" s="52">
        <v>25</v>
      </c>
      <c r="AX537" s="52">
        <v>6.1</v>
      </c>
      <c r="AY537" s="70">
        <v>0</v>
      </c>
      <c r="AZ537" s="59">
        <v>0</v>
      </c>
      <c r="BA537" s="59">
        <v>0.18290258449304175</v>
      </c>
      <c r="BB537" s="77">
        <v>94.761324620666699</v>
      </c>
      <c r="BC537" s="49">
        <v>2.9821073558648101</v>
      </c>
      <c r="BD537" s="90" t="s">
        <v>83</v>
      </c>
      <c r="BE537" s="90" t="s">
        <v>83</v>
      </c>
      <c r="BF537" s="49">
        <v>12.2</v>
      </c>
      <c r="BG537" s="49">
        <v>12.7</v>
      </c>
      <c r="BH537" s="49">
        <v>0</v>
      </c>
      <c r="BI537" s="49">
        <v>3.1</v>
      </c>
      <c r="BJ537" s="49">
        <v>18.899999999999999</v>
      </c>
      <c r="BK537" s="126">
        <v>11144</v>
      </c>
      <c r="BL537" s="126">
        <v>60047</v>
      </c>
      <c r="BM537" s="126">
        <v>50071</v>
      </c>
      <c r="BN537" s="126">
        <v>37792</v>
      </c>
      <c r="BO537" s="59">
        <v>0</v>
      </c>
      <c r="BP537" s="59">
        <v>1.7299999999999999E-2</v>
      </c>
      <c r="BQ537" s="59">
        <v>0</v>
      </c>
      <c r="BR537" s="59">
        <v>0</v>
      </c>
      <c r="BS537" s="59">
        <v>0</v>
      </c>
      <c r="BT537" s="49">
        <v>13</v>
      </c>
      <c r="BU537" s="59">
        <f t="shared" si="42"/>
        <v>1.7299999999999999E-2</v>
      </c>
      <c r="BV537" s="59">
        <v>3.4500000000000003E-2</v>
      </c>
      <c r="BW537" s="59">
        <v>0</v>
      </c>
      <c r="BX537" s="59">
        <v>3.2000000000000001E-2</v>
      </c>
      <c r="BY537" s="59">
        <v>0</v>
      </c>
      <c r="BZ537" s="59">
        <v>0</v>
      </c>
      <c r="CA537" s="49">
        <v>26.6</v>
      </c>
      <c r="CB537" s="59">
        <f t="shared" si="43"/>
        <v>6.6500000000000004E-2</v>
      </c>
      <c r="CC537" s="59">
        <v>0.39190000000000003</v>
      </c>
      <c r="CD537" s="59">
        <v>0.47249999999999998</v>
      </c>
      <c r="CE537" s="59">
        <v>0.1183</v>
      </c>
      <c r="CF537" s="59">
        <v>0</v>
      </c>
      <c r="CG537" s="59">
        <v>1.7299999999999999E-2</v>
      </c>
      <c r="CH537" s="49">
        <v>12.2</v>
      </c>
      <c r="CI537" s="39" t="s">
        <v>342</v>
      </c>
      <c r="CJ537" s="18" t="s">
        <v>479</v>
      </c>
      <c r="CK537" s="20"/>
    </row>
    <row r="538" spans="1:89" x14ac:dyDescent="0.25">
      <c r="A538" s="18" t="s">
        <v>479</v>
      </c>
      <c r="B538" s="39" t="s">
        <v>336</v>
      </c>
      <c r="C538" s="39" t="s">
        <v>343</v>
      </c>
      <c r="D538" s="40">
        <v>1</v>
      </c>
      <c r="E538" s="40">
        <v>0</v>
      </c>
      <c r="F538" s="40">
        <v>1</v>
      </c>
      <c r="G538" s="163">
        <v>0</v>
      </c>
      <c r="H538" s="163">
        <v>0</v>
      </c>
      <c r="I538" s="162" t="s">
        <v>83</v>
      </c>
      <c r="J538" s="163">
        <v>0</v>
      </c>
      <c r="K538" s="163">
        <v>0</v>
      </c>
      <c r="L538" s="163">
        <v>0</v>
      </c>
      <c r="M538" s="163">
        <v>1</v>
      </c>
      <c r="N538" s="115">
        <v>3.1250000000000002E-3</v>
      </c>
      <c r="O538" s="115">
        <v>5.78034682080925E-3</v>
      </c>
      <c r="P538" s="115">
        <v>0</v>
      </c>
      <c r="Q538" s="115">
        <v>0</v>
      </c>
      <c r="R538" s="116" t="s">
        <v>83</v>
      </c>
      <c r="S538" s="115">
        <v>0</v>
      </c>
      <c r="T538" s="115">
        <v>0</v>
      </c>
      <c r="U538" s="115">
        <v>0</v>
      </c>
      <c r="V538" s="115">
        <v>2.6315789473684199E-2</v>
      </c>
      <c r="W538" s="40">
        <v>310</v>
      </c>
      <c r="X538" s="40">
        <f t="shared" si="40"/>
        <v>167</v>
      </c>
      <c r="Y538" s="40">
        <f t="shared" si="41"/>
        <v>310</v>
      </c>
      <c r="Z538" s="105">
        <v>0.65806451612903205</v>
      </c>
      <c r="AA538" s="105">
        <v>0.341935483870968</v>
      </c>
      <c r="AB538" s="106">
        <f>1/310</f>
        <v>3.2258064516129032E-3</v>
      </c>
      <c r="AC538" s="106">
        <f>6/310</f>
        <v>1.935483870967742E-2</v>
      </c>
      <c r="AD538" s="106">
        <f>188/310</f>
        <v>0.6064516129032258</v>
      </c>
      <c r="AE538" s="106">
        <f>2/310</f>
        <v>6.4516129032258064E-3</v>
      </c>
      <c r="AF538" s="106">
        <v>0</v>
      </c>
      <c r="AG538" s="106">
        <f>112/310</f>
        <v>0.36129032258064514</v>
      </c>
      <c r="AH538" s="106">
        <f>1/310</f>
        <v>3.2258064516129032E-3</v>
      </c>
      <c r="AI538" s="106">
        <f>198/310</f>
        <v>0.6387096774193548</v>
      </c>
      <c r="AJ538" s="105">
        <v>0.66129032258064513</v>
      </c>
      <c r="AK538" s="105">
        <v>6.4516129032258099E-3</v>
      </c>
      <c r="AL538" s="12">
        <v>75</v>
      </c>
      <c r="AM538" s="12">
        <v>68</v>
      </c>
      <c r="AN538" s="12">
        <v>0</v>
      </c>
      <c r="AO538" s="12">
        <v>44</v>
      </c>
      <c r="AP538" s="12">
        <v>46</v>
      </c>
      <c r="AQ538" s="12">
        <v>41</v>
      </c>
      <c r="AR538" s="12">
        <v>36</v>
      </c>
      <c r="AS538" s="59">
        <v>0</v>
      </c>
      <c r="AT538" s="3">
        <v>7</v>
      </c>
      <c r="AU538" s="3">
        <v>7</v>
      </c>
      <c r="AV538" s="52">
        <v>85.7</v>
      </c>
      <c r="AW538" s="52">
        <v>10.8</v>
      </c>
      <c r="AX538" s="52">
        <v>3.6</v>
      </c>
      <c r="AY538" s="70">
        <v>0</v>
      </c>
      <c r="AZ538" s="59">
        <v>3.7617554858934171E-2</v>
      </c>
      <c r="BA538" s="59">
        <v>5.6426332288401257E-2</v>
      </c>
      <c r="BB538" s="78">
        <v>97.050198852702394</v>
      </c>
      <c r="BC538" s="49">
        <v>0.62695924764890298</v>
      </c>
      <c r="BD538" s="49">
        <v>6.9</v>
      </c>
      <c r="BE538" s="49">
        <v>0</v>
      </c>
      <c r="BF538" s="49">
        <v>0</v>
      </c>
      <c r="BG538" s="49">
        <v>0</v>
      </c>
      <c r="BH538" s="49">
        <v>0</v>
      </c>
      <c r="BI538" s="49">
        <v>2.8</v>
      </c>
      <c r="BJ538" s="49">
        <v>19</v>
      </c>
      <c r="BK538" s="126">
        <v>10316</v>
      </c>
      <c r="BL538" s="126">
        <v>47042</v>
      </c>
      <c r="BM538" s="126">
        <v>50371</v>
      </c>
      <c r="BN538" s="126">
        <v>41435</v>
      </c>
      <c r="BO538" s="59">
        <v>0</v>
      </c>
      <c r="BP538" s="59">
        <v>0.13200000000000001</v>
      </c>
      <c r="BQ538" s="59">
        <v>2.64E-2</v>
      </c>
      <c r="BR538" s="59">
        <v>0</v>
      </c>
      <c r="BS538" s="59">
        <v>2.64E-2</v>
      </c>
      <c r="BT538" s="49">
        <v>14.9</v>
      </c>
      <c r="BU538" s="59">
        <f t="shared" si="42"/>
        <v>0.18480000000000002</v>
      </c>
      <c r="BV538" s="59">
        <v>2.64E-2</v>
      </c>
      <c r="BW538" s="59">
        <v>0</v>
      </c>
      <c r="BX538" s="59">
        <v>5.28E-2</v>
      </c>
      <c r="BY538" s="59">
        <v>0</v>
      </c>
      <c r="BZ538" s="59">
        <v>0</v>
      </c>
      <c r="CA538" s="49">
        <v>15</v>
      </c>
      <c r="CB538" s="59">
        <f t="shared" si="43"/>
        <v>7.9199999999999993E-2</v>
      </c>
      <c r="CC538" s="59">
        <v>0.2346</v>
      </c>
      <c r="CD538" s="59">
        <v>0.44869999999999999</v>
      </c>
      <c r="CE538" s="59">
        <v>0.2903</v>
      </c>
      <c r="CF538" s="59">
        <v>0</v>
      </c>
      <c r="CG538" s="59">
        <v>2.64E-2</v>
      </c>
      <c r="CH538" s="49">
        <v>12.6</v>
      </c>
      <c r="CI538" s="39" t="s">
        <v>343</v>
      </c>
      <c r="CJ538" s="18" t="s">
        <v>479</v>
      </c>
      <c r="CK538" s="20"/>
    </row>
    <row r="539" spans="1:89" x14ac:dyDescent="0.25">
      <c r="A539" s="18" t="s">
        <v>479</v>
      </c>
      <c r="B539" s="39" t="s">
        <v>344</v>
      </c>
      <c r="C539" s="39" t="s">
        <v>345</v>
      </c>
      <c r="D539" s="40">
        <v>45</v>
      </c>
      <c r="E539" s="40">
        <v>1</v>
      </c>
      <c r="F539" s="40">
        <v>44</v>
      </c>
      <c r="G539" s="162" t="s">
        <v>83</v>
      </c>
      <c r="H539" s="163">
        <v>1</v>
      </c>
      <c r="I539" s="163">
        <v>0</v>
      </c>
      <c r="J539" s="163">
        <v>20</v>
      </c>
      <c r="K539" s="163">
        <v>7</v>
      </c>
      <c r="L539" s="163">
        <v>10</v>
      </c>
      <c r="M539" s="163">
        <v>7</v>
      </c>
      <c r="N539" s="115">
        <v>4.9234135667396102E-2</v>
      </c>
      <c r="O539" s="115">
        <v>4.8943270300333699E-2</v>
      </c>
      <c r="P539" s="116" t="s">
        <v>83</v>
      </c>
      <c r="Q539" s="115">
        <v>6.6666666666666693E-2</v>
      </c>
      <c r="R539" s="115">
        <v>0</v>
      </c>
      <c r="S539" s="115">
        <v>7.4074074074074098E-2</v>
      </c>
      <c r="T539" s="115">
        <v>2.92887029288703E-2</v>
      </c>
      <c r="U539" s="115">
        <v>5.1546391752577303E-2</v>
      </c>
      <c r="V539" s="115">
        <v>3.6458333333333301E-2</v>
      </c>
      <c r="W539" s="40">
        <v>837</v>
      </c>
      <c r="X539" s="40">
        <f t="shared" si="40"/>
        <v>823</v>
      </c>
      <c r="Y539" s="40">
        <f t="shared" si="41"/>
        <v>837</v>
      </c>
      <c r="Z539" s="105">
        <v>0.471923536439665</v>
      </c>
      <c r="AA539" s="105">
        <v>0.528076463560335</v>
      </c>
      <c r="AB539" s="106">
        <f>2/837</f>
        <v>2.3894862604540022E-3</v>
      </c>
      <c r="AC539" s="106">
        <f>6/837</f>
        <v>7.1684587813620072E-3</v>
      </c>
      <c r="AD539" s="106">
        <f>357/837</f>
        <v>0.4265232974910394</v>
      </c>
      <c r="AE539" s="106">
        <f>16/837</f>
        <v>1.9115890083632018E-2</v>
      </c>
      <c r="AF539" s="106">
        <v>0</v>
      </c>
      <c r="AG539" s="106">
        <f>450/837</f>
        <v>0.5376344086021505</v>
      </c>
      <c r="AH539" s="106">
        <f>6/837</f>
        <v>7.1684587813620072E-3</v>
      </c>
      <c r="AI539" s="106">
        <f>387/837</f>
        <v>0.46236559139784944</v>
      </c>
      <c r="AJ539" s="105">
        <v>0.62365591397849462</v>
      </c>
      <c r="AK539" s="105">
        <v>8.3632019115890098E-3</v>
      </c>
      <c r="AL539" s="12">
        <v>0</v>
      </c>
      <c r="AM539" s="12">
        <v>14</v>
      </c>
      <c r="AN539" s="12">
        <v>4</v>
      </c>
      <c r="AO539" s="12">
        <v>232</v>
      </c>
      <c r="AP539" s="12">
        <v>225</v>
      </c>
      <c r="AQ539" s="12">
        <v>199</v>
      </c>
      <c r="AR539" s="12">
        <v>163</v>
      </c>
      <c r="AS539" s="59">
        <v>1.6949152542372881E-2</v>
      </c>
      <c r="AT539" s="3">
        <v>8</v>
      </c>
      <c r="AU539" s="3">
        <v>6</v>
      </c>
      <c r="AV539" s="52">
        <v>63.7</v>
      </c>
      <c r="AW539" s="52">
        <v>13.6</v>
      </c>
      <c r="AX539" s="52">
        <v>22.5</v>
      </c>
      <c r="AY539" s="71">
        <v>0.2</v>
      </c>
      <c r="AZ539" s="59">
        <v>0.20089285714285715</v>
      </c>
      <c r="BA539" s="59">
        <v>0.18415178571428573</v>
      </c>
      <c r="BB539" s="77">
        <v>92.940111787631196</v>
      </c>
      <c r="BC539" s="49">
        <v>22.433035714285701</v>
      </c>
      <c r="BD539" s="90" t="s">
        <v>83</v>
      </c>
      <c r="BE539" s="49">
        <v>0</v>
      </c>
      <c r="BF539" s="49">
        <v>8.1</v>
      </c>
      <c r="BG539" s="49">
        <v>6.8</v>
      </c>
      <c r="BH539" s="49">
        <v>2.9</v>
      </c>
      <c r="BI539" s="49">
        <v>1.1000000000000001</v>
      </c>
      <c r="BJ539" s="49">
        <v>18</v>
      </c>
      <c r="BK539" s="126">
        <v>10018</v>
      </c>
      <c r="BL539" s="126">
        <v>51614</v>
      </c>
      <c r="BM539" s="126">
        <v>46653</v>
      </c>
      <c r="BN539" s="126">
        <v>45014</v>
      </c>
      <c r="BO539" s="59">
        <v>3.5000000000000003E-2</v>
      </c>
      <c r="BP539" s="59">
        <v>0.35630000000000001</v>
      </c>
      <c r="BQ539" s="59">
        <v>0.2354</v>
      </c>
      <c r="BR539" s="59">
        <v>0</v>
      </c>
      <c r="BS539" s="59">
        <v>0</v>
      </c>
      <c r="BT539" s="49">
        <v>13.1</v>
      </c>
      <c r="BU539" s="59">
        <f t="shared" si="42"/>
        <v>0.62670000000000003</v>
      </c>
      <c r="BV539" s="59">
        <v>3.5000000000000003E-2</v>
      </c>
      <c r="BW539" s="59">
        <v>1.17E-2</v>
      </c>
      <c r="BX539" s="59">
        <v>3.3399999999999999E-2</v>
      </c>
      <c r="BY539" s="59">
        <v>0</v>
      </c>
      <c r="BZ539" s="59">
        <v>0</v>
      </c>
      <c r="CA539" s="49">
        <v>14.2</v>
      </c>
      <c r="CB539" s="59">
        <f t="shared" si="43"/>
        <v>8.0100000000000005E-2</v>
      </c>
      <c r="CC539" s="59">
        <v>0.3019</v>
      </c>
      <c r="CD539" s="59">
        <v>0.38</v>
      </c>
      <c r="CE539" s="59">
        <v>0.30649999999999999</v>
      </c>
      <c r="CF539" s="59">
        <v>0</v>
      </c>
      <c r="CG539" s="59">
        <v>1.17E-2</v>
      </c>
      <c r="CH539" s="49">
        <v>13.6</v>
      </c>
      <c r="CI539" s="39" t="s">
        <v>345</v>
      </c>
      <c r="CJ539" s="18" t="s">
        <v>479</v>
      </c>
      <c r="CK539" s="20"/>
    </row>
    <row r="540" spans="1:89" x14ac:dyDescent="0.25">
      <c r="A540" s="18" t="s">
        <v>479</v>
      </c>
      <c r="B540" s="39" t="s">
        <v>344</v>
      </c>
      <c r="C540" s="39" t="s">
        <v>346</v>
      </c>
      <c r="D540" s="40">
        <v>17</v>
      </c>
      <c r="E540" s="40">
        <v>0</v>
      </c>
      <c r="F540" s="40">
        <v>17</v>
      </c>
      <c r="G540" s="162" t="s">
        <v>83</v>
      </c>
      <c r="H540" s="163">
        <v>0</v>
      </c>
      <c r="I540" s="163">
        <v>0</v>
      </c>
      <c r="J540" s="163">
        <v>6</v>
      </c>
      <c r="K540" s="163">
        <v>6</v>
      </c>
      <c r="L540" s="163">
        <v>3</v>
      </c>
      <c r="M540" s="163">
        <v>2</v>
      </c>
      <c r="N540" s="115">
        <v>1.9976498237367801E-2</v>
      </c>
      <c r="O540" s="115">
        <v>2.0432692307692301E-2</v>
      </c>
      <c r="P540" s="116" t="s">
        <v>83</v>
      </c>
      <c r="Q540" s="115">
        <v>0</v>
      </c>
      <c r="R540" s="115">
        <v>0</v>
      </c>
      <c r="S540" s="115">
        <v>2.3715415019762799E-2</v>
      </c>
      <c r="T540" s="115">
        <v>2.8169014084507001E-2</v>
      </c>
      <c r="U540" s="115">
        <v>1.8292682926829298E-2</v>
      </c>
      <c r="V540" s="115">
        <v>9.9009900990098994E-3</v>
      </c>
      <c r="W540" s="40">
        <v>798</v>
      </c>
      <c r="X540" s="40">
        <f t="shared" si="40"/>
        <v>780</v>
      </c>
      <c r="Y540" s="40">
        <f t="shared" si="41"/>
        <v>798</v>
      </c>
      <c r="Z540" s="105">
        <v>0.49498746867167898</v>
      </c>
      <c r="AA540" s="105">
        <v>0.50501253132832102</v>
      </c>
      <c r="AB540" s="106">
        <f>2/798</f>
        <v>2.5062656641604009E-3</v>
      </c>
      <c r="AC540" s="106">
        <f>13/798</f>
        <v>1.6290726817042606E-2</v>
      </c>
      <c r="AD540" s="106">
        <f>269/798</f>
        <v>0.33709273182957394</v>
      </c>
      <c r="AE540" s="106">
        <f>14/798</f>
        <v>1.7543859649122806E-2</v>
      </c>
      <c r="AF540" s="106">
        <v>0</v>
      </c>
      <c r="AG540" s="106">
        <f>495/798</f>
        <v>0.62030075187969924</v>
      </c>
      <c r="AH540" s="106">
        <f>5/798</f>
        <v>6.2656641604010022E-3</v>
      </c>
      <c r="AI540" s="106">
        <f>303/798</f>
        <v>0.37969924812030076</v>
      </c>
      <c r="AJ540" s="105">
        <v>0.6177944862155389</v>
      </c>
      <c r="AK540" s="105">
        <v>1.50375939849624E-2</v>
      </c>
      <c r="AL540" s="12">
        <v>0</v>
      </c>
      <c r="AM540" s="12">
        <v>18</v>
      </c>
      <c r="AN540" s="12">
        <v>2</v>
      </c>
      <c r="AO540" s="12">
        <v>218</v>
      </c>
      <c r="AP540" s="12">
        <v>202</v>
      </c>
      <c r="AQ540" s="12">
        <v>168</v>
      </c>
      <c r="AR540" s="12">
        <v>190</v>
      </c>
      <c r="AS540" s="59">
        <v>9.0909090909090905E-3</v>
      </c>
      <c r="AT540" s="3">
        <v>8</v>
      </c>
      <c r="AU540" s="3">
        <v>6</v>
      </c>
      <c r="AV540" s="52">
        <v>52.9</v>
      </c>
      <c r="AW540" s="52">
        <v>17</v>
      </c>
      <c r="AX540" s="52">
        <v>28.7</v>
      </c>
      <c r="AY540" s="71">
        <v>1.4</v>
      </c>
      <c r="AZ540" s="59">
        <v>8.0094228504122497E-2</v>
      </c>
      <c r="BA540" s="59">
        <v>0.22732626619552415</v>
      </c>
      <c r="BB540" s="78">
        <v>92.938743637204993</v>
      </c>
      <c r="BC540" s="49">
        <v>20.848056537102501</v>
      </c>
      <c r="BD540" s="90" t="s">
        <v>83</v>
      </c>
      <c r="BE540" s="49">
        <v>0</v>
      </c>
      <c r="BF540" s="49">
        <v>11.9</v>
      </c>
      <c r="BG540" s="49">
        <v>2.6</v>
      </c>
      <c r="BH540" s="49">
        <v>0.6</v>
      </c>
      <c r="BI540" s="49">
        <v>1.5</v>
      </c>
      <c r="BJ540" s="49">
        <v>18.100000000000001</v>
      </c>
      <c r="BK540" s="126">
        <v>8557</v>
      </c>
      <c r="BL540" s="126">
        <v>51534</v>
      </c>
      <c r="BM540" s="126">
        <v>53474</v>
      </c>
      <c r="BN540" s="126">
        <v>44875</v>
      </c>
      <c r="BO540" s="59">
        <v>0</v>
      </c>
      <c r="BP540" s="59">
        <v>0.46339999999999998</v>
      </c>
      <c r="BQ540" s="59">
        <v>0.1368</v>
      </c>
      <c r="BR540" s="59">
        <v>0</v>
      </c>
      <c r="BS540" s="59">
        <v>0</v>
      </c>
      <c r="BT540" s="49">
        <v>11.9</v>
      </c>
      <c r="BU540" s="59">
        <f t="shared" si="42"/>
        <v>0.60019999999999996</v>
      </c>
      <c r="BV540" s="59">
        <v>2.9100000000000001E-2</v>
      </c>
      <c r="BW540" s="59">
        <v>0</v>
      </c>
      <c r="BX540" s="59">
        <v>5.8299999999999998E-2</v>
      </c>
      <c r="BY540" s="59">
        <v>0</v>
      </c>
      <c r="BZ540" s="59">
        <v>0</v>
      </c>
      <c r="CA540" s="49">
        <v>16.7</v>
      </c>
      <c r="CB540" s="59">
        <f t="shared" si="43"/>
        <v>8.7400000000000005E-2</v>
      </c>
      <c r="CC540" s="59">
        <v>0.27500000000000002</v>
      </c>
      <c r="CD540" s="59">
        <v>0.47789999999999999</v>
      </c>
      <c r="CE540" s="59">
        <v>0.247</v>
      </c>
      <c r="CF540" s="59">
        <v>0</v>
      </c>
      <c r="CG540" s="59">
        <v>0</v>
      </c>
      <c r="CH540" s="49">
        <v>11.7</v>
      </c>
      <c r="CI540" s="39" t="s">
        <v>346</v>
      </c>
      <c r="CJ540" s="18" t="s">
        <v>479</v>
      </c>
      <c r="CK540" s="20"/>
    </row>
    <row r="541" spans="1:89" x14ac:dyDescent="0.25">
      <c r="A541" s="18" t="s">
        <v>479</v>
      </c>
      <c r="B541" s="39" t="s">
        <v>344</v>
      </c>
      <c r="C541" s="39" t="s">
        <v>347</v>
      </c>
      <c r="D541" s="40">
        <v>38</v>
      </c>
      <c r="E541" s="40">
        <v>0</v>
      </c>
      <c r="F541" s="40">
        <v>38</v>
      </c>
      <c r="G541" s="162" t="s">
        <v>83</v>
      </c>
      <c r="H541" s="163">
        <v>0</v>
      </c>
      <c r="I541" s="163">
        <v>0</v>
      </c>
      <c r="J541" s="163">
        <v>19</v>
      </c>
      <c r="K541" s="163">
        <v>6</v>
      </c>
      <c r="L541" s="163">
        <v>5</v>
      </c>
      <c r="M541" s="163">
        <v>8</v>
      </c>
      <c r="N541" s="115">
        <v>4.5563549160671499E-2</v>
      </c>
      <c r="O541" s="115">
        <v>4.6855733662145502E-2</v>
      </c>
      <c r="P541" s="116" t="s">
        <v>83</v>
      </c>
      <c r="Q541" s="115">
        <v>0</v>
      </c>
      <c r="R541" s="115">
        <v>0</v>
      </c>
      <c r="S541" s="115">
        <v>7.3929961089494206E-2</v>
      </c>
      <c r="T541" s="115">
        <v>2.8436018957346001E-2</v>
      </c>
      <c r="U541" s="115">
        <v>3.2467532467532499E-2</v>
      </c>
      <c r="V541" s="115">
        <v>4.2553191489361701E-2</v>
      </c>
      <c r="W541" s="40">
        <v>770</v>
      </c>
      <c r="X541" s="40">
        <f t="shared" si="40"/>
        <v>745</v>
      </c>
      <c r="Y541" s="40">
        <f t="shared" si="41"/>
        <v>770</v>
      </c>
      <c r="Z541" s="105">
        <v>0.45974025974026</v>
      </c>
      <c r="AA541" s="105">
        <v>0.54025974025974</v>
      </c>
      <c r="AB541" s="106">
        <f>1/770</f>
        <v>1.2987012987012987E-3</v>
      </c>
      <c r="AC541" s="106">
        <f>9/770</f>
        <v>1.1688311688311689E-2</v>
      </c>
      <c r="AD541" s="106">
        <f>425/770</f>
        <v>0.55194805194805197</v>
      </c>
      <c r="AE541" s="106">
        <f>11/770</f>
        <v>1.4285714285714285E-2</v>
      </c>
      <c r="AF541" s="106">
        <v>0</v>
      </c>
      <c r="AG541" s="106">
        <f>299/770</f>
        <v>0.38831168831168833</v>
      </c>
      <c r="AH541" s="106">
        <f>25/770</f>
        <v>3.2467532467532464E-2</v>
      </c>
      <c r="AI541" s="106">
        <f>471/770</f>
        <v>0.61168831168831173</v>
      </c>
      <c r="AJ541" s="105">
        <v>0.72467532467532469</v>
      </c>
      <c r="AK541" s="105">
        <v>5.1948051948051896E-3</v>
      </c>
      <c r="AL541" s="12">
        <v>0</v>
      </c>
      <c r="AM541" s="12">
        <v>25</v>
      </c>
      <c r="AN541" s="12">
        <v>1</v>
      </c>
      <c r="AO541" s="12">
        <v>226</v>
      </c>
      <c r="AP541" s="12">
        <v>195</v>
      </c>
      <c r="AQ541" s="12">
        <v>155</v>
      </c>
      <c r="AR541" s="12">
        <v>168</v>
      </c>
      <c r="AS541" s="59">
        <v>4.4052863436123352E-3</v>
      </c>
      <c r="AT541" s="3">
        <v>8</v>
      </c>
      <c r="AU541" s="3">
        <v>6</v>
      </c>
      <c r="AV541" s="52">
        <v>56.1</v>
      </c>
      <c r="AW541" s="52">
        <v>24.3</v>
      </c>
      <c r="AX541" s="52">
        <v>19.3</v>
      </c>
      <c r="AY541" s="71">
        <v>0.3</v>
      </c>
      <c r="AZ541" s="59">
        <v>0.12606060606060607</v>
      </c>
      <c r="BA541" s="59">
        <v>0.21454545454545454</v>
      </c>
      <c r="BB541" s="77">
        <v>92.701320608482902</v>
      </c>
      <c r="BC541" s="49">
        <v>17.818181818181799</v>
      </c>
      <c r="BD541" s="90" t="s">
        <v>83</v>
      </c>
      <c r="BE541" s="49">
        <v>5</v>
      </c>
      <c r="BF541" s="49">
        <v>14.4</v>
      </c>
      <c r="BG541" s="49">
        <v>2.7</v>
      </c>
      <c r="BH541" s="49">
        <v>3.6</v>
      </c>
      <c r="BI541" s="49">
        <v>2.2000000000000002</v>
      </c>
      <c r="BJ541" s="49">
        <v>16.899999999999999</v>
      </c>
      <c r="BK541" s="126">
        <v>9536</v>
      </c>
      <c r="BL541" s="126">
        <v>51617</v>
      </c>
      <c r="BM541" s="126">
        <v>50561</v>
      </c>
      <c r="BN541" s="126">
        <v>43222</v>
      </c>
      <c r="BO541" s="59">
        <v>1.0699999999999999E-2</v>
      </c>
      <c r="BP541" s="59">
        <v>0.37580000000000002</v>
      </c>
      <c r="BQ541" s="59">
        <v>0.18659999999999999</v>
      </c>
      <c r="BR541" s="59">
        <v>0</v>
      </c>
      <c r="BS541" s="59">
        <v>0</v>
      </c>
      <c r="BT541" s="49">
        <v>13.2</v>
      </c>
      <c r="BU541" s="59">
        <f t="shared" si="42"/>
        <v>0.57309999999999994</v>
      </c>
      <c r="BV541" s="59">
        <v>3.8399999999999997E-2</v>
      </c>
      <c r="BW541" s="59">
        <v>1.2800000000000001E-2</v>
      </c>
      <c r="BX541" s="59">
        <v>3.8399999999999997E-2</v>
      </c>
      <c r="BY541" s="59">
        <v>0</v>
      </c>
      <c r="BZ541" s="59">
        <v>0</v>
      </c>
      <c r="CA541" s="49">
        <v>20.399999999999999</v>
      </c>
      <c r="CB541" s="59">
        <f t="shared" si="43"/>
        <v>8.9599999999999985E-2</v>
      </c>
      <c r="CC541" s="59">
        <v>0.33589999999999998</v>
      </c>
      <c r="CD541" s="59">
        <v>0.41980000000000001</v>
      </c>
      <c r="CE541" s="59">
        <v>0.24429999999999999</v>
      </c>
      <c r="CF541" s="59">
        <v>0</v>
      </c>
      <c r="CG541" s="59">
        <v>0</v>
      </c>
      <c r="CH541" s="49">
        <v>13.6</v>
      </c>
      <c r="CI541" s="39" t="s">
        <v>347</v>
      </c>
      <c r="CJ541" s="18" t="s">
        <v>479</v>
      </c>
      <c r="CK541" s="20"/>
    </row>
    <row r="542" spans="1:89" x14ac:dyDescent="0.25">
      <c r="A542" s="18" t="s">
        <v>479</v>
      </c>
      <c r="B542" s="39" t="s">
        <v>348</v>
      </c>
      <c r="C542" s="39" t="s">
        <v>349</v>
      </c>
      <c r="D542" s="40">
        <v>3</v>
      </c>
      <c r="E542" s="40" t="s">
        <v>83</v>
      </c>
      <c r="F542" s="40">
        <v>3</v>
      </c>
      <c r="G542" s="162" t="s">
        <v>83</v>
      </c>
      <c r="H542" s="162" t="s">
        <v>83</v>
      </c>
      <c r="I542" s="163">
        <v>0</v>
      </c>
      <c r="J542" s="163">
        <v>0</v>
      </c>
      <c r="K542" s="163">
        <v>1</v>
      </c>
      <c r="L542" s="163">
        <v>0</v>
      </c>
      <c r="M542" s="163">
        <v>2</v>
      </c>
      <c r="N542" s="115">
        <v>5.0167224080267603E-3</v>
      </c>
      <c r="O542" s="115">
        <v>5.0167224080267603E-3</v>
      </c>
      <c r="P542" s="116" t="s">
        <v>83</v>
      </c>
      <c r="Q542" s="116" t="s">
        <v>83</v>
      </c>
      <c r="R542" s="115">
        <v>0</v>
      </c>
      <c r="S542" s="115">
        <v>0</v>
      </c>
      <c r="T542" s="115">
        <v>6.4935064935064896E-3</v>
      </c>
      <c r="U542" s="115">
        <v>0</v>
      </c>
      <c r="V542" s="115">
        <v>1.3698630136986301E-2</v>
      </c>
      <c r="W542" s="40">
        <v>562</v>
      </c>
      <c r="X542" s="40">
        <f t="shared" si="40"/>
        <v>562</v>
      </c>
      <c r="Y542" s="40">
        <f t="shared" si="41"/>
        <v>562</v>
      </c>
      <c r="Z542" s="105">
        <v>0.50889679715302505</v>
      </c>
      <c r="AA542" s="105">
        <v>0.49110320284697501</v>
      </c>
      <c r="AB542" s="106">
        <f>5/562</f>
        <v>8.8967971530249119E-3</v>
      </c>
      <c r="AC542" s="106">
        <f>4/562</f>
        <v>7.1174377224199285E-3</v>
      </c>
      <c r="AD542" s="106">
        <f>50/562</f>
        <v>8.8967971530249115E-2</v>
      </c>
      <c r="AE542" s="106">
        <f>43/562</f>
        <v>7.6512455516014238E-2</v>
      </c>
      <c r="AF542" s="106">
        <v>0</v>
      </c>
      <c r="AG542" s="106">
        <f>446/562</f>
        <v>0.79359430604982206</v>
      </c>
      <c r="AH542" s="106">
        <f>14/562</f>
        <v>2.491103202846975E-2</v>
      </c>
      <c r="AI542" s="106">
        <f>116/562</f>
        <v>0.20640569395017794</v>
      </c>
      <c r="AJ542" s="105">
        <v>0.46263345195729538</v>
      </c>
      <c r="AK542" s="105">
        <v>2.3131672597864798E-2</v>
      </c>
      <c r="AL542" s="12">
        <v>0</v>
      </c>
      <c r="AM542" s="12">
        <v>0</v>
      </c>
      <c r="AN542" s="12">
        <v>1</v>
      </c>
      <c r="AO542" s="12">
        <v>144</v>
      </c>
      <c r="AP542" s="12">
        <v>135</v>
      </c>
      <c r="AQ542" s="12">
        <v>141</v>
      </c>
      <c r="AR542" s="12">
        <v>141</v>
      </c>
      <c r="AS542" s="59">
        <v>6.8965517241379309E-3</v>
      </c>
      <c r="AT542" s="3">
        <v>9</v>
      </c>
      <c r="AU542" s="3">
        <v>6</v>
      </c>
      <c r="AV542" s="52">
        <v>57.6</v>
      </c>
      <c r="AW542" s="52">
        <v>22.3</v>
      </c>
      <c r="AX542" s="52">
        <v>18.899999999999999</v>
      </c>
      <c r="AY542" s="71">
        <v>1.1000000000000001</v>
      </c>
      <c r="AZ542" s="59">
        <v>7.8859060402684561E-2</v>
      </c>
      <c r="BA542" s="59">
        <v>1.0067114093959731E-2</v>
      </c>
      <c r="BB542" s="78">
        <v>94.470761942846593</v>
      </c>
      <c r="BC542" s="49">
        <v>11.055276381909501</v>
      </c>
      <c r="BD542" s="90" t="s">
        <v>83</v>
      </c>
      <c r="BE542" s="90" t="s">
        <v>83</v>
      </c>
      <c r="BF542" s="49">
        <v>1.4</v>
      </c>
      <c r="BG542" s="49">
        <v>0.8</v>
      </c>
      <c r="BH542" s="49">
        <v>0</v>
      </c>
      <c r="BI542" s="49">
        <v>0.7</v>
      </c>
      <c r="BJ542" s="49">
        <v>20.2</v>
      </c>
      <c r="BK542" s="126">
        <v>10080</v>
      </c>
      <c r="BL542" s="126">
        <v>51394</v>
      </c>
      <c r="BM542" s="126">
        <v>47337</v>
      </c>
      <c r="BN542" s="126">
        <v>42861</v>
      </c>
      <c r="BO542" s="59">
        <v>0</v>
      </c>
      <c r="BP542" s="59">
        <v>0.3427</v>
      </c>
      <c r="BQ542" s="59">
        <v>0.22470000000000001</v>
      </c>
      <c r="BR542" s="59">
        <v>4.4000000000000003E-3</v>
      </c>
      <c r="BS542" s="59">
        <v>0</v>
      </c>
      <c r="BT542" s="49">
        <v>12.9</v>
      </c>
      <c r="BU542" s="59">
        <f t="shared" si="42"/>
        <v>0.57179999999999997</v>
      </c>
      <c r="BV542" s="59">
        <v>5.2499999999999998E-2</v>
      </c>
      <c r="BW542" s="59">
        <v>0</v>
      </c>
      <c r="BX542" s="59">
        <v>1.7500000000000002E-2</v>
      </c>
      <c r="BY542" s="59">
        <v>0</v>
      </c>
      <c r="BZ542" s="59">
        <v>1.7500000000000002E-2</v>
      </c>
      <c r="CA542" s="49">
        <v>11.2</v>
      </c>
      <c r="CB542" s="59">
        <f t="shared" si="43"/>
        <v>8.7500000000000008E-2</v>
      </c>
      <c r="CC542" s="59">
        <v>0.32640000000000002</v>
      </c>
      <c r="CD542" s="59">
        <v>0.36320000000000002</v>
      </c>
      <c r="CE542" s="59">
        <v>0.28860000000000002</v>
      </c>
      <c r="CF542" s="59">
        <v>4.4000000000000003E-3</v>
      </c>
      <c r="CG542" s="59">
        <v>1.7500000000000002E-2</v>
      </c>
      <c r="CH542" s="49">
        <v>12.3</v>
      </c>
      <c r="CI542" s="39" t="s">
        <v>349</v>
      </c>
      <c r="CJ542" s="18" t="s">
        <v>479</v>
      </c>
      <c r="CK542" s="20"/>
    </row>
    <row r="543" spans="1:89" x14ac:dyDescent="0.25">
      <c r="A543" s="18" t="s">
        <v>479</v>
      </c>
      <c r="B543" s="39" t="s">
        <v>348</v>
      </c>
      <c r="C543" s="39" t="s">
        <v>350</v>
      </c>
      <c r="D543" s="40">
        <v>0</v>
      </c>
      <c r="E543" s="40">
        <v>0</v>
      </c>
      <c r="F543" s="40">
        <v>0</v>
      </c>
      <c r="G543" s="163">
        <v>0</v>
      </c>
      <c r="H543" s="163">
        <v>0</v>
      </c>
      <c r="I543" s="163">
        <v>0</v>
      </c>
      <c r="J543" s="163">
        <v>0</v>
      </c>
      <c r="K543" s="163">
        <v>0</v>
      </c>
      <c r="L543" s="163">
        <v>0</v>
      </c>
      <c r="M543" s="163">
        <v>0</v>
      </c>
      <c r="N543" s="115">
        <v>0</v>
      </c>
      <c r="O543" s="115">
        <v>0</v>
      </c>
      <c r="P543" s="115">
        <v>0</v>
      </c>
      <c r="Q543" s="115">
        <v>0</v>
      </c>
      <c r="R543" s="115">
        <v>0</v>
      </c>
      <c r="S543" s="115">
        <v>0</v>
      </c>
      <c r="T543" s="115">
        <v>0</v>
      </c>
      <c r="U543" s="115">
        <v>0</v>
      </c>
      <c r="V543" s="115">
        <v>0</v>
      </c>
      <c r="W543" s="40">
        <v>615</v>
      </c>
      <c r="X543" s="40">
        <f t="shared" si="40"/>
        <v>191</v>
      </c>
      <c r="Y543" s="40">
        <f t="shared" si="41"/>
        <v>295</v>
      </c>
      <c r="Z543" s="105">
        <v>0.51544715447154499</v>
      </c>
      <c r="AA543" s="105">
        <v>0.48455284552845501</v>
      </c>
      <c r="AB543" s="106">
        <f>10/615</f>
        <v>1.6260162601626018E-2</v>
      </c>
      <c r="AC543" s="106">
        <v>0</v>
      </c>
      <c r="AD543" s="106">
        <f>190/615</f>
        <v>0.30894308943089432</v>
      </c>
      <c r="AE543" s="106">
        <f>13/615</f>
        <v>2.113821138211382E-2</v>
      </c>
      <c r="AF543" s="106">
        <v>0</v>
      </c>
      <c r="AG543" s="106">
        <f>353/615</f>
        <v>0.57398373983739837</v>
      </c>
      <c r="AH543" s="106">
        <f>49/615</f>
        <v>7.9674796747967486E-2</v>
      </c>
      <c r="AI543" s="106">
        <f>262/615</f>
        <v>0.42601626016260163</v>
      </c>
      <c r="AJ543" s="105">
        <v>0.69918699186991873</v>
      </c>
      <c r="AK543" s="105">
        <v>8.1300813008130107E-3</v>
      </c>
      <c r="AL543" s="12">
        <v>57</v>
      </c>
      <c r="AM543" s="12">
        <v>47</v>
      </c>
      <c r="AN543" s="12">
        <v>2</v>
      </c>
      <c r="AO543" s="12">
        <v>51</v>
      </c>
      <c r="AP543" s="12">
        <v>36</v>
      </c>
      <c r="AQ543" s="12">
        <v>48</v>
      </c>
      <c r="AR543" s="12">
        <v>54</v>
      </c>
      <c r="AS543" s="59">
        <v>3.7735849056603772E-2</v>
      </c>
      <c r="AT543" s="3">
        <v>1</v>
      </c>
      <c r="AU543" s="3">
        <v>6</v>
      </c>
      <c r="AV543" s="52">
        <v>69.900000000000006</v>
      </c>
      <c r="AW543" s="52">
        <v>19.899999999999999</v>
      </c>
      <c r="AX543" s="52">
        <v>10.199999999999999</v>
      </c>
      <c r="AY543" s="70">
        <v>0</v>
      </c>
      <c r="AZ543" s="59">
        <v>0.14436090225563911</v>
      </c>
      <c r="BA543" s="59">
        <v>4.06015037593985E-2</v>
      </c>
      <c r="BB543" s="77">
        <v>93.467838221028302</v>
      </c>
      <c r="BC543" s="49">
        <v>35.548686244203999</v>
      </c>
      <c r="BD543" s="49">
        <v>1.9</v>
      </c>
      <c r="BE543" s="49">
        <v>4.2</v>
      </c>
      <c r="BF543" s="49">
        <v>2.2000000000000002</v>
      </c>
      <c r="BG543" s="49">
        <v>0</v>
      </c>
      <c r="BH543" s="49">
        <v>2.1</v>
      </c>
      <c r="BI543" s="49">
        <v>0</v>
      </c>
      <c r="BJ543" s="49">
        <v>17.899999999999999</v>
      </c>
      <c r="BK543" s="126">
        <v>11481</v>
      </c>
      <c r="BL543" s="126">
        <v>49970</v>
      </c>
      <c r="BM543" s="126">
        <v>48964</v>
      </c>
      <c r="BN543" s="126">
        <v>40491</v>
      </c>
      <c r="BO543" s="59">
        <v>0</v>
      </c>
      <c r="BP543" s="59">
        <v>0.43030000000000002</v>
      </c>
      <c r="BQ543" s="59">
        <v>9.5200000000000007E-2</v>
      </c>
      <c r="BR543" s="59">
        <v>0</v>
      </c>
      <c r="BS543" s="59">
        <v>0</v>
      </c>
      <c r="BT543" s="49">
        <v>17.7</v>
      </c>
      <c r="BU543" s="59">
        <f t="shared" si="42"/>
        <v>0.52550000000000008</v>
      </c>
      <c r="BV543" s="59">
        <v>2.53E-2</v>
      </c>
      <c r="BW543" s="59">
        <v>0</v>
      </c>
      <c r="BX543" s="59">
        <v>3.7900000000000003E-2</v>
      </c>
      <c r="BY543" s="59">
        <v>0</v>
      </c>
      <c r="BZ543" s="59">
        <v>0</v>
      </c>
      <c r="CA543" s="49">
        <v>19.399999999999999</v>
      </c>
      <c r="CB543" s="59">
        <f t="shared" si="43"/>
        <v>6.3200000000000006E-2</v>
      </c>
      <c r="CC543" s="59">
        <v>0.36630000000000001</v>
      </c>
      <c r="CD543" s="59">
        <v>0.46310000000000001</v>
      </c>
      <c r="CE543" s="59">
        <v>0.1706</v>
      </c>
      <c r="CF543" s="59">
        <v>0</v>
      </c>
      <c r="CG543" s="59">
        <v>0</v>
      </c>
      <c r="CH543" s="49">
        <v>16</v>
      </c>
      <c r="CI543" s="39" t="s">
        <v>350</v>
      </c>
      <c r="CJ543" s="18" t="s">
        <v>479</v>
      </c>
      <c r="CK543" s="20"/>
    </row>
    <row r="544" spans="1:89" x14ac:dyDescent="0.25">
      <c r="A544" s="18" t="s">
        <v>479</v>
      </c>
      <c r="B544" s="39" t="s">
        <v>348</v>
      </c>
      <c r="C544" s="39" t="s">
        <v>351</v>
      </c>
      <c r="D544" s="40">
        <v>24</v>
      </c>
      <c r="E544" s="40" t="s">
        <v>83</v>
      </c>
      <c r="F544" s="40">
        <v>24</v>
      </c>
      <c r="G544" s="162" t="s">
        <v>83</v>
      </c>
      <c r="H544" s="162" t="s">
        <v>83</v>
      </c>
      <c r="I544" s="163">
        <v>1</v>
      </c>
      <c r="J544" s="163">
        <v>9</v>
      </c>
      <c r="K544" s="163">
        <v>3</v>
      </c>
      <c r="L544" s="163">
        <v>6</v>
      </c>
      <c r="M544" s="163">
        <v>5</v>
      </c>
      <c r="N544" s="115">
        <v>5.2980132450331098E-2</v>
      </c>
      <c r="O544" s="115">
        <v>5.2980132450331098E-2</v>
      </c>
      <c r="P544" s="116" t="s">
        <v>83</v>
      </c>
      <c r="Q544" s="116" t="s">
        <v>83</v>
      </c>
      <c r="R544" s="115">
        <v>5.5555555555555601E-2</v>
      </c>
      <c r="S544" s="115">
        <v>7.6271186440677999E-2</v>
      </c>
      <c r="T544" s="115">
        <v>3.09278350515464E-2</v>
      </c>
      <c r="U544" s="115">
        <v>5.4545454545454501E-2</v>
      </c>
      <c r="V544" s="115">
        <v>4.5454545454545497E-2</v>
      </c>
      <c r="W544" s="40">
        <v>392</v>
      </c>
      <c r="X544" s="40">
        <f t="shared" si="40"/>
        <v>392</v>
      </c>
      <c r="Y544" s="40">
        <f t="shared" si="41"/>
        <v>392</v>
      </c>
      <c r="Z544" s="105">
        <v>0.51275510204081598</v>
      </c>
      <c r="AA544" s="105">
        <v>0.48724489795918402</v>
      </c>
      <c r="AB544" s="106">
        <f>2/392</f>
        <v>5.1020408163265302E-3</v>
      </c>
      <c r="AC544" s="106">
        <f>1/392</f>
        <v>2.5510204081632651E-3</v>
      </c>
      <c r="AD544" s="106">
        <f>288/392</f>
        <v>0.73469387755102045</v>
      </c>
      <c r="AE544" s="106">
        <f>19/392</f>
        <v>4.8469387755102039E-2</v>
      </c>
      <c r="AF544" s="106">
        <v>0</v>
      </c>
      <c r="AG544" s="106">
        <f>78/392</f>
        <v>0.19897959183673469</v>
      </c>
      <c r="AH544" s="106">
        <f>4/392</f>
        <v>1.020408163265306E-2</v>
      </c>
      <c r="AI544" s="106">
        <f>314/392</f>
        <v>0.80102040816326525</v>
      </c>
      <c r="AJ544" s="105">
        <v>0.82908163265306123</v>
      </c>
      <c r="AK544" s="105">
        <v>2.2959183673469399E-2</v>
      </c>
      <c r="AL544" s="12">
        <v>0</v>
      </c>
      <c r="AM544" s="12">
        <v>0</v>
      </c>
      <c r="AN544" s="12">
        <v>15</v>
      </c>
      <c r="AO544" s="12">
        <v>107</v>
      </c>
      <c r="AP544" s="12">
        <v>87</v>
      </c>
      <c r="AQ544" s="12">
        <v>89</v>
      </c>
      <c r="AR544" s="12">
        <v>94</v>
      </c>
      <c r="AS544" s="59">
        <v>0.12295081967213115</v>
      </c>
      <c r="AT544" s="3">
        <v>9</v>
      </c>
      <c r="AU544" s="3">
        <v>6</v>
      </c>
      <c r="AV544" s="52">
        <v>71.2</v>
      </c>
      <c r="AW544" s="52">
        <v>21.9</v>
      </c>
      <c r="AX544" s="52">
        <v>6.6</v>
      </c>
      <c r="AY544" s="71">
        <v>0.4</v>
      </c>
      <c r="AZ544" s="59">
        <v>0.3120728929384966</v>
      </c>
      <c r="BA544" s="59">
        <v>9.1116173120728925E-3</v>
      </c>
      <c r="BB544" s="78">
        <v>92.035932552831198</v>
      </c>
      <c r="BC544" s="49">
        <v>30.909090909090899</v>
      </c>
      <c r="BD544" s="90" t="s">
        <v>83</v>
      </c>
      <c r="BE544" s="90" t="s">
        <v>83</v>
      </c>
      <c r="BF544" s="49">
        <v>18</v>
      </c>
      <c r="BG544" s="49">
        <v>10.6</v>
      </c>
      <c r="BH544" s="49">
        <v>9.1</v>
      </c>
      <c r="BI544" s="49">
        <v>2.9</v>
      </c>
      <c r="BJ544" s="49">
        <v>17.2</v>
      </c>
      <c r="BK544" s="126">
        <v>11995</v>
      </c>
      <c r="BL544" s="126">
        <v>49849</v>
      </c>
      <c r="BM544" s="126">
        <v>45142</v>
      </c>
      <c r="BN544" s="126">
        <v>40811</v>
      </c>
      <c r="BO544" s="59">
        <v>1.9800000000000002E-2</v>
      </c>
      <c r="BP544" s="59">
        <v>0.36330000000000001</v>
      </c>
      <c r="BQ544" s="59">
        <v>0.126</v>
      </c>
      <c r="BR544" s="59">
        <v>0</v>
      </c>
      <c r="BS544" s="59">
        <v>0</v>
      </c>
      <c r="BT544" s="49">
        <v>14.5</v>
      </c>
      <c r="BU544" s="59">
        <f t="shared" si="42"/>
        <v>0.5091</v>
      </c>
      <c r="BV544" s="59">
        <v>5.3699999999999998E-2</v>
      </c>
      <c r="BW544" s="59">
        <v>0</v>
      </c>
      <c r="BX544" s="59">
        <v>3.9600000000000003E-2</v>
      </c>
      <c r="BY544" s="59">
        <v>0</v>
      </c>
      <c r="BZ544" s="59">
        <v>0</v>
      </c>
      <c r="CA544" s="49">
        <v>20.7</v>
      </c>
      <c r="CB544" s="59">
        <f t="shared" si="43"/>
        <v>9.3299999999999994E-2</v>
      </c>
      <c r="CC544" s="59">
        <v>0.37040000000000001</v>
      </c>
      <c r="CD544" s="59">
        <v>0.41139999999999999</v>
      </c>
      <c r="CE544" s="59">
        <v>0.21820000000000001</v>
      </c>
      <c r="CF544" s="59">
        <v>0</v>
      </c>
      <c r="CG544" s="59">
        <v>0</v>
      </c>
      <c r="CH544" s="49">
        <v>14.7</v>
      </c>
      <c r="CI544" s="39" t="s">
        <v>351</v>
      </c>
      <c r="CJ544" s="18" t="s">
        <v>479</v>
      </c>
      <c r="CK544" s="20"/>
    </row>
    <row r="545" spans="1:99" x14ac:dyDescent="0.25">
      <c r="A545" s="18" t="s">
        <v>479</v>
      </c>
      <c r="B545" s="39" t="s">
        <v>348</v>
      </c>
      <c r="C545" s="39" t="s">
        <v>352</v>
      </c>
      <c r="D545" s="40">
        <v>20</v>
      </c>
      <c r="E545" s="40" t="s">
        <v>83</v>
      </c>
      <c r="F545" s="40">
        <v>20</v>
      </c>
      <c r="G545" s="162" t="s">
        <v>83</v>
      </c>
      <c r="H545" s="162" t="s">
        <v>83</v>
      </c>
      <c r="I545" s="163">
        <v>0</v>
      </c>
      <c r="J545" s="163">
        <v>2</v>
      </c>
      <c r="K545" s="163">
        <v>4</v>
      </c>
      <c r="L545" s="163">
        <v>7</v>
      </c>
      <c r="M545" s="163">
        <v>7</v>
      </c>
      <c r="N545" s="115">
        <v>2.4242424242424201E-2</v>
      </c>
      <c r="O545" s="115">
        <v>2.4242424242424201E-2</v>
      </c>
      <c r="P545" s="116" t="s">
        <v>83</v>
      </c>
      <c r="Q545" s="116" t="s">
        <v>83</v>
      </c>
      <c r="R545" s="115">
        <v>0</v>
      </c>
      <c r="S545" s="115">
        <v>8.0645161290322596E-3</v>
      </c>
      <c r="T545" s="115">
        <v>1.7621145374449299E-2</v>
      </c>
      <c r="U545" s="115">
        <v>4.40251572327044E-2</v>
      </c>
      <c r="V545" s="115">
        <v>3.9325842696629199E-2</v>
      </c>
      <c r="W545" s="40">
        <v>760</v>
      </c>
      <c r="X545" s="40">
        <f t="shared" si="40"/>
        <v>760</v>
      </c>
      <c r="Y545" s="40">
        <f t="shared" si="41"/>
        <v>760</v>
      </c>
      <c r="Z545" s="105">
        <v>0.52236842105263204</v>
      </c>
      <c r="AA545" s="105">
        <v>0.47763157894736802</v>
      </c>
      <c r="AB545" s="106">
        <f>4/760</f>
        <v>5.263157894736842E-3</v>
      </c>
      <c r="AC545" s="106">
        <f>35/760</f>
        <v>4.6052631578947366E-2</v>
      </c>
      <c r="AD545" s="106">
        <f>185/760</f>
        <v>0.24342105263157895</v>
      </c>
      <c r="AE545" s="106">
        <f>134/760</f>
        <v>0.1763157894736842</v>
      </c>
      <c r="AF545" s="106">
        <v>0</v>
      </c>
      <c r="AG545" s="106">
        <f>384/760</f>
        <v>0.50526315789473686</v>
      </c>
      <c r="AH545" s="106">
        <f>18/760</f>
        <v>2.368421052631579E-2</v>
      </c>
      <c r="AI545" s="106">
        <f>376/760</f>
        <v>0.49473684210526314</v>
      </c>
      <c r="AJ545" s="105">
        <v>0.65131578947368418</v>
      </c>
      <c r="AK545" s="105">
        <v>9.2105263157894704E-2</v>
      </c>
      <c r="AL545" s="12">
        <v>0</v>
      </c>
      <c r="AM545" s="12">
        <v>0</v>
      </c>
      <c r="AN545" s="12">
        <v>12</v>
      </c>
      <c r="AO545" s="12">
        <v>222</v>
      </c>
      <c r="AP545" s="12">
        <v>207</v>
      </c>
      <c r="AQ545" s="12">
        <v>149</v>
      </c>
      <c r="AR545" s="12">
        <v>170</v>
      </c>
      <c r="AS545" s="59">
        <v>5.128205128205128E-2</v>
      </c>
      <c r="AT545" s="3">
        <v>9</v>
      </c>
      <c r="AU545" s="3">
        <v>6</v>
      </c>
      <c r="AV545" s="52">
        <v>68.7</v>
      </c>
      <c r="AW545" s="52">
        <v>23</v>
      </c>
      <c r="AX545" s="52">
        <v>7.7</v>
      </c>
      <c r="AY545" s="71">
        <v>0.7</v>
      </c>
      <c r="AZ545" s="59">
        <v>0.17481662591687042</v>
      </c>
      <c r="BA545" s="59">
        <v>0</v>
      </c>
      <c r="BB545" s="77">
        <v>93.493291974818206</v>
      </c>
      <c r="BC545" s="49">
        <v>19.047619047619001</v>
      </c>
      <c r="BD545" s="90" t="s">
        <v>83</v>
      </c>
      <c r="BE545" s="90" t="s">
        <v>83</v>
      </c>
      <c r="BF545" s="49">
        <v>9.6</v>
      </c>
      <c r="BG545" s="49">
        <v>2.1</v>
      </c>
      <c r="BH545" s="49">
        <v>0.8</v>
      </c>
      <c r="BI545" s="49">
        <v>0</v>
      </c>
      <c r="BJ545" s="49">
        <v>19.8</v>
      </c>
      <c r="BK545" s="126">
        <v>10082</v>
      </c>
      <c r="BL545" s="126">
        <v>47884</v>
      </c>
      <c r="BM545" s="126">
        <v>46821</v>
      </c>
      <c r="BN545" s="126">
        <v>41988</v>
      </c>
      <c r="BO545" s="59">
        <v>2.6800000000000001E-2</v>
      </c>
      <c r="BP545" s="59">
        <v>0.49280000000000002</v>
      </c>
      <c r="BQ545" s="59">
        <v>0.1071</v>
      </c>
      <c r="BR545" s="59">
        <v>0</v>
      </c>
      <c r="BS545" s="59">
        <v>0</v>
      </c>
      <c r="BT545" s="49">
        <v>12.4</v>
      </c>
      <c r="BU545" s="59">
        <f t="shared" si="42"/>
        <v>0.62670000000000003</v>
      </c>
      <c r="BV545" s="59">
        <v>4.02E-2</v>
      </c>
      <c r="BW545" s="59">
        <v>0</v>
      </c>
      <c r="BX545" s="59">
        <v>5.3600000000000002E-2</v>
      </c>
      <c r="BY545" s="59">
        <v>0</v>
      </c>
      <c r="BZ545" s="59">
        <v>0</v>
      </c>
      <c r="CA545" s="49">
        <v>14.3</v>
      </c>
      <c r="CB545" s="59">
        <f t="shared" si="43"/>
        <v>9.3799999999999994E-2</v>
      </c>
      <c r="CC545" s="59">
        <v>0.28939999999999999</v>
      </c>
      <c r="CD545" s="59">
        <v>0.50660000000000005</v>
      </c>
      <c r="CE545" s="59">
        <v>0.20399999999999999</v>
      </c>
      <c r="CF545" s="59">
        <v>0</v>
      </c>
      <c r="CG545" s="59">
        <v>0</v>
      </c>
      <c r="CH545" s="49">
        <v>12.9</v>
      </c>
      <c r="CI545" s="39" t="s">
        <v>352</v>
      </c>
      <c r="CJ545" s="18" t="s">
        <v>479</v>
      </c>
      <c r="CK545" s="20"/>
    </row>
    <row r="546" spans="1:99" x14ac:dyDescent="0.25">
      <c r="A546" s="18" t="s">
        <v>479</v>
      </c>
      <c r="B546" s="39" t="s">
        <v>348</v>
      </c>
      <c r="C546" s="39" t="s">
        <v>353</v>
      </c>
      <c r="D546" s="40">
        <v>5</v>
      </c>
      <c r="E546" s="40" t="s">
        <v>83</v>
      </c>
      <c r="F546" s="40">
        <v>5</v>
      </c>
      <c r="G546" s="162" t="s">
        <v>83</v>
      </c>
      <c r="H546" s="162" t="s">
        <v>83</v>
      </c>
      <c r="I546" s="163">
        <v>0</v>
      </c>
      <c r="J546" s="163">
        <v>1</v>
      </c>
      <c r="K546" s="163">
        <v>0</v>
      </c>
      <c r="L546" s="163">
        <v>2</v>
      </c>
      <c r="M546" s="163">
        <v>2</v>
      </c>
      <c r="N546" s="115">
        <v>1.04384133611691E-2</v>
      </c>
      <c r="O546" s="115">
        <v>1.04384133611691E-2</v>
      </c>
      <c r="P546" s="116" t="s">
        <v>83</v>
      </c>
      <c r="Q546" s="116" t="s">
        <v>83</v>
      </c>
      <c r="R546" s="115">
        <v>0</v>
      </c>
      <c r="S546" s="115">
        <v>7.14285714285714E-3</v>
      </c>
      <c r="T546" s="115">
        <v>0</v>
      </c>
      <c r="U546" s="115">
        <v>1.86915887850467E-2</v>
      </c>
      <c r="V546" s="115">
        <v>2.0833333333333301E-2</v>
      </c>
      <c r="W546" s="40">
        <v>438</v>
      </c>
      <c r="X546" s="40">
        <f t="shared" si="40"/>
        <v>438</v>
      </c>
      <c r="Y546" s="40">
        <f t="shared" si="41"/>
        <v>438</v>
      </c>
      <c r="Z546" s="105">
        <v>0.46347031963470298</v>
      </c>
      <c r="AA546" s="105">
        <v>0.53652968036529702</v>
      </c>
      <c r="AB546" s="106">
        <f>6/438</f>
        <v>1.3698630136986301E-2</v>
      </c>
      <c r="AC546" s="106">
        <f>1/438</f>
        <v>2.2831050228310501E-3</v>
      </c>
      <c r="AD546" s="106">
        <f>202/438</f>
        <v>0.46118721461187212</v>
      </c>
      <c r="AE546" s="106">
        <f>25/438</f>
        <v>5.7077625570776253E-2</v>
      </c>
      <c r="AF546" s="106">
        <v>0</v>
      </c>
      <c r="AG546" s="106">
        <f>199/438</f>
        <v>0.454337899543379</v>
      </c>
      <c r="AH546" s="106">
        <f>5/438</f>
        <v>1.1415525114155251E-2</v>
      </c>
      <c r="AI546" s="106">
        <f>239/438</f>
        <v>0.545662100456621</v>
      </c>
      <c r="AJ546" s="105">
        <v>0.68264840182648401</v>
      </c>
      <c r="AK546" s="105">
        <v>2.0547945205479499E-2</v>
      </c>
      <c r="AL546" s="12">
        <v>0</v>
      </c>
      <c r="AM546" s="12">
        <v>0</v>
      </c>
      <c r="AN546" s="12">
        <v>12</v>
      </c>
      <c r="AO546" s="12">
        <v>128</v>
      </c>
      <c r="AP546" s="12">
        <v>106</v>
      </c>
      <c r="AQ546" s="12">
        <v>101</v>
      </c>
      <c r="AR546" s="12">
        <v>91</v>
      </c>
      <c r="AS546" s="59">
        <v>8.5714285714285715E-2</v>
      </c>
      <c r="AT546" s="3">
        <v>9</v>
      </c>
      <c r="AU546" s="3">
        <v>6</v>
      </c>
      <c r="AV546" s="52">
        <v>48.9</v>
      </c>
      <c r="AW546" s="52">
        <v>27.8</v>
      </c>
      <c r="AX546" s="52">
        <v>23.3</v>
      </c>
      <c r="AY546" s="70">
        <v>0</v>
      </c>
      <c r="AZ546" s="59">
        <v>0.24634655532359082</v>
      </c>
      <c r="BA546" s="59">
        <v>6.2630480167014616E-3</v>
      </c>
      <c r="BB546" s="78">
        <v>93.610240611887207</v>
      </c>
      <c r="BC546" s="49">
        <v>18.580375782880999</v>
      </c>
      <c r="BD546" s="90" t="s">
        <v>83</v>
      </c>
      <c r="BE546" s="90" t="s">
        <v>83</v>
      </c>
      <c r="BF546" s="49">
        <v>1.7</v>
      </c>
      <c r="BG546" s="49">
        <v>0.9</v>
      </c>
      <c r="BH546" s="49">
        <v>0</v>
      </c>
      <c r="BI546" s="49">
        <v>2.2000000000000002</v>
      </c>
      <c r="BJ546" s="49">
        <v>18.100000000000001</v>
      </c>
      <c r="BK546" s="126">
        <v>10266</v>
      </c>
      <c r="BL546" s="126">
        <v>46898</v>
      </c>
      <c r="BM546" s="126">
        <v>48376</v>
      </c>
      <c r="BN546" s="126">
        <v>40837</v>
      </c>
      <c r="BO546" s="59">
        <v>0</v>
      </c>
      <c r="BP546" s="59">
        <v>0.37440000000000001</v>
      </c>
      <c r="BQ546" s="59">
        <v>0.217</v>
      </c>
      <c r="BR546" s="59">
        <v>5.4999999999999997E-3</v>
      </c>
      <c r="BS546" s="59">
        <v>0</v>
      </c>
      <c r="BT546" s="49">
        <v>10.9</v>
      </c>
      <c r="BU546" s="59">
        <f t="shared" si="42"/>
        <v>0.59689999999999999</v>
      </c>
      <c r="BV546" s="59">
        <v>4.3900000000000002E-2</v>
      </c>
      <c r="BW546" s="59">
        <v>0</v>
      </c>
      <c r="BX546" s="59">
        <v>4.3900000000000002E-2</v>
      </c>
      <c r="BY546" s="59">
        <v>0</v>
      </c>
      <c r="BZ546" s="59">
        <v>0</v>
      </c>
      <c r="CA546" s="49">
        <v>10.5</v>
      </c>
      <c r="CB546" s="59">
        <f t="shared" si="43"/>
        <v>8.7800000000000003E-2</v>
      </c>
      <c r="CC546" s="59">
        <v>0.22750000000000001</v>
      </c>
      <c r="CD546" s="59">
        <v>0.46129999999999999</v>
      </c>
      <c r="CE546" s="59">
        <v>0.29310000000000003</v>
      </c>
      <c r="CF546" s="59">
        <v>1.7999999999999999E-2</v>
      </c>
      <c r="CG546" s="59">
        <v>0</v>
      </c>
      <c r="CH546" s="49">
        <v>10.8</v>
      </c>
      <c r="CI546" s="39" t="s">
        <v>353</v>
      </c>
      <c r="CJ546" s="18" t="s">
        <v>479</v>
      </c>
      <c r="CK546" s="20"/>
    </row>
    <row r="547" spans="1:99" ht="15.75" thickBot="1" x14ac:dyDescent="0.3">
      <c r="A547" s="18" t="s">
        <v>479</v>
      </c>
      <c r="B547" s="39" t="s">
        <v>348</v>
      </c>
      <c r="C547" s="39" t="s">
        <v>354</v>
      </c>
      <c r="D547" s="40">
        <v>4</v>
      </c>
      <c r="E547" s="40" t="s">
        <v>83</v>
      </c>
      <c r="F547" s="40">
        <v>4</v>
      </c>
      <c r="G547" s="162" t="s">
        <v>83</v>
      </c>
      <c r="H547" s="162" t="s">
        <v>83</v>
      </c>
      <c r="I547" s="163">
        <v>0</v>
      </c>
      <c r="J547" s="163">
        <v>1</v>
      </c>
      <c r="K547" s="163">
        <v>1</v>
      </c>
      <c r="L547" s="163">
        <v>1</v>
      </c>
      <c r="M547" s="163">
        <v>1</v>
      </c>
      <c r="N547" s="115">
        <v>1.03626943005181E-2</v>
      </c>
      <c r="O547" s="115">
        <v>1.03626943005181E-2</v>
      </c>
      <c r="P547" s="116" t="s">
        <v>83</v>
      </c>
      <c r="Q547" s="116" t="s">
        <v>83</v>
      </c>
      <c r="R547" s="115">
        <v>0</v>
      </c>
      <c r="S547" s="115">
        <v>8.1967213114754103E-3</v>
      </c>
      <c r="T547" s="115">
        <v>1.1764705882352899E-2</v>
      </c>
      <c r="U547" s="115">
        <v>1.3157894736842099E-2</v>
      </c>
      <c r="V547" s="115">
        <v>1.02040816326531E-2</v>
      </c>
      <c r="W547" s="40">
        <v>348</v>
      </c>
      <c r="X547" s="40">
        <f t="shared" si="40"/>
        <v>348</v>
      </c>
      <c r="Y547" s="40">
        <f t="shared" si="41"/>
        <v>348</v>
      </c>
      <c r="Z547" s="105">
        <v>0.497126436781609</v>
      </c>
      <c r="AA547" s="105">
        <v>0.50287356321839105</v>
      </c>
      <c r="AB547" s="106">
        <f>10/348</f>
        <v>2.8735632183908046E-2</v>
      </c>
      <c r="AC547" s="106">
        <f>2/348</f>
        <v>5.7471264367816091E-3</v>
      </c>
      <c r="AD547" s="106">
        <f>256/348</f>
        <v>0.73563218390804597</v>
      </c>
      <c r="AE547" s="106">
        <f>3/348</f>
        <v>8.6206896551724137E-3</v>
      </c>
      <c r="AF547" s="106">
        <v>0</v>
      </c>
      <c r="AG547" s="106">
        <f>61/348</f>
        <v>0.17528735632183909</v>
      </c>
      <c r="AH547" s="106">
        <f>16/348</f>
        <v>4.5977011494252873E-2</v>
      </c>
      <c r="AI547" s="106">
        <f>287/348</f>
        <v>0.82471264367816088</v>
      </c>
      <c r="AJ547" s="105">
        <v>0.81034482758620685</v>
      </c>
      <c r="AK547" s="105">
        <v>5.74712643678161E-3</v>
      </c>
      <c r="AL547" s="12">
        <v>0</v>
      </c>
      <c r="AM547" s="12">
        <v>0</v>
      </c>
      <c r="AN547" s="12">
        <v>2</v>
      </c>
      <c r="AO547" s="12">
        <v>117</v>
      </c>
      <c r="AP547" s="12">
        <v>75</v>
      </c>
      <c r="AQ547" s="12">
        <v>69</v>
      </c>
      <c r="AR547" s="12">
        <v>85</v>
      </c>
      <c r="AS547" s="59">
        <v>1.680672268907563E-2</v>
      </c>
      <c r="AT547" s="3">
        <v>9</v>
      </c>
      <c r="AU547" s="3">
        <v>6</v>
      </c>
      <c r="AV547" s="52">
        <v>77.8</v>
      </c>
      <c r="AW547" s="52">
        <v>16</v>
      </c>
      <c r="AX547" s="52">
        <v>5.3</v>
      </c>
      <c r="AY547" s="71">
        <v>0.9</v>
      </c>
      <c r="AZ547" s="59">
        <v>0.31688311688311688</v>
      </c>
      <c r="BA547" s="59">
        <v>4.6753246753246755E-2</v>
      </c>
      <c r="BB547" s="77">
        <v>91.793676162857807</v>
      </c>
      <c r="BC547" s="49">
        <v>40.155440414507801</v>
      </c>
      <c r="BD547" s="90" t="s">
        <v>83</v>
      </c>
      <c r="BE547" s="90" t="s">
        <v>83</v>
      </c>
      <c r="BF547" s="49">
        <v>6.9</v>
      </c>
      <c r="BG547" s="49">
        <v>2.8</v>
      </c>
      <c r="BH547" s="49">
        <v>2.9</v>
      </c>
      <c r="BI547" s="49">
        <v>5.5</v>
      </c>
      <c r="BJ547" s="49">
        <v>17.100000000000001</v>
      </c>
      <c r="BK547" s="126">
        <v>12144</v>
      </c>
      <c r="BL547" s="126">
        <v>49825</v>
      </c>
      <c r="BM547" s="126">
        <v>49478</v>
      </c>
      <c r="BN547" s="126">
        <v>40370</v>
      </c>
      <c r="BO547" s="59">
        <v>0</v>
      </c>
      <c r="BP547" s="59">
        <v>0.33929999999999999</v>
      </c>
      <c r="BQ547" s="59">
        <v>0.17180000000000001</v>
      </c>
      <c r="BR547" s="59">
        <v>2.0500000000000001E-2</v>
      </c>
      <c r="BS547" s="59">
        <v>0</v>
      </c>
      <c r="BT547" s="49">
        <v>14.1</v>
      </c>
      <c r="BU547" s="59">
        <f t="shared" si="42"/>
        <v>0.53159999999999996</v>
      </c>
      <c r="BV547" s="59">
        <v>4.1000000000000002E-2</v>
      </c>
      <c r="BW547" s="59">
        <v>0</v>
      </c>
      <c r="BX547" s="59">
        <v>2.0500000000000001E-2</v>
      </c>
      <c r="BY547" s="59">
        <v>0</v>
      </c>
      <c r="BZ547" s="59">
        <v>2.0500000000000001E-2</v>
      </c>
      <c r="CA547" s="49">
        <v>16.3</v>
      </c>
      <c r="CB547" s="59">
        <f t="shared" si="43"/>
        <v>8.2000000000000003E-2</v>
      </c>
      <c r="CC547" s="59">
        <v>0.36880000000000002</v>
      </c>
      <c r="CD547" s="59">
        <v>0.36870000000000003</v>
      </c>
      <c r="CE547" s="59">
        <v>0.2215</v>
      </c>
      <c r="CF547" s="59">
        <v>2.0500000000000001E-2</v>
      </c>
      <c r="CG547" s="59">
        <v>2.0500000000000001E-2</v>
      </c>
      <c r="CH547" s="49">
        <v>14.9</v>
      </c>
      <c r="CI547" s="39" t="s">
        <v>354</v>
      </c>
      <c r="CJ547" s="18" t="s">
        <v>479</v>
      </c>
      <c r="CK547" s="20"/>
    </row>
    <row r="548" spans="1:99" s="1" customFormat="1" ht="21" customHeight="1" x14ac:dyDescent="0.25">
      <c r="A548" s="21" t="s">
        <v>0</v>
      </c>
      <c r="B548" s="22" t="s">
        <v>1</v>
      </c>
      <c r="C548" s="22" t="s">
        <v>2</v>
      </c>
      <c r="D548" s="9" t="s">
        <v>3</v>
      </c>
      <c r="E548" s="9" t="s">
        <v>4</v>
      </c>
      <c r="F548" s="9" t="s">
        <v>5</v>
      </c>
      <c r="G548" s="161" t="s">
        <v>565</v>
      </c>
      <c r="H548" s="161" t="s">
        <v>566</v>
      </c>
      <c r="I548" s="161" t="s">
        <v>567</v>
      </c>
      <c r="J548" s="161" t="s">
        <v>568</v>
      </c>
      <c r="K548" s="161" t="s">
        <v>569</v>
      </c>
      <c r="L548" s="161" t="s">
        <v>570</v>
      </c>
      <c r="M548" s="161" t="s">
        <v>571</v>
      </c>
      <c r="N548" s="120" t="s">
        <v>6</v>
      </c>
      <c r="O548" s="120" t="s">
        <v>7</v>
      </c>
      <c r="P548" s="120" t="s">
        <v>8</v>
      </c>
      <c r="Q548" s="120" t="s">
        <v>9</v>
      </c>
      <c r="R548" s="120" t="s">
        <v>10</v>
      </c>
      <c r="S548" s="120" t="s">
        <v>11</v>
      </c>
      <c r="T548" s="120" t="s">
        <v>12</v>
      </c>
      <c r="U548" s="120" t="s">
        <v>13</v>
      </c>
      <c r="V548" s="120" t="s">
        <v>14</v>
      </c>
      <c r="W548" s="41" t="s">
        <v>15</v>
      </c>
      <c r="X548" s="41" t="s">
        <v>16</v>
      </c>
      <c r="Y548" s="41" t="s">
        <v>17</v>
      </c>
      <c r="Z548" s="107" t="s">
        <v>18</v>
      </c>
      <c r="AA548" s="107" t="s">
        <v>19</v>
      </c>
      <c r="AB548" s="95" t="s">
        <v>20</v>
      </c>
      <c r="AC548" s="95" t="s">
        <v>21</v>
      </c>
      <c r="AD548" s="95" t="s">
        <v>22</v>
      </c>
      <c r="AE548" s="95" t="s">
        <v>23</v>
      </c>
      <c r="AF548" s="95" t="s">
        <v>24</v>
      </c>
      <c r="AG548" s="95" t="s">
        <v>25</v>
      </c>
      <c r="AH548" s="95" t="s">
        <v>26</v>
      </c>
      <c r="AI548" s="95" t="s">
        <v>27</v>
      </c>
      <c r="AJ548" s="95" t="s">
        <v>28</v>
      </c>
      <c r="AK548" s="107" t="s">
        <v>29</v>
      </c>
      <c r="AL548" s="42" t="s">
        <v>30</v>
      </c>
      <c r="AM548" s="42" t="s">
        <v>31</v>
      </c>
      <c r="AN548" s="42" t="s">
        <v>32</v>
      </c>
      <c r="AO548" s="42" t="s">
        <v>33</v>
      </c>
      <c r="AP548" s="42" t="s">
        <v>34</v>
      </c>
      <c r="AQ548" s="42" t="s">
        <v>35</v>
      </c>
      <c r="AR548" s="42" t="s">
        <v>36</v>
      </c>
      <c r="AS548" s="100" t="s">
        <v>37</v>
      </c>
      <c r="AT548" s="41" t="s">
        <v>38</v>
      </c>
      <c r="AU548" s="23" t="s">
        <v>39</v>
      </c>
      <c r="AV548" s="51" t="s">
        <v>40</v>
      </c>
      <c r="AW548" s="51" t="s">
        <v>41</v>
      </c>
      <c r="AX548" s="51" t="s">
        <v>42</v>
      </c>
      <c r="AY548" s="66" t="s">
        <v>43</v>
      </c>
      <c r="AZ548" s="58" t="s">
        <v>44</v>
      </c>
      <c r="BA548" s="58" t="s">
        <v>45</v>
      </c>
      <c r="BB548" s="75" t="s">
        <v>46</v>
      </c>
      <c r="BC548" s="83" t="s">
        <v>47</v>
      </c>
      <c r="BD548" s="89" t="s">
        <v>48</v>
      </c>
      <c r="BE548" s="89" t="s">
        <v>49</v>
      </c>
      <c r="BF548" s="89" t="s">
        <v>50</v>
      </c>
      <c r="BG548" s="89" t="s">
        <v>51</v>
      </c>
      <c r="BH548" s="89" t="s">
        <v>52</v>
      </c>
      <c r="BI548" s="89" t="s">
        <v>53</v>
      </c>
      <c r="BJ548" s="86" t="s">
        <v>54</v>
      </c>
      <c r="BK548" s="127" t="s">
        <v>55</v>
      </c>
      <c r="BL548" s="127" t="s">
        <v>56</v>
      </c>
      <c r="BM548" s="127" t="s">
        <v>57</v>
      </c>
      <c r="BN548" s="127" t="s">
        <v>58</v>
      </c>
      <c r="BO548" s="131" t="s">
        <v>59</v>
      </c>
      <c r="BP548" s="131" t="s">
        <v>60</v>
      </c>
      <c r="BQ548" s="131" t="s">
        <v>61</v>
      </c>
      <c r="BR548" s="131" t="s">
        <v>62</v>
      </c>
      <c r="BS548" s="131" t="s">
        <v>63</v>
      </c>
      <c r="BT548" s="131" t="s">
        <v>64</v>
      </c>
      <c r="BU548" s="131" t="s">
        <v>65</v>
      </c>
      <c r="BV548" s="132" t="s">
        <v>66</v>
      </c>
      <c r="BW548" s="132" t="s">
        <v>67</v>
      </c>
      <c r="BX548" s="132" t="s">
        <v>68</v>
      </c>
      <c r="BY548" s="132" t="s">
        <v>69</v>
      </c>
      <c r="BZ548" s="132" t="s">
        <v>70</v>
      </c>
      <c r="CA548" s="132" t="s">
        <v>71</v>
      </c>
      <c r="CB548" s="132" t="s">
        <v>72</v>
      </c>
      <c r="CC548" s="123" t="s">
        <v>73</v>
      </c>
      <c r="CD548" s="123" t="s">
        <v>74</v>
      </c>
      <c r="CE548" s="123" t="s">
        <v>75</v>
      </c>
      <c r="CF548" s="123" t="s">
        <v>76</v>
      </c>
      <c r="CG548" s="123" t="s">
        <v>77</v>
      </c>
      <c r="CH548" s="123" t="s">
        <v>78</v>
      </c>
      <c r="CI548" s="22" t="s">
        <v>2</v>
      </c>
      <c r="CJ548" s="21" t="s">
        <v>0</v>
      </c>
      <c r="CK548" s="24" t="s">
        <v>79</v>
      </c>
      <c r="CL548"/>
      <c r="CM548"/>
      <c r="CN548"/>
      <c r="CO548"/>
      <c r="CP548"/>
      <c r="CQ548"/>
      <c r="CU548"/>
    </row>
    <row r="549" spans="1:99" x14ac:dyDescent="0.25">
      <c r="A549" s="18" t="s">
        <v>479</v>
      </c>
      <c r="B549" s="39" t="s">
        <v>355</v>
      </c>
      <c r="C549" s="39" t="s">
        <v>356</v>
      </c>
      <c r="D549" s="40">
        <v>45</v>
      </c>
      <c r="E549" s="40" t="s">
        <v>83</v>
      </c>
      <c r="F549" s="40">
        <v>45</v>
      </c>
      <c r="G549" s="162" t="s">
        <v>83</v>
      </c>
      <c r="H549" s="162" t="s">
        <v>83</v>
      </c>
      <c r="I549" s="163">
        <v>0</v>
      </c>
      <c r="J549" s="163">
        <v>14</v>
      </c>
      <c r="K549" s="163">
        <v>9</v>
      </c>
      <c r="L549" s="163">
        <v>7</v>
      </c>
      <c r="M549" s="163">
        <v>15</v>
      </c>
      <c r="N549" s="115">
        <v>2.7108433734939801E-2</v>
      </c>
      <c r="O549" s="115">
        <v>2.7108433734939801E-2</v>
      </c>
      <c r="P549" s="116" t="s">
        <v>83</v>
      </c>
      <c r="Q549" s="116" t="s">
        <v>83</v>
      </c>
      <c r="R549" s="115">
        <v>0</v>
      </c>
      <c r="S549" s="115">
        <v>3.1180400890868602E-2</v>
      </c>
      <c r="T549" s="115">
        <v>2.10280373831776E-2</v>
      </c>
      <c r="U549" s="115">
        <v>1.85185185185185E-2</v>
      </c>
      <c r="V549" s="115">
        <v>3.8560411311053998E-2</v>
      </c>
      <c r="W549" s="40">
        <v>1554</v>
      </c>
      <c r="X549" s="40">
        <f t="shared" ref="X549:X603" si="44">SUM(AN549:AR549)</f>
        <v>1554</v>
      </c>
      <c r="Y549" s="40">
        <f t="shared" ref="Y549:Y603" si="45">SUM(AL549:AR549)</f>
        <v>1554</v>
      </c>
      <c r="Z549" s="105">
        <v>0.50386100386100396</v>
      </c>
      <c r="AA549" s="105">
        <v>0.49613899613899598</v>
      </c>
      <c r="AB549" s="106">
        <f>1/1554</f>
        <v>6.4350064350064348E-4</v>
      </c>
      <c r="AC549" s="106">
        <f>9/1554</f>
        <v>5.7915057915057912E-3</v>
      </c>
      <c r="AD549" s="106">
        <f>279/1554</f>
        <v>0.17953667953667954</v>
      </c>
      <c r="AE549" s="106">
        <f>76/1554</f>
        <v>4.8906048906048903E-2</v>
      </c>
      <c r="AF549" s="106">
        <v>0</v>
      </c>
      <c r="AG549" s="106">
        <f>1184/1554</f>
        <v>0.76190476190476186</v>
      </c>
      <c r="AH549" s="106">
        <f>5/1554</f>
        <v>3.2175032175032173E-3</v>
      </c>
      <c r="AI549" s="106">
        <f>370/1554</f>
        <v>0.23809523809523808</v>
      </c>
      <c r="AJ549" s="105">
        <v>0.53153153153153154</v>
      </c>
      <c r="AK549" s="105">
        <v>1.9948519948519899E-2</v>
      </c>
      <c r="AL549" s="12">
        <v>0</v>
      </c>
      <c r="AM549" s="12">
        <v>0</v>
      </c>
      <c r="AN549" s="12">
        <v>13</v>
      </c>
      <c r="AO549" s="12">
        <v>411</v>
      </c>
      <c r="AP549" s="12">
        <v>403</v>
      </c>
      <c r="AQ549" s="12">
        <v>357</v>
      </c>
      <c r="AR549" s="12">
        <v>370</v>
      </c>
      <c r="AS549" s="59">
        <v>3.0660377358490566E-2</v>
      </c>
      <c r="AT549" s="3">
        <v>9</v>
      </c>
      <c r="AU549" s="3">
        <v>6</v>
      </c>
      <c r="AV549" s="52">
        <v>58.6</v>
      </c>
      <c r="AW549" s="52">
        <v>20.5</v>
      </c>
      <c r="AX549" s="52">
        <v>18.899999999999999</v>
      </c>
      <c r="AY549" s="71">
        <v>2</v>
      </c>
      <c r="AZ549" s="59">
        <v>0.20473876063183474</v>
      </c>
      <c r="BA549" s="59">
        <v>0.12332928311057108</v>
      </c>
      <c r="BB549" s="78">
        <v>94.122645064054296</v>
      </c>
      <c r="BC549" s="49">
        <v>31.741233373639702</v>
      </c>
      <c r="BD549" s="90" t="s">
        <v>83</v>
      </c>
      <c r="BE549" s="90" t="s">
        <v>83</v>
      </c>
      <c r="BF549" s="49">
        <v>5.6</v>
      </c>
      <c r="BG549" s="49">
        <v>4.5</v>
      </c>
      <c r="BH549" s="49">
        <v>2</v>
      </c>
      <c r="BI549" s="49">
        <v>2.5</v>
      </c>
      <c r="BJ549" s="49">
        <v>20</v>
      </c>
      <c r="BK549" s="126">
        <v>11209</v>
      </c>
      <c r="BL549" s="126">
        <v>54829</v>
      </c>
      <c r="BM549" s="126">
        <v>56253</v>
      </c>
      <c r="BN549" s="126">
        <v>47262</v>
      </c>
      <c r="BO549" s="59">
        <v>0</v>
      </c>
      <c r="BP549" s="59">
        <v>0.40679999999999999</v>
      </c>
      <c r="BQ549" s="59">
        <v>0.2291</v>
      </c>
      <c r="BR549" s="59">
        <v>0</v>
      </c>
      <c r="BS549" s="59">
        <v>6.7000000000000002E-3</v>
      </c>
      <c r="BT549" s="49">
        <v>15.1</v>
      </c>
      <c r="BU549" s="59">
        <f t="shared" si="42"/>
        <v>0.64260000000000006</v>
      </c>
      <c r="BV549" s="59">
        <v>3.3300000000000003E-2</v>
      </c>
      <c r="BW549" s="59">
        <v>0</v>
      </c>
      <c r="BX549" s="59">
        <v>2.5499999999999998E-2</v>
      </c>
      <c r="BY549" s="59">
        <v>0</v>
      </c>
      <c r="BZ549" s="59">
        <v>6.7000000000000002E-3</v>
      </c>
      <c r="CA549" s="49">
        <v>17.899999999999999</v>
      </c>
      <c r="CB549" s="59">
        <f t="shared" si="43"/>
        <v>6.5500000000000003E-2</v>
      </c>
      <c r="CC549" s="59">
        <v>0.27860000000000001</v>
      </c>
      <c r="CD549" s="59">
        <v>0.42680000000000001</v>
      </c>
      <c r="CE549" s="59">
        <v>0.28129999999999999</v>
      </c>
      <c r="CF549" s="59">
        <v>0</v>
      </c>
      <c r="CG549" s="59">
        <v>1.3299999999999999E-2</v>
      </c>
      <c r="CH549" s="49">
        <v>14.3</v>
      </c>
      <c r="CI549" s="39" t="s">
        <v>356</v>
      </c>
      <c r="CJ549" s="18" t="s">
        <v>479</v>
      </c>
      <c r="CK549" s="20"/>
    </row>
    <row r="550" spans="1:99" x14ac:dyDescent="0.25">
      <c r="A550" s="18" t="s">
        <v>479</v>
      </c>
      <c r="B550" s="39" t="s">
        <v>355</v>
      </c>
      <c r="C550" s="39" t="s">
        <v>357</v>
      </c>
      <c r="D550" s="40">
        <v>33</v>
      </c>
      <c r="E550" s="40" t="s">
        <v>83</v>
      </c>
      <c r="F550" s="40">
        <v>33</v>
      </c>
      <c r="G550" s="162" t="s">
        <v>83</v>
      </c>
      <c r="H550" s="162" t="s">
        <v>83</v>
      </c>
      <c r="I550" s="163">
        <v>2</v>
      </c>
      <c r="J550" s="163">
        <v>5</v>
      </c>
      <c r="K550" s="163">
        <v>12</v>
      </c>
      <c r="L550" s="163">
        <v>4</v>
      </c>
      <c r="M550" s="163">
        <v>10</v>
      </c>
      <c r="N550" s="115">
        <v>1.6256157635468001E-2</v>
      </c>
      <c r="O550" s="115">
        <v>1.6256157635468001E-2</v>
      </c>
      <c r="P550" s="116" t="s">
        <v>83</v>
      </c>
      <c r="Q550" s="116" t="s">
        <v>83</v>
      </c>
      <c r="R550" s="115">
        <v>0.18181818181818199</v>
      </c>
      <c r="S550" s="115">
        <v>8.7412587412587402E-3</v>
      </c>
      <c r="T550" s="115">
        <v>2.3856858846918499E-2</v>
      </c>
      <c r="U550" s="115">
        <v>8.29875518672199E-3</v>
      </c>
      <c r="V550" s="115">
        <v>2.1645021645021599E-2</v>
      </c>
      <c r="W550" s="40">
        <v>1943</v>
      </c>
      <c r="X550" s="40">
        <f t="shared" si="44"/>
        <v>1943</v>
      </c>
      <c r="Y550" s="40">
        <f t="shared" si="45"/>
        <v>1943</v>
      </c>
      <c r="Z550" s="105">
        <v>0.50231600617601602</v>
      </c>
      <c r="AA550" s="105">
        <v>0.49768399382398398</v>
      </c>
      <c r="AB550" s="106">
        <f>8/1943</f>
        <v>4.1173443129181682E-3</v>
      </c>
      <c r="AC550" s="106">
        <f>40/1943</f>
        <v>2.0586721564590838E-2</v>
      </c>
      <c r="AD550" s="106">
        <f>142/1943</f>
        <v>7.3082861554297482E-2</v>
      </c>
      <c r="AE550" s="106">
        <f>87/1943</f>
        <v>4.4776119402985072E-2</v>
      </c>
      <c r="AF550" s="106">
        <v>0</v>
      </c>
      <c r="AG550" s="106">
        <f>1649/1943</f>
        <v>0.84868759650025738</v>
      </c>
      <c r="AH550" s="106">
        <f>17/1943</f>
        <v>8.7493566649511061E-3</v>
      </c>
      <c r="AI550" s="106">
        <f>294/1943</f>
        <v>0.15131240349974268</v>
      </c>
      <c r="AJ550" s="105">
        <v>0.27328872876994337</v>
      </c>
      <c r="AK550" s="105">
        <v>1.1322696860525E-2</v>
      </c>
      <c r="AL550" s="12">
        <v>0</v>
      </c>
      <c r="AM550" s="12">
        <v>0</v>
      </c>
      <c r="AN550" s="12">
        <v>13</v>
      </c>
      <c r="AO550" s="12">
        <v>542</v>
      </c>
      <c r="AP550" s="12">
        <v>477</v>
      </c>
      <c r="AQ550" s="12">
        <v>469</v>
      </c>
      <c r="AR550" s="12">
        <v>442</v>
      </c>
      <c r="AS550" s="59">
        <v>2.3423423423423424E-2</v>
      </c>
      <c r="AT550" s="3">
        <v>9</v>
      </c>
      <c r="AU550" s="3">
        <v>6</v>
      </c>
      <c r="AV550" s="52">
        <v>58.2</v>
      </c>
      <c r="AW550" s="52">
        <v>27.5</v>
      </c>
      <c r="AX550" s="52">
        <v>12.8</v>
      </c>
      <c r="AY550" s="71">
        <v>1.5</v>
      </c>
      <c r="AZ550" s="59">
        <v>6.9801980198019808E-2</v>
      </c>
      <c r="BA550" s="59">
        <v>5.0990099009900987E-2</v>
      </c>
      <c r="BB550" s="77">
        <v>94.740022189570894</v>
      </c>
      <c r="BC550" s="49">
        <v>21.094135041892599</v>
      </c>
      <c r="BD550" s="90" t="s">
        <v>83</v>
      </c>
      <c r="BE550" s="90" t="s">
        <v>83</v>
      </c>
      <c r="BF550" s="49">
        <v>6.7</v>
      </c>
      <c r="BG550" s="49">
        <v>3.7</v>
      </c>
      <c r="BH550" s="49">
        <v>1.8</v>
      </c>
      <c r="BI550" s="49">
        <v>2.8</v>
      </c>
      <c r="BJ550" s="49">
        <v>23.3</v>
      </c>
      <c r="BK550" s="126">
        <v>10471</v>
      </c>
      <c r="BL550" s="126">
        <v>54674</v>
      </c>
      <c r="BM550" s="126">
        <v>57709</v>
      </c>
      <c r="BN550" s="126">
        <v>47472</v>
      </c>
      <c r="BO550" s="59">
        <v>5.7999999999999996E-3</v>
      </c>
      <c r="BP550" s="59">
        <v>0.37319999999999998</v>
      </c>
      <c r="BQ550" s="59">
        <v>0.29249999999999998</v>
      </c>
      <c r="BR550" s="59">
        <v>0</v>
      </c>
      <c r="BS550" s="59">
        <v>5.7999999999999996E-3</v>
      </c>
      <c r="BT550" s="49">
        <v>15.3</v>
      </c>
      <c r="BU550" s="59">
        <f t="shared" si="42"/>
        <v>0.67730000000000001</v>
      </c>
      <c r="BV550" s="59">
        <v>2.4500000000000001E-2</v>
      </c>
      <c r="BW550" s="59">
        <v>4.4999999999999997E-3</v>
      </c>
      <c r="BX550" s="59">
        <v>2.3099999999999999E-2</v>
      </c>
      <c r="BY550" s="59">
        <v>5.7999999999999996E-3</v>
      </c>
      <c r="BZ550" s="59">
        <v>0</v>
      </c>
      <c r="CA550" s="49">
        <v>20.9</v>
      </c>
      <c r="CB550" s="59">
        <f t="shared" si="43"/>
        <v>5.79E-2</v>
      </c>
      <c r="CC550" s="59">
        <v>0.23749999999999999</v>
      </c>
      <c r="CD550" s="59">
        <v>0.40239999999999998</v>
      </c>
      <c r="CE550" s="59">
        <v>0.3427</v>
      </c>
      <c r="CF550" s="59">
        <v>1.1599999999999999E-2</v>
      </c>
      <c r="CG550" s="59">
        <v>5.7999999999999996E-3</v>
      </c>
      <c r="CH550" s="49">
        <v>13.9</v>
      </c>
      <c r="CI550" s="39" t="s">
        <v>357</v>
      </c>
      <c r="CJ550" s="18" t="s">
        <v>479</v>
      </c>
      <c r="CK550" s="20"/>
    </row>
    <row r="551" spans="1:99" x14ac:dyDescent="0.25">
      <c r="A551" s="18" t="s">
        <v>479</v>
      </c>
      <c r="B551" s="39" t="s">
        <v>355</v>
      </c>
      <c r="C551" s="39" t="s">
        <v>358</v>
      </c>
      <c r="D551" s="40">
        <v>12</v>
      </c>
      <c r="E551" s="40" t="s">
        <v>83</v>
      </c>
      <c r="F551" s="40">
        <v>12</v>
      </c>
      <c r="G551" s="162" t="s">
        <v>83</v>
      </c>
      <c r="H551" s="162" t="s">
        <v>83</v>
      </c>
      <c r="I551" s="163">
        <v>1</v>
      </c>
      <c r="J551" s="163">
        <v>2</v>
      </c>
      <c r="K551" s="163">
        <v>0</v>
      </c>
      <c r="L551" s="163">
        <v>4</v>
      </c>
      <c r="M551" s="163">
        <v>5</v>
      </c>
      <c r="N551" s="115">
        <v>1.5325670498084301E-2</v>
      </c>
      <c r="O551" s="115">
        <v>1.5325670498084301E-2</v>
      </c>
      <c r="P551" s="116" t="s">
        <v>83</v>
      </c>
      <c r="Q551" s="116" t="s">
        <v>83</v>
      </c>
      <c r="R551" s="115">
        <v>6.6666666666666693E-2</v>
      </c>
      <c r="S551" s="115">
        <v>8.7719298245613996E-3</v>
      </c>
      <c r="T551" s="115">
        <v>0</v>
      </c>
      <c r="U551" s="115">
        <v>2.2471910112359599E-2</v>
      </c>
      <c r="V551" s="115">
        <v>3.2051282051282E-2</v>
      </c>
      <c r="W551" s="40">
        <v>727</v>
      </c>
      <c r="X551" s="40">
        <f t="shared" si="44"/>
        <v>727</v>
      </c>
      <c r="Y551" s="40">
        <f t="shared" si="45"/>
        <v>727</v>
      </c>
      <c r="Z551" s="105">
        <v>0.46767537826685002</v>
      </c>
      <c r="AA551" s="105">
        <v>0.53232462173314998</v>
      </c>
      <c r="AB551" s="106">
        <f>3/727</f>
        <v>4.1265474552957355E-3</v>
      </c>
      <c r="AC551" s="106">
        <f>1/727</f>
        <v>1.375515818431912E-3</v>
      </c>
      <c r="AD551" s="106">
        <f>65/727</f>
        <v>8.940852819807428E-2</v>
      </c>
      <c r="AE551" s="106">
        <f>29/727</f>
        <v>3.9889958734525444E-2</v>
      </c>
      <c r="AF551" s="106">
        <v>0</v>
      </c>
      <c r="AG551" s="106">
        <f>628/727</f>
        <v>0.86382393397524071</v>
      </c>
      <c r="AH551" s="106">
        <f>1/727</f>
        <v>1.375515818431912E-3</v>
      </c>
      <c r="AI551" s="106">
        <f>99/727</f>
        <v>0.13617606602475929</v>
      </c>
      <c r="AJ551" s="105">
        <v>0.58872077028885827</v>
      </c>
      <c r="AK551" s="105">
        <v>1.65061898211829E-2</v>
      </c>
      <c r="AL551" s="12">
        <v>0</v>
      </c>
      <c r="AM551" s="12">
        <v>0</v>
      </c>
      <c r="AN551" s="12">
        <v>13</v>
      </c>
      <c r="AO551" s="12">
        <v>208</v>
      </c>
      <c r="AP551" s="12">
        <v>193</v>
      </c>
      <c r="AQ551" s="12">
        <v>166</v>
      </c>
      <c r="AR551" s="12">
        <v>147</v>
      </c>
      <c r="AS551" s="59">
        <v>5.8823529411764705E-2</v>
      </c>
      <c r="AT551" s="3">
        <v>9</v>
      </c>
      <c r="AU551" s="3">
        <v>6</v>
      </c>
      <c r="AV551" s="52">
        <v>76</v>
      </c>
      <c r="AW551" s="52">
        <v>21.9</v>
      </c>
      <c r="AX551" s="52">
        <v>2.1</v>
      </c>
      <c r="AY551" s="70">
        <v>0</v>
      </c>
      <c r="AZ551" s="59">
        <v>7.4454428754813867E-2</v>
      </c>
      <c r="BA551" s="59">
        <v>0.12195121951219512</v>
      </c>
      <c r="BB551" s="78">
        <v>93.229539729422996</v>
      </c>
      <c r="BC551" s="49">
        <v>38.520408163265301</v>
      </c>
      <c r="BD551" s="90" t="s">
        <v>83</v>
      </c>
      <c r="BE551" s="90" t="s">
        <v>83</v>
      </c>
      <c r="BF551" s="49">
        <v>2.6</v>
      </c>
      <c r="BG551" s="49">
        <v>2.7</v>
      </c>
      <c r="BH551" s="49">
        <v>5</v>
      </c>
      <c r="BI551" s="49">
        <v>3.4</v>
      </c>
      <c r="BJ551" s="49">
        <v>19.399999999999999</v>
      </c>
      <c r="BK551" s="126">
        <v>13064</v>
      </c>
      <c r="BL551" s="126">
        <v>57484</v>
      </c>
      <c r="BM551" s="126">
        <v>58853</v>
      </c>
      <c r="BN551" s="126">
        <v>47537</v>
      </c>
      <c r="BO551" s="59">
        <v>0</v>
      </c>
      <c r="BP551" s="59">
        <v>0.34610000000000002</v>
      </c>
      <c r="BQ551" s="59">
        <v>0.26040000000000002</v>
      </c>
      <c r="BR551" s="59">
        <v>0</v>
      </c>
      <c r="BS551" s="59">
        <v>0</v>
      </c>
      <c r="BT551" s="49">
        <v>16.600000000000001</v>
      </c>
      <c r="BU551" s="59">
        <f t="shared" si="42"/>
        <v>0.60650000000000004</v>
      </c>
      <c r="BV551" s="59">
        <v>3.4599999999999999E-2</v>
      </c>
      <c r="BW551" s="59">
        <v>0</v>
      </c>
      <c r="BX551" s="59">
        <v>3.3500000000000002E-2</v>
      </c>
      <c r="BY551" s="59">
        <v>0</v>
      </c>
      <c r="BZ551" s="59">
        <v>0</v>
      </c>
      <c r="CA551" s="49">
        <v>22.3</v>
      </c>
      <c r="CB551" s="59">
        <f t="shared" si="43"/>
        <v>6.8099999999999994E-2</v>
      </c>
      <c r="CC551" s="59">
        <v>0.26960000000000001</v>
      </c>
      <c r="CD551" s="59">
        <v>0.40179999999999999</v>
      </c>
      <c r="CE551" s="59">
        <v>0.3286</v>
      </c>
      <c r="CF551" s="59">
        <v>0</v>
      </c>
      <c r="CG551" s="59">
        <v>0</v>
      </c>
      <c r="CH551" s="49">
        <v>14.6</v>
      </c>
      <c r="CI551" s="39" t="s">
        <v>358</v>
      </c>
      <c r="CJ551" s="18" t="s">
        <v>479</v>
      </c>
      <c r="CK551" s="20"/>
    </row>
    <row r="552" spans="1:99" x14ac:dyDescent="0.25">
      <c r="A552" s="18" t="s">
        <v>479</v>
      </c>
      <c r="B552" s="39" t="s">
        <v>355</v>
      </c>
      <c r="C552" s="39" t="s">
        <v>359</v>
      </c>
      <c r="D552" s="40">
        <v>37</v>
      </c>
      <c r="E552" s="40" t="s">
        <v>83</v>
      </c>
      <c r="F552" s="40">
        <v>37</v>
      </c>
      <c r="G552" s="162" t="s">
        <v>83</v>
      </c>
      <c r="H552" s="162" t="s">
        <v>83</v>
      </c>
      <c r="I552" s="163">
        <v>0</v>
      </c>
      <c r="J552" s="163">
        <v>10</v>
      </c>
      <c r="K552" s="163">
        <v>13</v>
      </c>
      <c r="L552" s="163">
        <v>6</v>
      </c>
      <c r="M552" s="163">
        <v>8</v>
      </c>
      <c r="N552" s="115">
        <v>3.5645472061657003E-2</v>
      </c>
      <c r="O552" s="115">
        <v>3.5645472061657003E-2</v>
      </c>
      <c r="P552" s="116" t="s">
        <v>83</v>
      </c>
      <c r="Q552" s="116" t="s">
        <v>83</v>
      </c>
      <c r="R552" s="115">
        <v>0</v>
      </c>
      <c r="S552" s="115">
        <v>3.4364261168384903E-2</v>
      </c>
      <c r="T552" s="115">
        <v>5.0193050193050197E-2</v>
      </c>
      <c r="U552" s="115">
        <v>2.5974025974026E-2</v>
      </c>
      <c r="V552" s="115">
        <v>3.2786885245901599E-2</v>
      </c>
      <c r="W552" s="40">
        <v>954</v>
      </c>
      <c r="X552" s="40">
        <f t="shared" si="44"/>
        <v>954</v>
      </c>
      <c r="Y552" s="40">
        <f t="shared" si="45"/>
        <v>954</v>
      </c>
      <c r="Z552" s="105">
        <v>0.47903563941299798</v>
      </c>
      <c r="AA552" s="105">
        <v>0.52096436058700202</v>
      </c>
      <c r="AB552" s="106">
        <f>2/954</f>
        <v>2.0964360587002098E-3</v>
      </c>
      <c r="AC552" s="106">
        <f>20/954</f>
        <v>2.0964360587002098E-2</v>
      </c>
      <c r="AD552" s="106">
        <f>569/954</f>
        <v>0.59643605870020966</v>
      </c>
      <c r="AE552" s="106">
        <f>46/954</f>
        <v>4.8218029350104823E-2</v>
      </c>
      <c r="AF552" s="106">
        <v>0</v>
      </c>
      <c r="AG552" s="106">
        <f>307/954</f>
        <v>0.32180293501048218</v>
      </c>
      <c r="AH552" s="106">
        <f>10/954</f>
        <v>1.0482180293501049E-2</v>
      </c>
      <c r="AI552" s="106">
        <f>647/954</f>
        <v>0.67819706498951782</v>
      </c>
      <c r="AJ552" s="105">
        <v>0.64360587002096437</v>
      </c>
      <c r="AK552" s="105">
        <v>1.6771488469601699E-2</v>
      </c>
      <c r="AL552" s="12">
        <v>0</v>
      </c>
      <c r="AM552" s="12">
        <v>0</v>
      </c>
      <c r="AN552" s="12">
        <v>10</v>
      </c>
      <c r="AO552" s="12">
        <v>256</v>
      </c>
      <c r="AP552" s="12">
        <v>234</v>
      </c>
      <c r="AQ552" s="12">
        <v>222</v>
      </c>
      <c r="AR552" s="12">
        <v>232</v>
      </c>
      <c r="AS552" s="59">
        <v>3.7593984962406013E-2</v>
      </c>
      <c r="AT552" s="3">
        <v>9</v>
      </c>
      <c r="AU552" s="3">
        <v>6</v>
      </c>
      <c r="AV552" s="52">
        <v>64</v>
      </c>
      <c r="AW552" s="52">
        <v>23.2</v>
      </c>
      <c r="AX552" s="52">
        <v>12.5</v>
      </c>
      <c r="AY552" s="71">
        <v>0.4</v>
      </c>
      <c r="AZ552" s="59">
        <v>0.19843597262952101</v>
      </c>
      <c r="BA552" s="59">
        <v>0.21700879765395895</v>
      </c>
      <c r="BB552" s="77">
        <v>93.376363107792997</v>
      </c>
      <c r="BC552" s="49">
        <v>37.148399612027198</v>
      </c>
      <c r="BD552" s="90" t="s">
        <v>83</v>
      </c>
      <c r="BE552" s="90" t="s">
        <v>83</v>
      </c>
      <c r="BF552" s="49">
        <v>9</v>
      </c>
      <c r="BG552" s="49">
        <v>9.8000000000000007</v>
      </c>
      <c r="BH552" s="49">
        <v>4.0999999999999996</v>
      </c>
      <c r="BI552" s="49">
        <v>3.5</v>
      </c>
      <c r="BJ552" s="49">
        <v>19.7</v>
      </c>
      <c r="BK552" s="126">
        <v>12605</v>
      </c>
      <c r="BL552" s="126">
        <v>52749</v>
      </c>
      <c r="BM552" s="126">
        <v>51437</v>
      </c>
      <c r="BN552" s="126">
        <v>45216</v>
      </c>
      <c r="BO552" s="59">
        <v>8.8999999999999999E-3</v>
      </c>
      <c r="BP552" s="59">
        <v>0.41520000000000001</v>
      </c>
      <c r="BQ552" s="59">
        <v>0.16</v>
      </c>
      <c r="BR552" s="59">
        <v>0</v>
      </c>
      <c r="BS552" s="59">
        <v>0</v>
      </c>
      <c r="BT552" s="49">
        <v>11.1</v>
      </c>
      <c r="BU552" s="59">
        <f t="shared" si="42"/>
        <v>0.58410000000000006</v>
      </c>
      <c r="BV552" s="59">
        <v>4.41E-2</v>
      </c>
      <c r="BW552" s="59">
        <v>0</v>
      </c>
      <c r="BX552" s="59">
        <v>3.49E-2</v>
      </c>
      <c r="BY552" s="59">
        <v>0</v>
      </c>
      <c r="BZ552" s="59">
        <v>0</v>
      </c>
      <c r="CA552" s="49">
        <v>15.8</v>
      </c>
      <c r="CB552" s="59">
        <f t="shared" si="43"/>
        <v>7.9000000000000001E-2</v>
      </c>
      <c r="CC552" s="59">
        <v>0.28660000000000002</v>
      </c>
      <c r="CD552" s="59">
        <v>0.4652</v>
      </c>
      <c r="CE552" s="59">
        <v>0.24829999999999999</v>
      </c>
      <c r="CF552" s="59">
        <v>0</v>
      </c>
      <c r="CG552" s="59">
        <v>0</v>
      </c>
      <c r="CH552" s="49">
        <v>11.1</v>
      </c>
      <c r="CI552" s="39" t="s">
        <v>359</v>
      </c>
      <c r="CJ552" s="18" t="s">
        <v>479</v>
      </c>
      <c r="CK552" s="20"/>
    </row>
    <row r="553" spans="1:99" x14ac:dyDescent="0.25">
      <c r="A553" s="18" t="s">
        <v>479</v>
      </c>
      <c r="B553" s="39" t="s">
        <v>355</v>
      </c>
      <c r="C553" s="39" t="s">
        <v>360</v>
      </c>
      <c r="D553" s="40">
        <v>60</v>
      </c>
      <c r="E553" s="40" t="s">
        <v>83</v>
      </c>
      <c r="F553" s="40">
        <v>60</v>
      </c>
      <c r="G553" s="162" t="s">
        <v>83</v>
      </c>
      <c r="H553" s="162" t="s">
        <v>83</v>
      </c>
      <c r="I553" s="163">
        <v>0</v>
      </c>
      <c r="J553" s="163">
        <v>28</v>
      </c>
      <c r="K553" s="163">
        <v>14</v>
      </c>
      <c r="L553" s="163">
        <v>7</v>
      </c>
      <c r="M553" s="163">
        <v>11</v>
      </c>
      <c r="N553" s="115">
        <v>3.4642032332563501E-2</v>
      </c>
      <c r="O553" s="115">
        <v>3.4642032332563501E-2</v>
      </c>
      <c r="P553" s="116" t="s">
        <v>83</v>
      </c>
      <c r="Q553" s="116" t="s">
        <v>83</v>
      </c>
      <c r="R553" s="115">
        <v>0</v>
      </c>
      <c r="S553" s="115">
        <v>5.1282051282051301E-2</v>
      </c>
      <c r="T553" s="115">
        <v>3.18906605922551E-2</v>
      </c>
      <c r="U553" s="115">
        <v>1.93370165745856E-2</v>
      </c>
      <c r="V553" s="115">
        <v>2.9810298102981001E-2</v>
      </c>
      <c r="W553" s="40">
        <v>1583</v>
      </c>
      <c r="X553" s="40">
        <f t="shared" si="44"/>
        <v>1583</v>
      </c>
      <c r="Y553" s="40">
        <f t="shared" si="45"/>
        <v>1583</v>
      </c>
      <c r="Z553" s="105">
        <v>0.48957675300063203</v>
      </c>
      <c r="AA553" s="105">
        <v>0.51042324699936803</v>
      </c>
      <c r="AB553" s="106">
        <f>2/1583</f>
        <v>1.2634238787113076E-3</v>
      </c>
      <c r="AC553" s="106">
        <f>24/1583</f>
        <v>1.5161086544535692E-2</v>
      </c>
      <c r="AD553" s="106">
        <f>536/1583</f>
        <v>0.33859759949463047</v>
      </c>
      <c r="AE553" s="106">
        <f>75/1583</f>
        <v>4.7378395451674035E-2</v>
      </c>
      <c r="AF553" s="106">
        <f>1/1583</f>
        <v>6.3171193935565378E-4</v>
      </c>
      <c r="AG553" s="106">
        <f>929/1583</f>
        <v>0.58686039166140236</v>
      </c>
      <c r="AH553" s="106">
        <f>16/1583</f>
        <v>1.010739102969046E-2</v>
      </c>
      <c r="AI553" s="106">
        <f>654/1583</f>
        <v>0.41313960833859759</v>
      </c>
      <c r="AJ553" s="105">
        <v>0.53948199620972836</v>
      </c>
      <c r="AK553" s="105">
        <v>1.2634238787113099E-2</v>
      </c>
      <c r="AL553" s="12">
        <v>0</v>
      </c>
      <c r="AM553" s="12">
        <v>0</v>
      </c>
      <c r="AN553" s="12">
        <v>10</v>
      </c>
      <c r="AO553" s="12">
        <v>493</v>
      </c>
      <c r="AP553" s="12">
        <v>396</v>
      </c>
      <c r="AQ553" s="12">
        <v>340</v>
      </c>
      <c r="AR553" s="12">
        <v>344</v>
      </c>
      <c r="AS553" s="59">
        <v>1.9880715705765408E-2</v>
      </c>
      <c r="AT553" s="3">
        <v>9</v>
      </c>
      <c r="AU553" s="3">
        <v>6</v>
      </c>
      <c r="AV553" s="52">
        <v>58.8</v>
      </c>
      <c r="AW553" s="52">
        <v>33.299999999999997</v>
      </c>
      <c r="AX553" s="52">
        <v>6.8</v>
      </c>
      <c r="AY553" s="71">
        <v>1.1000000000000001</v>
      </c>
      <c r="AZ553" s="59">
        <v>5.8309037900874633E-2</v>
      </c>
      <c r="BA553" s="59">
        <v>0.13469387755102041</v>
      </c>
      <c r="BB553" s="78">
        <v>94.666296154004002</v>
      </c>
      <c r="BC553" s="49">
        <v>18.829663962920002</v>
      </c>
      <c r="BD553" s="90" t="s">
        <v>83</v>
      </c>
      <c r="BE553" s="90" t="s">
        <v>83</v>
      </c>
      <c r="BF553" s="49">
        <v>11.2</v>
      </c>
      <c r="BG553" s="49">
        <v>5.6</v>
      </c>
      <c r="BH553" s="49">
        <v>4</v>
      </c>
      <c r="BI553" s="49">
        <v>3</v>
      </c>
      <c r="BJ553" s="49">
        <v>20</v>
      </c>
      <c r="BK553" s="126">
        <v>11589</v>
      </c>
      <c r="BL553" s="126">
        <v>54889</v>
      </c>
      <c r="BM553" s="126">
        <v>54488</v>
      </c>
      <c r="BN553" s="126">
        <v>47833</v>
      </c>
      <c r="BO553" s="59">
        <v>6.3E-3</v>
      </c>
      <c r="BP553" s="59">
        <v>0.41739999999999999</v>
      </c>
      <c r="BQ553" s="59">
        <v>0.2203</v>
      </c>
      <c r="BR553" s="59">
        <v>6.3E-3</v>
      </c>
      <c r="BS553" s="59">
        <v>6.3E-3</v>
      </c>
      <c r="BT553" s="49">
        <v>15</v>
      </c>
      <c r="BU553" s="59">
        <f t="shared" si="42"/>
        <v>0.65659999999999985</v>
      </c>
      <c r="BV553" s="59">
        <v>3.1699999999999999E-2</v>
      </c>
      <c r="BW553" s="59">
        <v>0</v>
      </c>
      <c r="BX553" s="59">
        <v>3.1699999999999999E-2</v>
      </c>
      <c r="BY553" s="59">
        <v>0</v>
      </c>
      <c r="BZ553" s="59">
        <v>6.3E-3</v>
      </c>
      <c r="CA553" s="49">
        <v>21.5</v>
      </c>
      <c r="CB553" s="59">
        <f t="shared" si="43"/>
        <v>6.9699999999999998E-2</v>
      </c>
      <c r="CC553" s="59">
        <v>0.26579999999999998</v>
      </c>
      <c r="CD553" s="59">
        <v>0.41739999999999999</v>
      </c>
      <c r="CE553" s="59">
        <v>0.29780000000000001</v>
      </c>
      <c r="CF553" s="59">
        <v>6.3E-3</v>
      </c>
      <c r="CG553" s="59">
        <v>1.2699999999999999E-2</v>
      </c>
      <c r="CH553" s="49">
        <v>14.7</v>
      </c>
      <c r="CI553" s="39" t="s">
        <v>360</v>
      </c>
      <c r="CJ553" s="18" t="s">
        <v>479</v>
      </c>
      <c r="CK553" s="20"/>
    </row>
    <row r="554" spans="1:99" x14ac:dyDescent="0.25">
      <c r="A554" s="18" t="s">
        <v>479</v>
      </c>
      <c r="B554" s="39" t="s">
        <v>355</v>
      </c>
      <c r="C554" s="39" t="s">
        <v>361</v>
      </c>
      <c r="D554" s="40">
        <v>33</v>
      </c>
      <c r="E554" s="40" t="s">
        <v>83</v>
      </c>
      <c r="F554" s="40">
        <v>33</v>
      </c>
      <c r="G554" s="162" t="s">
        <v>83</v>
      </c>
      <c r="H554" s="162" t="s">
        <v>83</v>
      </c>
      <c r="I554" s="163">
        <v>0</v>
      </c>
      <c r="J554" s="163">
        <v>13</v>
      </c>
      <c r="K554" s="163">
        <v>8</v>
      </c>
      <c r="L554" s="163">
        <v>5</v>
      </c>
      <c r="M554" s="163">
        <v>7</v>
      </c>
      <c r="N554" s="115">
        <v>1.9230769230769201E-2</v>
      </c>
      <c r="O554" s="115">
        <v>1.9230769230769201E-2</v>
      </c>
      <c r="P554" s="116" t="s">
        <v>83</v>
      </c>
      <c r="Q554" s="116" t="s">
        <v>83</v>
      </c>
      <c r="R554" s="115">
        <v>0</v>
      </c>
      <c r="S554" s="115">
        <v>2.6694045174538002E-2</v>
      </c>
      <c r="T554" s="115">
        <v>1.8018018018018001E-2</v>
      </c>
      <c r="U554" s="115">
        <v>1.23152709359606E-2</v>
      </c>
      <c r="V554" s="115">
        <v>1.9021739130434801E-2</v>
      </c>
      <c r="W554" s="40">
        <v>1629</v>
      </c>
      <c r="X554" s="40">
        <f t="shared" si="44"/>
        <v>1629</v>
      </c>
      <c r="Y554" s="40">
        <f t="shared" si="45"/>
        <v>1629</v>
      </c>
      <c r="Z554" s="105">
        <v>0.49478207489257198</v>
      </c>
      <c r="AA554" s="105">
        <v>0.50521792510742802</v>
      </c>
      <c r="AB554" s="106">
        <f>6/1629</f>
        <v>3.6832412523020259E-3</v>
      </c>
      <c r="AC554" s="106">
        <f>49/1629</f>
        <v>3.0079803560466543E-2</v>
      </c>
      <c r="AD554" s="106">
        <f>268/1629</f>
        <v>0.16451810926949048</v>
      </c>
      <c r="AE554" s="106">
        <f>63/1629</f>
        <v>3.8674033149171269E-2</v>
      </c>
      <c r="AF554" s="106">
        <f>4/1629</f>
        <v>2.4554941682013503E-3</v>
      </c>
      <c r="AG554" s="106">
        <f>1231/1629</f>
        <v>0.75567833026396558</v>
      </c>
      <c r="AH554" s="106">
        <f>8/1629</f>
        <v>4.9109883364027006E-3</v>
      </c>
      <c r="AI554" s="106">
        <f>398/1629</f>
        <v>0.24432166973603436</v>
      </c>
      <c r="AJ554" s="105">
        <v>0.34008594229588707</v>
      </c>
      <c r="AK554" s="105">
        <v>7.9803560466543896E-3</v>
      </c>
      <c r="AL554" s="12">
        <v>0</v>
      </c>
      <c r="AM554" s="12">
        <v>0</v>
      </c>
      <c r="AN554" s="12">
        <v>2</v>
      </c>
      <c r="AO554" s="12">
        <v>459</v>
      </c>
      <c r="AP554" s="12">
        <v>422</v>
      </c>
      <c r="AQ554" s="12">
        <v>394</v>
      </c>
      <c r="AR554" s="12">
        <v>352</v>
      </c>
      <c r="AS554" s="59">
        <v>4.3383947939262474E-3</v>
      </c>
      <c r="AT554" s="3">
        <v>9</v>
      </c>
      <c r="AU554" s="3">
        <v>6</v>
      </c>
      <c r="AV554" s="52">
        <v>50</v>
      </c>
      <c r="AW554" s="52">
        <v>27.4</v>
      </c>
      <c r="AX554" s="52">
        <v>20.9</v>
      </c>
      <c r="AY554" s="71">
        <v>1.6</v>
      </c>
      <c r="AZ554" s="59">
        <v>7.6016499705362409E-2</v>
      </c>
      <c r="BA554" s="59">
        <v>7.2480848556275776E-2</v>
      </c>
      <c r="BB554" s="77">
        <v>95.504647528173095</v>
      </c>
      <c r="BC554" s="49">
        <v>15.9437280187573</v>
      </c>
      <c r="BD554" s="90" t="s">
        <v>83</v>
      </c>
      <c r="BE554" s="90" t="s">
        <v>83</v>
      </c>
      <c r="BF554" s="49">
        <v>3.9</v>
      </c>
      <c r="BG554" s="49">
        <v>2</v>
      </c>
      <c r="BH554" s="49">
        <v>1.6</v>
      </c>
      <c r="BI554" s="49">
        <v>1.1000000000000001</v>
      </c>
      <c r="BJ554" s="49">
        <v>22.7</v>
      </c>
      <c r="BK554" s="126">
        <v>10563</v>
      </c>
      <c r="BL554" s="126">
        <v>55866</v>
      </c>
      <c r="BM554" s="126">
        <v>50814</v>
      </c>
      <c r="BN554" s="126">
        <v>48555</v>
      </c>
      <c r="BO554" s="59">
        <v>0</v>
      </c>
      <c r="BP554" s="59">
        <v>0.37619999999999998</v>
      </c>
      <c r="BQ554" s="59">
        <v>0.27650000000000002</v>
      </c>
      <c r="BR554" s="59">
        <v>7.0000000000000001E-3</v>
      </c>
      <c r="BS554" s="59">
        <v>1.3899999999999999E-2</v>
      </c>
      <c r="BT554" s="49">
        <v>16.100000000000001</v>
      </c>
      <c r="BU554" s="59">
        <f t="shared" si="42"/>
        <v>0.67360000000000009</v>
      </c>
      <c r="BV554" s="59">
        <v>2.7900000000000001E-2</v>
      </c>
      <c r="BW554" s="59">
        <v>7.0000000000000001E-3</v>
      </c>
      <c r="BX554" s="59">
        <v>2.07E-2</v>
      </c>
      <c r="BY554" s="59">
        <v>7.0000000000000001E-3</v>
      </c>
      <c r="BZ554" s="59">
        <v>0</v>
      </c>
      <c r="CA554" s="49">
        <v>13.4</v>
      </c>
      <c r="CB554" s="59">
        <f t="shared" si="43"/>
        <v>6.2600000000000003E-2</v>
      </c>
      <c r="CC554" s="59">
        <v>0.22900000000000001</v>
      </c>
      <c r="CD554" s="59">
        <v>0.39710000000000001</v>
      </c>
      <c r="CE554" s="59">
        <v>0.34599999999999997</v>
      </c>
      <c r="CF554" s="59">
        <v>1.3899999999999999E-2</v>
      </c>
      <c r="CG554" s="59">
        <v>1.3899999999999999E-2</v>
      </c>
      <c r="CH554" s="49">
        <v>14.3</v>
      </c>
      <c r="CI554" s="39" t="s">
        <v>361</v>
      </c>
      <c r="CJ554" s="18" t="s">
        <v>479</v>
      </c>
      <c r="CK554" s="20"/>
    </row>
    <row r="555" spans="1:99" x14ac:dyDescent="0.25">
      <c r="A555" s="18" t="s">
        <v>479</v>
      </c>
      <c r="B555" s="39" t="s">
        <v>355</v>
      </c>
      <c r="C555" s="39" t="s">
        <v>362</v>
      </c>
      <c r="D555" s="40">
        <v>20</v>
      </c>
      <c r="E555" s="40" t="s">
        <v>83</v>
      </c>
      <c r="F555" s="40">
        <v>20</v>
      </c>
      <c r="G555" s="162" t="s">
        <v>83</v>
      </c>
      <c r="H555" s="162" t="s">
        <v>83</v>
      </c>
      <c r="I555" s="163">
        <v>0</v>
      </c>
      <c r="J555" s="163">
        <v>2</v>
      </c>
      <c r="K555" s="163">
        <v>7</v>
      </c>
      <c r="L555" s="163">
        <v>5</v>
      </c>
      <c r="M555" s="163">
        <v>6</v>
      </c>
      <c r="N555" s="115">
        <v>1.1428571428571401E-2</v>
      </c>
      <c r="O555" s="115">
        <v>1.1428571428571401E-2</v>
      </c>
      <c r="P555" s="116" t="s">
        <v>83</v>
      </c>
      <c r="Q555" s="116" t="s">
        <v>83</v>
      </c>
      <c r="R555" s="115">
        <v>0</v>
      </c>
      <c r="S555" s="115">
        <v>4.2105263157894701E-3</v>
      </c>
      <c r="T555" s="115">
        <v>1.55210643015521E-2</v>
      </c>
      <c r="U555" s="115">
        <v>1.21951219512195E-2</v>
      </c>
      <c r="V555" s="115">
        <v>1.4705882352941201E-2</v>
      </c>
      <c r="W555" s="40">
        <v>1667</v>
      </c>
      <c r="X555" s="40">
        <f t="shared" si="44"/>
        <v>1667</v>
      </c>
      <c r="Y555" s="40">
        <f t="shared" si="45"/>
        <v>1667</v>
      </c>
      <c r="Z555" s="105">
        <v>0.51409718056388698</v>
      </c>
      <c r="AA555" s="105">
        <v>0.48590281943611302</v>
      </c>
      <c r="AB555" s="106">
        <v>2.3995200959808036E-3</v>
      </c>
      <c r="AC555" s="106">
        <v>1.859628074385123E-2</v>
      </c>
      <c r="AD555" s="106">
        <v>8.2183563287342526E-2</v>
      </c>
      <c r="AE555" s="106">
        <v>4.9790041991601683E-2</v>
      </c>
      <c r="AF555" s="106">
        <v>0</v>
      </c>
      <c r="AG555" s="106">
        <v>0.84163167366526692</v>
      </c>
      <c r="AH555" s="106">
        <v>5.3989202159568086E-3</v>
      </c>
      <c r="AI555" s="106">
        <v>0.15836832633473305</v>
      </c>
      <c r="AJ555" s="105">
        <v>0.33353329334133175</v>
      </c>
      <c r="AK555" s="105">
        <v>1.1997600479904001E-2</v>
      </c>
      <c r="AL555" s="12">
        <v>0</v>
      </c>
      <c r="AM555" s="12">
        <v>0</v>
      </c>
      <c r="AN555" s="12">
        <v>4</v>
      </c>
      <c r="AO555" s="12">
        <v>447</v>
      </c>
      <c r="AP555" s="12">
        <v>422</v>
      </c>
      <c r="AQ555" s="12">
        <v>395</v>
      </c>
      <c r="AR555" s="12">
        <v>399</v>
      </c>
      <c r="AS555" s="59">
        <v>8.869179600886918E-3</v>
      </c>
      <c r="AT555" s="3">
        <v>9</v>
      </c>
      <c r="AU555" s="3">
        <v>6</v>
      </c>
      <c r="AV555" s="52">
        <v>57.3</v>
      </c>
      <c r="AW555" s="52">
        <v>21.4</v>
      </c>
      <c r="AX555" s="52">
        <v>19.7</v>
      </c>
      <c r="AY555" s="71">
        <v>1.6</v>
      </c>
      <c r="AZ555" s="59">
        <v>9.5074455899198163E-2</v>
      </c>
      <c r="BA555" s="59">
        <v>7.0446735395189003E-2</v>
      </c>
      <c r="BB555" s="78">
        <v>95.541931154050502</v>
      </c>
      <c r="BC555" s="49">
        <v>18.3836084234491</v>
      </c>
      <c r="BD555" s="90" t="s">
        <v>83</v>
      </c>
      <c r="BE555" s="90" t="s">
        <v>83</v>
      </c>
      <c r="BF555" s="49">
        <v>5.3</v>
      </c>
      <c r="BG555" s="49">
        <v>1.5</v>
      </c>
      <c r="BH555" s="49">
        <v>1.1000000000000001</v>
      </c>
      <c r="BI555" s="49">
        <v>1</v>
      </c>
      <c r="BJ555" s="49">
        <v>23.2</v>
      </c>
      <c r="BK555" s="126">
        <v>11246</v>
      </c>
      <c r="BL555" s="126">
        <v>55762</v>
      </c>
      <c r="BM555" s="126">
        <v>53833</v>
      </c>
      <c r="BN555" s="126">
        <v>49032</v>
      </c>
      <c r="BO555" s="59">
        <v>6.3E-3</v>
      </c>
      <c r="BP555" s="59">
        <v>0.35139999999999999</v>
      </c>
      <c r="BQ555" s="59">
        <v>0.31609999999999999</v>
      </c>
      <c r="BR555" s="59">
        <v>0</v>
      </c>
      <c r="BS555" s="59">
        <v>6.3E-3</v>
      </c>
      <c r="BT555" s="49">
        <v>15.4</v>
      </c>
      <c r="BU555" s="59">
        <f t="shared" si="42"/>
        <v>0.68009999999999993</v>
      </c>
      <c r="BV555" s="59">
        <v>3.7499999999999999E-2</v>
      </c>
      <c r="BW555" s="59">
        <v>0</v>
      </c>
      <c r="BX555" s="59">
        <v>2.5000000000000001E-2</v>
      </c>
      <c r="BY555" s="59">
        <v>0</v>
      </c>
      <c r="BZ555" s="59">
        <v>0</v>
      </c>
      <c r="CA555" s="49">
        <v>22</v>
      </c>
      <c r="CB555" s="59">
        <f t="shared" si="43"/>
        <v>6.25E-2</v>
      </c>
      <c r="CC555" s="59">
        <v>0.25280000000000002</v>
      </c>
      <c r="CD555" s="59">
        <v>0.35759999999999997</v>
      </c>
      <c r="CE555" s="59">
        <v>0.37709999999999999</v>
      </c>
      <c r="CF555" s="59">
        <v>0</v>
      </c>
      <c r="CG555" s="59">
        <v>1.2500000000000001E-2</v>
      </c>
      <c r="CH555" s="49">
        <v>15.1</v>
      </c>
      <c r="CI555" s="39" t="s">
        <v>362</v>
      </c>
      <c r="CJ555" s="18" t="s">
        <v>479</v>
      </c>
      <c r="CK555" s="20"/>
    </row>
    <row r="556" spans="1:99" x14ac:dyDescent="0.25">
      <c r="A556" s="18" t="s">
        <v>479</v>
      </c>
      <c r="B556" s="39" t="s">
        <v>355</v>
      </c>
      <c r="C556" s="39" t="s">
        <v>363</v>
      </c>
      <c r="D556" s="40">
        <v>28</v>
      </c>
      <c r="E556" s="40" t="s">
        <v>83</v>
      </c>
      <c r="F556" s="40">
        <v>28</v>
      </c>
      <c r="G556" s="162" t="s">
        <v>83</v>
      </c>
      <c r="H556" s="162" t="s">
        <v>83</v>
      </c>
      <c r="I556" s="163">
        <v>3</v>
      </c>
      <c r="J556" s="163">
        <v>7</v>
      </c>
      <c r="K556" s="163">
        <v>8</v>
      </c>
      <c r="L556" s="163">
        <v>7</v>
      </c>
      <c r="M556" s="163">
        <v>3</v>
      </c>
      <c r="N556" s="115">
        <v>2.5293586269195999E-2</v>
      </c>
      <c r="O556" s="115">
        <v>2.5293586269195999E-2</v>
      </c>
      <c r="P556" s="116" t="s">
        <v>83</v>
      </c>
      <c r="Q556" s="116" t="s">
        <v>83</v>
      </c>
      <c r="R556" s="115">
        <v>0.27272727272727298</v>
      </c>
      <c r="S556" s="115">
        <v>2.40549828178694E-2</v>
      </c>
      <c r="T556" s="115">
        <v>2.8070175438596499E-2</v>
      </c>
      <c r="U556" s="115">
        <v>2.6415094339622601E-2</v>
      </c>
      <c r="V556" s="115">
        <v>1.1764705882352899E-2</v>
      </c>
      <c r="W556" s="40">
        <v>1057</v>
      </c>
      <c r="X556" s="40">
        <f t="shared" si="44"/>
        <v>1057</v>
      </c>
      <c r="Y556" s="40">
        <f t="shared" si="45"/>
        <v>1057</v>
      </c>
      <c r="Z556" s="105">
        <v>0.49101229895931903</v>
      </c>
      <c r="AA556" s="105">
        <v>0.50898770104068103</v>
      </c>
      <c r="AB556" s="106">
        <v>1.8921475875118259E-3</v>
      </c>
      <c r="AC556" s="106">
        <v>1.1352885525070956E-2</v>
      </c>
      <c r="AD556" s="106">
        <v>0.16461684011352887</v>
      </c>
      <c r="AE556" s="106">
        <v>4.1627246925260174E-2</v>
      </c>
      <c r="AF556" s="106">
        <v>9.4607379375591296E-4</v>
      </c>
      <c r="AG556" s="106">
        <v>0.76442762535477771</v>
      </c>
      <c r="AH556" s="106">
        <v>1.5137180700094607E-2</v>
      </c>
      <c r="AI556" s="106">
        <v>0.23557237464522232</v>
      </c>
      <c r="AJ556" s="105">
        <v>0.34058656575212864</v>
      </c>
      <c r="AK556" s="105">
        <v>9.4607379375591296E-3</v>
      </c>
      <c r="AL556" s="12">
        <v>0</v>
      </c>
      <c r="AM556" s="12">
        <v>0</v>
      </c>
      <c r="AN556" s="12">
        <v>10</v>
      </c>
      <c r="AO556" s="12">
        <v>273</v>
      </c>
      <c r="AP556" s="12">
        <v>273</v>
      </c>
      <c r="AQ556" s="12">
        <v>258</v>
      </c>
      <c r="AR556" s="12">
        <v>243</v>
      </c>
      <c r="AS556" s="59">
        <v>3.5335689045936397E-2</v>
      </c>
      <c r="AT556" s="3">
        <v>9</v>
      </c>
      <c r="AU556" s="3">
        <v>6</v>
      </c>
      <c r="AV556" s="52">
        <v>60.9</v>
      </c>
      <c r="AW556" s="52">
        <v>19.100000000000001</v>
      </c>
      <c r="AX556" s="52">
        <v>19.3</v>
      </c>
      <c r="AY556" s="71">
        <v>0.7</v>
      </c>
      <c r="AZ556" s="59">
        <v>0.10717529518619437</v>
      </c>
      <c r="BA556" s="59">
        <v>6.9936421435059043E-2</v>
      </c>
      <c r="BB556" s="77">
        <v>95.758019775401607</v>
      </c>
      <c r="BC556" s="49">
        <v>14.350180505415199</v>
      </c>
      <c r="BD556" s="90" t="s">
        <v>83</v>
      </c>
      <c r="BE556" s="90" t="s">
        <v>83</v>
      </c>
      <c r="BF556" s="49">
        <v>6.7</v>
      </c>
      <c r="BG556" s="49">
        <v>5.0999999999999996</v>
      </c>
      <c r="BH556" s="49">
        <v>2.5</v>
      </c>
      <c r="BI556" s="49">
        <v>1.7</v>
      </c>
      <c r="BJ556" s="49">
        <v>22</v>
      </c>
      <c r="BK556" s="126">
        <v>10925</v>
      </c>
      <c r="BL556" s="126">
        <v>53765</v>
      </c>
      <c r="BM556" s="126">
        <v>49841</v>
      </c>
      <c r="BN556" s="126">
        <v>46464</v>
      </c>
      <c r="BO556" s="59">
        <v>0</v>
      </c>
      <c r="BP556" s="59">
        <v>0.38640000000000002</v>
      </c>
      <c r="BQ556" s="59">
        <v>0.2354</v>
      </c>
      <c r="BR556" s="59">
        <v>0</v>
      </c>
      <c r="BS556" s="59">
        <v>0.02</v>
      </c>
      <c r="BT556" s="49">
        <v>12.6</v>
      </c>
      <c r="BU556" s="59">
        <f t="shared" si="42"/>
        <v>0.64180000000000004</v>
      </c>
      <c r="BV556" s="59">
        <v>0.02</v>
      </c>
      <c r="BW556" s="59">
        <v>1.9900000000000001E-2</v>
      </c>
      <c r="BX556" s="59">
        <v>0.03</v>
      </c>
      <c r="BY556" s="59">
        <v>0</v>
      </c>
      <c r="BZ556" s="59">
        <v>0</v>
      </c>
      <c r="CA556" s="49">
        <v>14.7</v>
      </c>
      <c r="CB556" s="59">
        <f t="shared" si="43"/>
        <v>6.9900000000000004E-2</v>
      </c>
      <c r="CC556" s="59">
        <v>0.25530000000000003</v>
      </c>
      <c r="CD556" s="59">
        <v>0.4194</v>
      </c>
      <c r="CE556" s="59">
        <v>0.30530000000000002</v>
      </c>
      <c r="CF556" s="59">
        <v>0</v>
      </c>
      <c r="CG556" s="59">
        <v>0.02</v>
      </c>
      <c r="CH556" s="49">
        <v>12.1</v>
      </c>
      <c r="CI556" s="39" t="s">
        <v>363</v>
      </c>
      <c r="CJ556" s="18" t="s">
        <v>479</v>
      </c>
      <c r="CK556" s="20"/>
    </row>
    <row r="557" spans="1:99" x14ac:dyDescent="0.25">
      <c r="A557" s="18" t="s">
        <v>479</v>
      </c>
      <c r="B557" s="39" t="s">
        <v>364</v>
      </c>
      <c r="C557" s="39" t="s">
        <v>365</v>
      </c>
      <c r="D557" s="40">
        <v>24</v>
      </c>
      <c r="E557" s="40" t="s">
        <v>83</v>
      </c>
      <c r="F557" s="40">
        <v>24</v>
      </c>
      <c r="G557" s="162" t="s">
        <v>83</v>
      </c>
      <c r="H557" s="162" t="s">
        <v>83</v>
      </c>
      <c r="I557" s="163">
        <v>0</v>
      </c>
      <c r="J557" s="163">
        <v>12</v>
      </c>
      <c r="K557" s="163">
        <v>1</v>
      </c>
      <c r="L557" s="163">
        <v>4</v>
      </c>
      <c r="M557" s="163">
        <v>7</v>
      </c>
      <c r="N557" s="115">
        <v>4.8979591836734698E-2</v>
      </c>
      <c r="O557" s="115">
        <v>4.8979591836734698E-2</v>
      </c>
      <c r="P557" s="116" t="s">
        <v>83</v>
      </c>
      <c r="Q557" s="116" t="s">
        <v>83</v>
      </c>
      <c r="R557" s="115">
        <v>0</v>
      </c>
      <c r="S557" s="115">
        <v>0.08</v>
      </c>
      <c r="T557" s="115">
        <v>9.0090090090090107E-3</v>
      </c>
      <c r="U557" s="115">
        <v>3.8095238095238099E-2</v>
      </c>
      <c r="V557" s="115">
        <v>7.6086956521739094E-2</v>
      </c>
      <c r="W557" s="40">
        <v>443</v>
      </c>
      <c r="X557" s="40">
        <f t="shared" si="44"/>
        <v>443</v>
      </c>
      <c r="Y557" s="40">
        <f t="shared" si="45"/>
        <v>443</v>
      </c>
      <c r="Z557" s="105">
        <v>0.50790067720090304</v>
      </c>
      <c r="AA557" s="105">
        <v>0.49209932279909702</v>
      </c>
      <c r="AB557" s="106">
        <v>0</v>
      </c>
      <c r="AC557" s="106">
        <v>6.7720090293453723E-3</v>
      </c>
      <c r="AD557" s="106">
        <v>0.83069977426636565</v>
      </c>
      <c r="AE557" s="106">
        <v>9.0293453724604959E-3</v>
      </c>
      <c r="AF557" s="106">
        <v>0</v>
      </c>
      <c r="AG557" s="106">
        <v>0.15124153498871332</v>
      </c>
      <c r="AH557" s="106">
        <v>2.257336343115124E-3</v>
      </c>
      <c r="AI557" s="106">
        <v>0.84875846501128671</v>
      </c>
      <c r="AJ557" s="105">
        <v>0.91422121896162534</v>
      </c>
      <c r="AK557" s="105">
        <v>0</v>
      </c>
      <c r="AL557" s="12">
        <v>0</v>
      </c>
      <c r="AM557" s="12">
        <v>0</v>
      </c>
      <c r="AN557" s="12">
        <v>31</v>
      </c>
      <c r="AO557" s="12">
        <v>125</v>
      </c>
      <c r="AP557" s="12">
        <v>99</v>
      </c>
      <c r="AQ557" s="12">
        <v>107</v>
      </c>
      <c r="AR557" s="12">
        <v>81</v>
      </c>
      <c r="AS557" s="59">
        <v>0.19871794871794871</v>
      </c>
      <c r="AT557" s="3">
        <v>9</v>
      </c>
      <c r="AU557" s="3">
        <v>6</v>
      </c>
      <c r="AV557" s="52">
        <v>79.599999999999994</v>
      </c>
      <c r="AW557" s="52">
        <v>15.6</v>
      </c>
      <c r="AX557" s="52">
        <v>4.8</v>
      </c>
      <c r="AY557" s="70">
        <v>0</v>
      </c>
      <c r="AZ557" s="59">
        <v>0.32231404958677684</v>
      </c>
      <c r="BA557" s="59">
        <v>0.35537190082644626</v>
      </c>
      <c r="BB557" s="78">
        <v>88.0023399450385</v>
      </c>
      <c r="BC557" s="49">
        <v>64.2561983471074</v>
      </c>
      <c r="BD557" s="90" t="s">
        <v>83</v>
      </c>
      <c r="BE557" s="90" t="s">
        <v>83</v>
      </c>
      <c r="BF557" s="49">
        <v>7.5</v>
      </c>
      <c r="BG557" s="49">
        <v>6.7</v>
      </c>
      <c r="BH557" s="49">
        <v>3.5</v>
      </c>
      <c r="BI557" s="49">
        <v>4.0999999999999996</v>
      </c>
      <c r="BJ557" s="49">
        <v>16.100000000000001</v>
      </c>
      <c r="BK557" s="126">
        <v>12437</v>
      </c>
      <c r="BL557" s="126">
        <v>47851</v>
      </c>
      <c r="BM557" s="126">
        <v>63705</v>
      </c>
      <c r="BN557" s="126">
        <v>35456</v>
      </c>
      <c r="BO557" s="59">
        <v>2.24E-2</v>
      </c>
      <c r="BP557" s="59">
        <v>0.34260000000000002</v>
      </c>
      <c r="BQ557" s="59">
        <v>0.13550000000000001</v>
      </c>
      <c r="BR557" s="59">
        <v>0</v>
      </c>
      <c r="BS557" s="59">
        <v>0</v>
      </c>
      <c r="BT557" s="49">
        <v>11</v>
      </c>
      <c r="BU557" s="59">
        <f t="shared" si="42"/>
        <v>0.50049999999999994</v>
      </c>
      <c r="BV557" s="59">
        <v>0</v>
      </c>
      <c r="BW557" s="59">
        <v>0.03</v>
      </c>
      <c r="BX557" s="59">
        <v>1.3299999999999999E-2</v>
      </c>
      <c r="BY557" s="59">
        <v>0</v>
      </c>
      <c r="BZ557" s="59">
        <v>0</v>
      </c>
      <c r="CA557" s="49">
        <v>13.9</v>
      </c>
      <c r="CB557" s="59">
        <f t="shared" si="43"/>
        <v>4.3299999999999998E-2</v>
      </c>
      <c r="CC557" s="59">
        <v>0.43640000000000001</v>
      </c>
      <c r="CD557" s="59">
        <v>0.40720000000000001</v>
      </c>
      <c r="CE557" s="59">
        <v>0.15629999999999999</v>
      </c>
      <c r="CF557" s="59">
        <v>0</v>
      </c>
      <c r="CG557" s="59">
        <v>0</v>
      </c>
      <c r="CH557" s="49">
        <v>11.1</v>
      </c>
      <c r="CI557" s="39" t="s">
        <v>365</v>
      </c>
      <c r="CJ557" s="18" t="s">
        <v>479</v>
      </c>
      <c r="CK557" s="20"/>
    </row>
    <row r="558" spans="1:99" x14ac:dyDescent="0.25">
      <c r="A558" s="18" t="s">
        <v>479</v>
      </c>
      <c r="B558" s="39" t="s">
        <v>364</v>
      </c>
      <c r="C558" s="39" t="s">
        <v>366</v>
      </c>
      <c r="D558" s="40">
        <v>109</v>
      </c>
      <c r="E558" s="40" t="s">
        <v>83</v>
      </c>
      <c r="F558" s="40">
        <v>109</v>
      </c>
      <c r="G558" s="162" t="s">
        <v>83</v>
      </c>
      <c r="H558" s="162" t="s">
        <v>83</v>
      </c>
      <c r="I558" s="163">
        <v>0</v>
      </c>
      <c r="J558" s="163">
        <v>42</v>
      </c>
      <c r="K558" s="163">
        <v>26</v>
      </c>
      <c r="L558" s="163">
        <v>22</v>
      </c>
      <c r="M558" s="163">
        <v>19</v>
      </c>
      <c r="N558" s="115">
        <v>6.62613981762918E-2</v>
      </c>
      <c r="O558" s="115">
        <v>6.62613981762918E-2</v>
      </c>
      <c r="P558" s="116" t="s">
        <v>83</v>
      </c>
      <c r="Q558" s="116" t="s">
        <v>83</v>
      </c>
      <c r="R558" s="115">
        <v>0</v>
      </c>
      <c r="S558" s="115">
        <v>7.4336283185840707E-2</v>
      </c>
      <c r="T558" s="115">
        <v>6.2052505966587103E-2</v>
      </c>
      <c r="U558" s="115">
        <v>6.3400576368876096E-2</v>
      </c>
      <c r="V558" s="115">
        <v>6.2295081967213103E-2</v>
      </c>
      <c r="W558" s="40">
        <v>1440</v>
      </c>
      <c r="X558" s="40">
        <f t="shared" si="44"/>
        <v>1440</v>
      </c>
      <c r="Y558" s="40">
        <f t="shared" si="45"/>
        <v>1440</v>
      </c>
      <c r="Z558" s="105">
        <v>0.50694444444444398</v>
      </c>
      <c r="AA558" s="105">
        <v>0.49305555555555602</v>
      </c>
      <c r="AB558" s="106">
        <v>6.9444444444444447E-4</v>
      </c>
      <c r="AC558" s="106">
        <v>1.5972222222222221E-2</v>
      </c>
      <c r="AD558" s="106">
        <v>0.52986111111111112</v>
      </c>
      <c r="AE558" s="106">
        <v>6.1111111111111109E-2</v>
      </c>
      <c r="AF558" s="106">
        <v>0</v>
      </c>
      <c r="AG558" s="106">
        <v>0.38194444444444442</v>
      </c>
      <c r="AH558" s="106">
        <v>1.0416666666666666E-2</v>
      </c>
      <c r="AI558" s="106">
        <v>0.61805555555555558</v>
      </c>
      <c r="AJ558" s="105">
        <v>0.68194444444444446</v>
      </c>
      <c r="AK558" s="105">
        <v>2.1527777777777798E-2</v>
      </c>
      <c r="AL558" s="12">
        <v>0</v>
      </c>
      <c r="AM558" s="12">
        <v>0</v>
      </c>
      <c r="AN558" s="12">
        <v>8</v>
      </c>
      <c r="AO558" s="12">
        <v>477</v>
      </c>
      <c r="AP558" s="12">
        <v>371</v>
      </c>
      <c r="AQ558" s="12">
        <v>315</v>
      </c>
      <c r="AR558" s="12">
        <v>269</v>
      </c>
      <c r="AS558" s="59">
        <v>1.6494845360824743E-2</v>
      </c>
      <c r="AT558" s="3">
        <v>9</v>
      </c>
      <c r="AU558" s="3">
        <v>6</v>
      </c>
      <c r="AV558" s="52">
        <v>47</v>
      </c>
      <c r="AW558" s="52">
        <v>17.7</v>
      </c>
      <c r="AX558" s="52">
        <v>32.700000000000003</v>
      </c>
      <c r="AY558" s="71">
        <v>2.7</v>
      </c>
      <c r="AZ558" s="59">
        <v>0.18307210031347962</v>
      </c>
      <c r="BA558" s="59">
        <v>0.18432601880877744</v>
      </c>
      <c r="BB558" s="77">
        <v>91.914315215462295</v>
      </c>
      <c r="BC558" s="49">
        <v>50.563909774436098</v>
      </c>
      <c r="BD558" s="90" t="s">
        <v>83</v>
      </c>
      <c r="BE558" s="90" t="s">
        <v>83</v>
      </c>
      <c r="BF558" s="49">
        <v>13.2</v>
      </c>
      <c r="BG558" s="49">
        <v>3.7</v>
      </c>
      <c r="BH558" s="49">
        <v>1.7</v>
      </c>
      <c r="BI558" s="49">
        <v>3.7</v>
      </c>
      <c r="BJ558" s="49">
        <v>19.100000000000001</v>
      </c>
      <c r="BK558" s="126">
        <v>8675</v>
      </c>
      <c r="BL558" s="126">
        <v>47096</v>
      </c>
      <c r="BM558" s="126">
        <v>66065</v>
      </c>
      <c r="BN558" s="126">
        <v>38381</v>
      </c>
      <c r="BO558" s="59">
        <v>1.5E-3</v>
      </c>
      <c r="BP558" s="59">
        <v>0.38540000000000002</v>
      </c>
      <c r="BQ558" s="59">
        <v>0.19120000000000001</v>
      </c>
      <c r="BR558" s="59">
        <v>0</v>
      </c>
      <c r="BS558" s="59">
        <v>1.0800000000000001E-2</v>
      </c>
      <c r="BT558" s="49">
        <v>8.4</v>
      </c>
      <c r="BU558" s="59">
        <f t="shared" si="42"/>
        <v>0.58890000000000009</v>
      </c>
      <c r="BV558" s="59">
        <v>0</v>
      </c>
      <c r="BW558" s="59">
        <v>0</v>
      </c>
      <c r="BX558" s="59">
        <v>2.86E-2</v>
      </c>
      <c r="BY558" s="59">
        <v>0</v>
      </c>
      <c r="BZ558" s="59">
        <v>0</v>
      </c>
      <c r="CA558" s="49">
        <v>17.100000000000001</v>
      </c>
      <c r="CB558" s="59">
        <f t="shared" si="43"/>
        <v>2.86E-2</v>
      </c>
      <c r="CC558" s="59">
        <v>0.3165</v>
      </c>
      <c r="CD558" s="59">
        <v>0.39979999999999999</v>
      </c>
      <c r="CE558" s="59">
        <v>0.26550000000000001</v>
      </c>
      <c r="CF558" s="59">
        <v>6.7000000000000002E-3</v>
      </c>
      <c r="CG558" s="59">
        <v>1.1599999999999999E-2</v>
      </c>
      <c r="CH558" s="49">
        <v>9.3000000000000007</v>
      </c>
      <c r="CI558" s="39" t="s">
        <v>366</v>
      </c>
      <c r="CJ558" s="18" t="s">
        <v>479</v>
      </c>
      <c r="CK558" s="20"/>
    </row>
    <row r="559" spans="1:99" x14ac:dyDescent="0.25">
      <c r="A559" s="18" t="s">
        <v>479</v>
      </c>
      <c r="B559" s="39" t="s">
        <v>364</v>
      </c>
      <c r="C559" s="39" t="s">
        <v>367</v>
      </c>
      <c r="D559" s="40">
        <v>31</v>
      </c>
      <c r="E559" s="40" t="s">
        <v>83</v>
      </c>
      <c r="F559" s="40">
        <v>31</v>
      </c>
      <c r="G559" s="162" t="s">
        <v>83</v>
      </c>
      <c r="H559" s="162" t="s">
        <v>83</v>
      </c>
      <c r="I559" s="162" t="s">
        <v>83</v>
      </c>
      <c r="J559" s="163">
        <v>6</v>
      </c>
      <c r="K559" s="163">
        <v>13</v>
      </c>
      <c r="L559" s="163">
        <v>4</v>
      </c>
      <c r="M559" s="163">
        <v>8</v>
      </c>
      <c r="N559" s="115">
        <v>6.35245901639344E-2</v>
      </c>
      <c r="O559" s="115">
        <v>6.35245901639344E-2</v>
      </c>
      <c r="P559" s="116" t="s">
        <v>83</v>
      </c>
      <c r="Q559" s="116" t="s">
        <v>83</v>
      </c>
      <c r="R559" s="116" t="s">
        <v>83</v>
      </c>
      <c r="S559" s="115">
        <v>4.3795620437956199E-2</v>
      </c>
      <c r="T559" s="115">
        <v>9.5588235294117599E-2</v>
      </c>
      <c r="U559" s="115">
        <v>4.1666666666666699E-2</v>
      </c>
      <c r="V559" s="115">
        <v>6.7796610169491497E-2</v>
      </c>
      <c r="W559" s="40">
        <v>404</v>
      </c>
      <c r="X559" s="40">
        <f t="shared" si="44"/>
        <v>404</v>
      </c>
      <c r="Y559" s="40">
        <f t="shared" si="45"/>
        <v>404</v>
      </c>
      <c r="Z559" s="105">
        <v>0.49504950495049499</v>
      </c>
      <c r="AA559" s="105">
        <v>0.50495049504950495</v>
      </c>
      <c r="AB559" s="106">
        <v>0</v>
      </c>
      <c r="AC559" s="106">
        <v>0</v>
      </c>
      <c r="AD559" s="106">
        <v>0.57673267326732669</v>
      </c>
      <c r="AE559" s="106">
        <v>0.11386138613861387</v>
      </c>
      <c r="AF559" s="106">
        <v>0</v>
      </c>
      <c r="AG559" s="106">
        <v>0.29950495049504949</v>
      </c>
      <c r="AH559" s="106">
        <v>9.9009900990099011E-3</v>
      </c>
      <c r="AI559" s="106">
        <v>0.70049504950495045</v>
      </c>
      <c r="AJ559" s="105">
        <v>0.88613861386138615</v>
      </c>
      <c r="AK559" s="105">
        <v>5.1980198019801999E-2</v>
      </c>
      <c r="AL559" s="12">
        <v>0</v>
      </c>
      <c r="AM559" s="12">
        <v>0</v>
      </c>
      <c r="AN559" s="12">
        <v>0</v>
      </c>
      <c r="AO559" s="12">
        <v>120</v>
      </c>
      <c r="AP559" s="12">
        <v>101</v>
      </c>
      <c r="AQ559" s="12">
        <v>88</v>
      </c>
      <c r="AR559" s="12">
        <v>95</v>
      </c>
      <c r="AS559" s="59">
        <v>0</v>
      </c>
      <c r="AT559" s="3">
        <v>9</v>
      </c>
      <c r="AU559" s="3">
        <v>6</v>
      </c>
      <c r="AV559" s="52">
        <v>82.4</v>
      </c>
      <c r="AW559" s="52">
        <v>13.8</v>
      </c>
      <c r="AX559" s="52">
        <v>3.4</v>
      </c>
      <c r="AY559" s="71">
        <v>0.3</v>
      </c>
      <c r="AZ559" s="59">
        <v>0.3444676409185804</v>
      </c>
      <c r="BA559" s="59">
        <v>0.33611691022964507</v>
      </c>
      <c r="BB559" s="78">
        <v>88.429804608581406</v>
      </c>
      <c r="BC559" s="49">
        <v>47.0833333333333</v>
      </c>
      <c r="BD559" s="90" t="s">
        <v>83</v>
      </c>
      <c r="BE559" s="90" t="s">
        <v>83</v>
      </c>
      <c r="BF559" s="49">
        <v>1</v>
      </c>
      <c r="BG559" s="49">
        <v>11</v>
      </c>
      <c r="BH559" s="49">
        <v>8</v>
      </c>
      <c r="BI559" s="49">
        <v>2</v>
      </c>
      <c r="BJ559" s="49">
        <v>16</v>
      </c>
      <c r="BK559" s="126">
        <v>10742</v>
      </c>
      <c r="BL559" s="126">
        <v>49547</v>
      </c>
      <c r="BM559" s="126">
        <v>61269</v>
      </c>
      <c r="BN559" s="126">
        <v>41445</v>
      </c>
      <c r="BO559" s="59">
        <v>0</v>
      </c>
      <c r="BP559" s="59">
        <v>0.39369999999999999</v>
      </c>
      <c r="BQ559" s="59">
        <v>0.1673</v>
      </c>
      <c r="BR559" s="59">
        <v>4.0800000000000003E-2</v>
      </c>
      <c r="BS559" s="59">
        <v>0</v>
      </c>
      <c r="BT559" s="49">
        <v>9.3000000000000007</v>
      </c>
      <c r="BU559" s="59">
        <f t="shared" si="42"/>
        <v>0.60179999999999989</v>
      </c>
      <c r="BV559" s="59">
        <v>0</v>
      </c>
      <c r="BW559" s="59">
        <v>1.9599999999999999E-2</v>
      </c>
      <c r="BX559" s="59">
        <v>4.4600000000000001E-2</v>
      </c>
      <c r="BY559" s="59">
        <v>0</v>
      </c>
      <c r="BZ559" s="59">
        <v>0</v>
      </c>
      <c r="CA559" s="49">
        <v>11.5</v>
      </c>
      <c r="CB559" s="59">
        <f t="shared" si="43"/>
        <v>6.4200000000000007E-2</v>
      </c>
      <c r="CC559" s="59">
        <v>0.26500000000000001</v>
      </c>
      <c r="CD559" s="59">
        <v>0.43369999999999997</v>
      </c>
      <c r="CE559" s="59">
        <v>0.26050000000000001</v>
      </c>
      <c r="CF559" s="59">
        <v>4.0800000000000003E-2</v>
      </c>
      <c r="CG559" s="59">
        <v>0</v>
      </c>
      <c r="CH559" s="49">
        <v>10.3</v>
      </c>
      <c r="CI559" s="39" t="s">
        <v>367</v>
      </c>
      <c r="CJ559" s="18" t="s">
        <v>479</v>
      </c>
      <c r="CK559" s="20"/>
    </row>
    <row r="560" spans="1:99" x14ac:dyDescent="0.25">
      <c r="A560" s="18" t="s">
        <v>479</v>
      </c>
      <c r="B560" s="39" t="s">
        <v>364</v>
      </c>
      <c r="C560" s="39" t="s">
        <v>368</v>
      </c>
      <c r="D560" s="40">
        <v>6</v>
      </c>
      <c r="E560" s="40">
        <v>0</v>
      </c>
      <c r="F560" s="40">
        <v>6</v>
      </c>
      <c r="G560" s="163">
        <v>0</v>
      </c>
      <c r="H560" s="163">
        <v>0</v>
      </c>
      <c r="I560" s="163">
        <v>0</v>
      </c>
      <c r="J560" s="163">
        <v>0</v>
      </c>
      <c r="K560" s="163">
        <v>1</v>
      </c>
      <c r="L560" s="163">
        <v>1</v>
      </c>
      <c r="M560" s="163">
        <v>4</v>
      </c>
      <c r="N560" s="115">
        <v>1.69971671388102E-2</v>
      </c>
      <c r="O560" s="115">
        <v>2.5974025974026E-2</v>
      </c>
      <c r="P560" s="115">
        <v>0</v>
      </c>
      <c r="Q560" s="115">
        <v>0</v>
      </c>
      <c r="R560" s="115">
        <v>0</v>
      </c>
      <c r="S560" s="115">
        <v>0</v>
      </c>
      <c r="T560" s="115">
        <v>1.7543859649122799E-2</v>
      </c>
      <c r="U560" s="115">
        <v>2.4390243902439001E-2</v>
      </c>
      <c r="V560" s="115">
        <v>6.5573770491803296E-2</v>
      </c>
      <c r="W560" s="40">
        <v>317</v>
      </c>
      <c r="X560" s="40">
        <f t="shared" si="44"/>
        <v>208</v>
      </c>
      <c r="Y560" s="40">
        <f t="shared" si="45"/>
        <v>317</v>
      </c>
      <c r="Z560" s="105">
        <v>0.50157728706624605</v>
      </c>
      <c r="AA560" s="105">
        <v>0.49842271293375401</v>
      </c>
      <c r="AB560" s="106">
        <v>0</v>
      </c>
      <c r="AC560" s="106">
        <v>0</v>
      </c>
      <c r="AD560" s="106">
        <v>0.94006309148264988</v>
      </c>
      <c r="AE560" s="106">
        <v>0</v>
      </c>
      <c r="AF560" s="106">
        <v>0</v>
      </c>
      <c r="AG560" s="106">
        <v>5.362776025236593E-2</v>
      </c>
      <c r="AH560" s="106">
        <v>6.3091482649842269E-3</v>
      </c>
      <c r="AI560" s="106">
        <v>0.94637223974763407</v>
      </c>
      <c r="AJ560" s="105">
        <v>0.94006309148264988</v>
      </c>
      <c r="AK560" s="105">
        <v>0</v>
      </c>
      <c r="AL560" s="12">
        <v>51</v>
      </c>
      <c r="AM560" s="12">
        <v>58</v>
      </c>
      <c r="AN560" s="12">
        <v>1</v>
      </c>
      <c r="AO560" s="12">
        <v>62</v>
      </c>
      <c r="AP560" s="12">
        <v>55</v>
      </c>
      <c r="AQ560" s="12">
        <v>35</v>
      </c>
      <c r="AR560" s="12">
        <v>55</v>
      </c>
      <c r="AS560" s="59">
        <v>1.5873015873015872E-2</v>
      </c>
      <c r="AT560" s="3">
        <v>7</v>
      </c>
      <c r="AU560" s="3">
        <v>6</v>
      </c>
      <c r="AV560" s="52">
        <v>84</v>
      </c>
      <c r="AW560" s="52">
        <v>14.1</v>
      </c>
      <c r="AX560" s="52">
        <v>1.9</v>
      </c>
      <c r="AY560" s="70">
        <v>0</v>
      </c>
      <c r="AZ560" s="59">
        <v>0.28977272727272729</v>
      </c>
      <c r="BA560" s="59">
        <v>0.16761363636363635</v>
      </c>
      <c r="BB560" s="77">
        <v>91.372156639556493</v>
      </c>
      <c r="BC560" s="49">
        <v>51.129943502824901</v>
      </c>
      <c r="BD560" s="49">
        <v>0</v>
      </c>
      <c r="BE560" s="49">
        <v>0</v>
      </c>
      <c r="BF560" s="49">
        <v>5.3</v>
      </c>
      <c r="BG560" s="49">
        <v>0</v>
      </c>
      <c r="BH560" s="49">
        <v>0</v>
      </c>
      <c r="BI560" s="49">
        <v>1.8</v>
      </c>
      <c r="BJ560" s="49">
        <v>15.9</v>
      </c>
      <c r="BK560" s="126">
        <v>12807</v>
      </c>
      <c r="BL560" s="126">
        <v>49375</v>
      </c>
      <c r="BM560" s="126">
        <v>79026</v>
      </c>
      <c r="BN560" s="126">
        <v>43472</v>
      </c>
      <c r="BO560" s="59">
        <v>2.18E-2</v>
      </c>
      <c r="BP560" s="59">
        <v>0.49669999999999997</v>
      </c>
      <c r="BQ560" s="59">
        <v>0.10929999999999999</v>
      </c>
      <c r="BR560" s="59">
        <v>0</v>
      </c>
      <c r="BS560" s="59">
        <v>2.18E-2</v>
      </c>
      <c r="BT560" s="49">
        <v>6.7</v>
      </c>
      <c r="BU560" s="59">
        <f t="shared" si="42"/>
        <v>0.64959999999999996</v>
      </c>
      <c r="BV560" s="59">
        <v>0</v>
      </c>
      <c r="BW560" s="59">
        <v>0</v>
      </c>
      <c r="BX560" s="59">
        <v>2.18E-2</v>
      </c>
      <c r="BY560" s="59">
        <v>0</v>
      </c>
      <c r="BZ560" s="59">
        <v>0</v>
      </c>
      <c r="CA560" s="49">
        <v>21</v>
      </c>
      <c r="CB560" s="59">
        <f t="shared" si="43"/>
        <v>2.18E-2</v>
      </c>
      <c r="CC560" s="59">
        <v>0.28289999999999998</v>
      </c>
      <c r="CD560" s="59">
        <v>0.499</v>
      </c>
      <c r="CE560" s="59">
        <v>0.1963</v>
      </c>
      <c r="CF560" s="59">
        <v>0</v>
      </c>
      <c r="CG560" s="59">
        <v>2.18E-2</v>
      </c>
      <c r="CH560" s="49">
        <v>9.5</v>
      </c>
      <c r="CI560" s="39" t="s">
        <v>368</v>
      </c>
      <c r="CJ560" s="18" t="s">
        <v>479</v>
      </c>
      <c r="CK560" s="20"/>
    </row>
    <row r="561" spans="1:89" x14ac:dyDescent="0.25">
      <c r="A561" s="18" t="s">
        <v>479</v>
      </c>
      <c r="B561" s="39" t="s">
        <v>364</v>
      </c>
      <c r="C561" s="39" t="s">
        <v>369</v>
      </c>
      <c r="D561" s="40">
        <v>33</v>
      </c>
      <c r="E561" s="40" t="s">
        <v>83</v>
      </c>
      <c r="F561" s="40">
        <v>33</v>
      </c>
      <c r="G561" s="162" t="s">
        <v>83</v>
      </c>
      <c r="H561" s="162" t="s">
        <v>83</v>
      </c>
      <c r="I561" s="163">
        <v>0</v>
      </c>
      <c r="J561" s="163">
        <v>9</v>
      </c>
      <c r="K561" s="163">
        <v>1</v>
      </c>
      <c r="L561" s="163">
        <v>13</v>
      </c>
      <c r="M561" s="163">
        <v>10</v>
      </c>
      <c r="N561" s="115">
        <v>4.4354838709677401E-2</v>
      </c>
      <c r="O561" s="115">
        <v>4.4354838709677401E-2</v>
      </c>
      <c r="P561" s="116" t="s">
        <v>83</v>
      </c>
      <c r="Q561" s="116" t="s">
        <v>83</v>
      </c>
      <c r="R561" s="115">
        <v>0</v>
      </c>
      <c r="S561" s="115">
        <v>4.0540540540540501E-2</v>
      </c>
      <c r="T561" s="115">
        <v>5.2910052910052898E-3</v>
      </c>
      <c r="U561" s="115">
        <v>7.8787878787878796E-2</v>
      </c>
      <c r="V561" s="115">
        <v>6.02409638554217E-2</v>
      </c>
      <c r="W561" s="40">
        <v>694</v>
      </c>
      <c r="X561" s="40">
        <f t="shared" si="44"/>
        <v>694</v>
      </c>
      <c r="Y561" s="40">
        <f t="shared" si="45"/>
        <v>694</v>
      </c>
      <c r="Z561" s="105">
        <v>0.50720461095100899</v>
      </c>
      <c r="AA561" s="105">
        <v>0.49279538904899101</v>
      </c>
      <c r="AB561" s="106">
        <v>5.763688760806916E-3</v>
      </c>
      <c r="AC561" s="106">
        <v>0</v>
      </c>
      <c r="AD561" s="106">
        <v>0.28242074927953892</v>
      </c>
      <c r="AE561" s="106">
        <v>2.4495677233429394E-2</v>
      </c>
      <c r="AF561" s="106">
        <v>0</v>
      </c>
      <c r="AG561" s="106">
        <v>0.66282420749279536</v>
      </c>
      <c r="AH561" s="106">
        <v>2.4495677233429394E-2</v>
      </c>
      <c r="AI561" s="106">
        <v>0.33717579250720459</v>
      </c>
      <c r="AJ561" s="105">
        <v>0.60374639769452454</v>
      </c>
      <c r="AK561" s="105">
        <v>1.4409221902017301E-3</v>
      </c>
      <c r="AL561" s="12">
        <v>0</v>
      </c>
      <c r="AM561" s="12">
        <v>0</v>
      </c>
      <c r="AN561" s="12">
        <v>1</v>
      </c>
      <c r="AO561" s="12">
        <v>207</v>
      </c>
      <c r="AP561" s="12">
        <v>176</v>
      </c>
      <c r="AQ561" s="12">
        <v>156</v>
      </c>
      <c r="AR561" s="12">
        <v>154</v>
      </c>
      <c r="AS561" s="59">
        <v>4.807692307692308E-3</v>
      </c>
      <c r="AT561" s="3">
        <v>9</v>
      </c>
      <c r="AU561" s="3">
        <v>6</v>
      </c>
      <c r="AV561" s="52">
        <v>60.7</v>
      </c>
      <c r="AW561" s="52">
        <v>20.8</v>
      </c>
      <c r="AX561" s="52">
        <v>17.5</v>
      </c>
      <c r="AY561" s="71">
        <v>1</v>
      </c>
      <c r="AZ561" s="59">
        <v>0.10040705563093623</v>
      </c>
      <c r="BA561" s="59">
        <v>9.0909090909090912E-2</v>
      </c>
      <c r="BB561" s="78">
        <v>91.062583851560603</v>
      </c>
      <c r="BC561" s="49">
        <v>52.303523035230299</v>
      </c>
      <c r="BD561" s="90" t="s">
        <v>83</v>
      </c>
      <c r="BE561" s="90" t="s">
        <v>83</v>
      </c>
      <c r="BF561" s="49">
        <v>14.4</v>
      </c>
      <c r="BG561" s="49">
        <v>1.2</v>
      </c>
      <c r="BH561" s="49">
        <v>2.8</v>
      </c>
      <c r="BI561" s="49">
        <v>6.9</v>
      </c>
      <c r="BJ561" s="49">
        <v>19.2</v>
      </c>
      <c r="BK561" s="126">
        <v>8515</v>
      </c>
      <c r="BL561" s="126">
        <v>49055</v>
      </c>
      <c r="BM561" s="126">
        <v>70684</v>
      </c>
      <c r="BN561" s="126">
        <v>37938</v>
      </c>
      <c r="BO561" s="59">
        <v>0</v>
      </c>
      <c r="BP561" s="59">
        <v>0.40450000000000003</v>
      </c>
      <c r="BQ561" s="59">
        <v>0.1484</v>
      </c>
      <c r="BR561" s="59">
        <v>0</v>
      </c>
      <c r="BS561" s="59">
        <v>0</v>
      </c>
      <c r="BT561" s="49">
        <v>10.3</v>
      </c>
      <c r="BU561" s="59">
        <f t="shared" si="42"/>
        <v>0.55290000000000006</v>
      </c>
      <c r="BV561" s="59">
        <v>0</v>
      </c>
      <c r="BW561" s="59">
        <v>0</v>
      </c>
      <c r="BX561" s="59">
        <v>2.7799999999999998E-2</v>
      </c>
      <c r="BY561" s="59">
        <v>0</v>
      </c>
      <c r="BZ561" s="59">
        <v>0</v>
      </c>
      <c r="CA561" s="49">
        <v>14.9</v>
      </c>
      <c r="CB561" s="59">
        <f t="shared" si="43"/>
        <v>2.7799999999999998E-2</v>
      </c>
      <c r="CC561" s="59">
        <v>0.37390000000000001</v>
      </c>
      <c r="CD561" s="59">
        <v>0.41949999999999998</v>
      </c>
      <c r="CE561" s="59">
        <v>0.20660000000000001</v>
      </c>
      <c r="CF561" s="59">
        <v>0</v>
      </c>
      <c r="CG561" s="59">
        <v>0</v>
      </c>
      <c r="CH561" s="49">
        <v>10.4</v>
      </c>
      <c r="CI561" s="39" t="s">
        <v>369</v>
      </c>
      <c r="CJ561" s="18" t="s">
        <v>479</v>
      </c>
      <c r="CK561" s="20"/>
    </row>
    <row r="562" spans="1:89" x14ac:dyDescent="0.25">
      <c r="A562" s="18" t="s">
        <v>479</v>
      </c>
      <c r="B562" s="39" t="s">
        <v>364</v>
      </c>
      <c r="C562" s="39" t="s">
        <v>370</v>
      </c>
      <c r="D562" s="40">
        <v>80</v>
      </c>
      <c r="E562" s="40" t="s">
        <v>83</v>
      </c>
      <c r="F562" s="40">
        <v>80</v>
      </c>
      <c r="G562" s="162" t="s">
        <v>83</v>
      </c>
      <c r="H562" s="162" t="s">
        <v>83</v>
      </c>
      <c r="I562" s="163">
        <v>0</v>
      </c>
      <c r="J562" s="163">
        <v>27</v>
      </c>
      <c r="K562" s="163">
        <v>19</v>
      </c>
      <c r="L562" s="163">
        <v>20</v>
      </c>
      <c r="M562" s="163">
        <v>14</v>
      </c>
      <c r="N562" s="115">
        <v>4.2060988433228197E-2</v>
      </c>
      <c r="O562" s="115">
        <v>4.2060988433228197E-2</v>
      </c>
      <c r="P562" s="116" t="s">
        <v>83</v>
      </c>
      <c r="Q562" s="116" t="s">
        <v>83</v>
      </c>
      <c r="R562" s="115">
        <v>0</v>
      </c>
      <c r="S562" s="115">
        <v>4.2519685039370099E-2</v>
      </c>
      <c r="T562" s="115">
        <v>4.23162583518931E-2</v>
      </c>
      <c r="U562" s="115">
        <v>4.7619047619047603E-2</v>
      </c>
      <c r="V562" s="115">
        <v>3.5353535353535401E-2</v>
      </c>
      <c r="W562" s="40">
        <v>1721</v>
      </c>
      <c r="X562" s="40">
        <f t="shared" si="44"/>
        <v>1721</v>
      </c>
      <c r="Y562" s="40">
        <f t="shared" si="45"/>
        <v>1721</v>
      </c>
      <c r="Z562" s="105">
        <v>0.48402091807088898</v>
      </c>
      <c r="AA562" s="105">
        <v>0.51597908192911102</v>
      </c>
      <c r="AB562" s="106">
        <v>5.8105752469494478E-4</v>
      </c>
      <c r="AC562" s="106">
        <v>8.1348053457292267E-3</v>
      </c>
      <c r="AD562" s="106">
        <v>0.2597327135386403</v>
      </c>
      <c r="AE562" s="106">
        <v>2.5566531086577571E-2</v>
      </c>
      <c r="AF562" s="106">
        <v>5.8105752469494478E-4</v>
      </c>
      <c r="AG562" s="106">
        <v>0.70017431725740853</v>
      </c>
      <c r="AH562" s="106">
        <v>5.2295177222545031E-3</v>
      </c>
      <c r="AI562" s="106">
        <v>0.29982568274259153</v>
      </c>
      <c r="AJ562" s="105">
        <v>0.56653108657757123</v>
      </c>
      <c r="AK562" s="105">
        <v>6.9726902963393404E-3</v>
      </c>
      <c r="AL562" s="12">
        <v>0</v>
      </c>
      <c r="AM562" s="12">
        <v>0</v>
      </c>
      <c r="AN562" s="12">
        <v>1</v>
      </c>
      <c r="AO562" s="12">
        <v>590</v>
      </c>
      <c r="AP562" s="12">
        <v>399</v>
      </c>
      <c r="AQ562" s="12">
        <v>397</v>
      </c>
      <c r="AR562" s="12">
        <v>334</v>
      </c>
      <c r="AS562" s="59">
        <v>1.6920473773265651E-3</v>
      </c>
      <c r="AT562" s="3">
        <v>9</v>
      </c>
      <c r="AU562" s="3">
        <v>6</v>
      </c>
      <c r="AV562" s="52">
        <v>40</v>
      </c>
      <c r="AW562" s="52">
        <v>26.8</v>
      </c>
      <c r="AX562" s="52">
        <v>28</v>
      </c>
      <c r="AY562" s="71">
        <v>5.2</v>
      </c>
      <c r="AZ562" s="59">
        <v>0.18259935553168635</v>
      </c>
      <c r="BA562" s="59">
        <v>0.13157894736842105</v>
      </c>
      <c r="BB562" s="77">
        <v>93.605053709952799</v>
      </c>
      <c r="BC562" s="49">
        <v>36.923901393354797</v>
      </c>
      <c r="BD562" s="90" t="s">
        <v>83</v>
      </c>
      <c r="BE562" s="90" t="s">
        <v>83</v>
      </c>
      <c r="BF562" s="49">
        <v>10.3</v>
      </c>
      <c r="BG562" s="49">
        <v>7.8</v>
      </c>
      <c r="BH562" s="49">
        <v>4.0999999999999996</v>
      </c>
      <c r="BI562" s="49">
        <v>2.7</v>
      </c>
      <c r="BJ562" s="49">
        <v>20</v>
      </c>
      <c r="BK562" s="126">
        <v>8714</v>
      </c>
      <c r="BL562" s="126">
        <v>50025</v>
      </c>
      <c r="BM562" s="126">
        <v>73282</v>
      </c>
      <c r="BN562" s="126">
        <v>38504</v>
      </c>
      <c r="BO562" s="59">
        <v>1.14E-2</v>
      </c>
      <c r="BP562" s="59">
        <v>0.39400000000000002</v>
      </c>
      <c r="BQ562" s="59">
        <v>0.1603</v>
      </c>
      <c r="BR562" s="59">
        <v>0</v>
      </c>
      <c r="BS562" s="59">
        <v>6.4999999999999997E-3</v>
      </c>
      <c r="BT562" s="49">
        <v>13.9</v>
      </c>
      <c r="BU562" s="59">
        <f t="shared" si="42"/>
        <v>0.57220000000000004</v>
      </c>
      <c r="BV562" s="59">
        <v>0</v>
      </c>
      <c r="BW562" s="59">
        <v>0</v>
      </c>
      <c r="BX562" s="59">
        <v>1.67E-2</v>
      </c>
      <c r="BY562" s="59">
        <v>0</v>
      </c>
      <c r="BZ562" s="59">
        <v>0</v>
      </c>
      <c r="CA562" s="49">
        <v>22.6</v>
      </c>
      <c r="CB562" s="59">
        <f t="shared" si="43"/>
        <v>1.67E-2</v>
      </c>
      <c r="CC562" s="59">
        <v>0.38080000000000003</v>
      </c>
      <c r="CD562" s="59">
        <v>0.40579999999999999</v>
      </c>
      <c r="CE562" s="59">
        <v>0.2016</v>
      </c>
      <c r="CF562" s="59">
        <v>0</v>
      </c>
      <c r="CG562" s="59">
        <v>1.18E-2</v>
      </c>
      <c r="CH562" s="49">
        <v>12.7</v>
      </c>
      <c r="CI562" s="39" t="s">
        <v>370</v>
      </c>
      <c r="CJ562" s="18" t="s">
        <v>479</v>
      </c>
      <c r="CK562" s="20"/>
    </row>
    <row r="563" spans="1:89" x14ac:dyDescent="0.25">
      <c r="A563" s="18" t="s">
        <v>479</v>
      </c>
      <c r="B563" s="39" t="s">
        <v>364</v>
      </c>
      <c r="C563" s="39" t="s">
        <v>371</v>
      </c>
      <c r="D563" s="40">
        <v>26</v>
      </c>
      <c r="E563" s="40" t="s">
        <v>83</v>
      </c>
      <c r="F563" s="40">
        <v>26</v>
      </c>
      <c r="G563" s="162" t="s">
        <v>83</v>
      </c>
      <c r="H563" s="162" t="s">
        <v>83</v>
      </c>
      <c r="I563" s="162" t="s">
        <v>83</v>
      </c>
      <c r="J563" s="163">
        <v>2</v>
      </c>
      <c r="K563" s="163">
        <v>11</v>
      </c>
      <c r="L563" s="163">
        <v>10</v>
      </c>
      <c r="M563" s="163">
        <v>3</v>
      </c>
      <c r="N563" s="115">
        <v>4.9335863377609097E-2</v>
      </c>
      <c r="O563" s="115">
        <v>4.9335863377609097E-2</v>
      </c>
      <c r="P563" s="116" t="s">
        <v>83</v>
      </c>
      <c r="Q563" s="116" t="s">
        <v>83</v>
      </c>
      <c r="R563" s="116" t="s">
        <v>83</v>
      </c>
      <c r="S563" s="115">
        <v>1.22699386503067E-2</v>
      </c>
      <c r="T563" s="115">
        <v>8.1481481481481502E-2</v>
      </c>
      <c r="U563" s="115">
        <v>8.8495575221238895E-2</v>
      </c>
      <c r="V563" s="115">
        <v>2.5862068965517199E-2</v>
      </c>
      <c r="W563" s="40">
        <v>487</v>
      </c>
      <c r="X563" s="40">
        <f t="shared" si="44"/>
        <v>487</v>
      </c>
      <c r="Y563" s="40">
        <f t="shared" si="45"/>
        <v>487</v>
      </c>
      <c r="Z563" s="105">
        <v>0.52156057494866503</v>
      </c>
      <c r="AA563" s="105">
        <v>0.47843942505133502</v>
      </c>
      <c r="AB563" s="106">
        <v>4.1067761806981521E-3</v>
      </c>
      <c r="AC563" s="106">
        <v>2.0533880903490761E-3</v>
      </c>
      <c r="AD563" s="106">
        <v>0.33675564681724846</v>
      </c>
      <c r="AE563" s="106">
        <v>2.0533880903490759E-2</v>
      </c>
      <c r="AF563" s="106">
        <v>0</v>
      </c>
      <c r="AG563" s="106">
        <v>0.62628336755646818</v>
      </c>
      <c r="AH563" s="106">
        <v>1.0266940451745379E-2</v>
      </c>
      <c r="AI563" s="106">
        <v>0.37371663244353182</v>
      </c>
      <c r="AJ563" s="105">
        <v>0.68583162217659133</v>
      </c>
      <c r="AK563" s="105">
        <v>4.1067761806981504E-3</v>
      </c>
      <c r="AL563" s="12">
        <v>0</v>
      </c>
      <c r="AM563" s="12">
        <v>0</v>
      </c>
      <c r="AN563" s="12">
        <v>0</v>
      </c>
      <c r="AO563" s="12">
        <v>150</v>
      </c>
      <c r="AP563" s="12">
        <v>123</v>
      </c>
      <c r="AQ563" s="12">
        <v>104</v>
      </c>
      <c r="AR563" s="12">
        <v>110</v>
      </c>
      <c r="AS563" s="59">
        <v>0</v>
      </c>
      <c r="AT563" s="3">
        <v>9</v>
      </c>
      <c r="AU563" s="3">
        <v>6</v>
      </c>
      <c r="AV563" s="52">
        <v>68.3</v>
      </c>
      <c r="AW563" s="52">
        <v>22</v>
      </c>
      <c r="AX563" s="52">
        <v>9.6999999999999993</v>
      </c>
      <c r="AY563" s="70">
        <v>0</v>
      </c>
      <c r="AZ563" s="59">
        <v>0.39417475728155338</v>
      </c>
      <c r="BA563" s="59">
        <v>0.15339805825242719</v>
      </c>
      <c r="BB563" s="78">
        <v>91.627848344418595</v>
      </c>
      <c r="BC563" s="49">
        <v>45.261121856866502</v>
      </c>
      <c r="BD563" s="90" t="s">
        <v>83</v>
      </c>
      <c r="BE563" s="90" t="s">
        <v>83</v>
      </c>
      <c r="BF563" s="49">
        <v>17.600000000000001</v>
      </c>
      <c r="BG563" s="49">
        <v>5.4</v>
      </c>
      <c r="BH563" s="49">
        <v>1</v>
      </c>
      <c r="BI563" s="49">
        <v>0.9</v>
      </c>
      <c r="BJ563" s="49">
        <v>18.399999999999999</v>
      </c>
      <c r="BK563" s="126">
        <v>11068</v>
      </c>
      <c r="BL563" s="126">
        <v>51741</v>
      </c>
      <c r="BM563" s="126">
        <v>73273</v>
      </c>
      <c r="BN563" s="126">
        <v>39594</v>
      </c>
      <c r="BO563" s="59">
        <v>0</v>
      </c>
      <c r="BP563" s="59">
        <v>0.35389999999999999</v>
      </c>
      <c r="BQ563" s="59">
        <v>0.1857</v>
      </c>
      <c r="BR563" s="59">
        <v>0</v>
      </c>
      <c r="BS563" s="59">
        <v>0</v>
      </c>
      <c r="BT563" s="49">
        <v>14.5</v>
      </c>
      <c r="BU563" s="59">
        <f t="shared" si="42"/>
        <v>0.53959999999999997</v>
      </c>
      <c r="BV563" s="59">
        <v>0</v>
      </c>
      <c r="BW563" s="59">
        <v>1.5900000000000001E-2</v>
      </c>
      <c r="BX563" s="59">
        <v>1.5900000000000001E-2</v>
      </c>
      <c r="BY563" s="59">
        <v>0</v>
      </c>
      <c r="BZ563" s="59">
        <v>0</v>
      </c>
      <c r="CA563" s="49">
        <v>34.5</v>
      </c>
      <c r="CB563" s="59">
        <f t="shared" si="43"/>
        <v>3.1800000000000002E-2</v>
      </c>
      <c r="CC563" s="59">
        <v>0.37780000000000002</v>
      </c>
      <c r="CD563" s="59">
        <v>0.38890000000000002</v>
      </c>
      <c r="CE563" s="59">
        <v>0.23330000000000001</v>
      </c>
      <c r="CF563" s="59">
        <v>0</v>
      </c>
      <c r="CG563" s="59">
        <v>0</v>
      </c>
      <c r="CH563" s="49">
        <v>13.9</v>
      </c>
      <c r="CI563" s="39" t="s">
        <v>371</v>
      </c>
      <c r="CJ563" s="18" t="s">
        <v>479</v>
      </c>
      <c r="CK563" s="20"/>
    </row>
    <row r="564" spans="1:89" x14ac:dyDescent="0.25">
      <c r="A564" s="18" t="s">
        <v>479</v>
      </c>
      <c r="B564" s="39" t="s">
        <v>372</v>
      </c>
      <c r="C564" s="39" t="s">
        <v>373</v>
      </c>
      <c r="D564" s="40">
        <v>3</v>
      </c>
      <c r="E564" s="40">
        <v>0</v>
      </c>
      <c r="F564" s="40">
        <v>3</v>
      </c>
      <c r="G564" s="163">
        <v>0</v>
      </c>
      <c r="H564" s="163">
        <v>0</v>
      </c>
      <c r="I564" s="162" t="s">
        <v>83</v>
      </c>
      <c r="J564" s="163">
        <v>0</v>
      </c>
      <c r="K564" s="163">
        <v>2</v>
      </c>
      <c r="L564" s="163">
        <v>0</v>
      </c>
      <c r="M564" s="163">
        <v>1</v>
      </c>
      <c r="N564" s="115">
        <v>1.1235955056179799E-2</v>
      </c>
      <c r="O564" s="115">
        <v>1.53061224489796E-2</v>
      </c>
      <c r="P564" s="115">
        <v>0</v>
      </c>
      <c r="Q564" s="115">
        <v>0</v>
      </c>
      <c r="R564" s="116" t="s">
        <v>83</v>
      </c>
      <c r="S564" s="115">
        <v>0</v>
      </c>
      <c r="T564" s="115">
        <v>3.5087719298245598E-2</v>
      </c>
      <c r="U564" s="115">
        <v>0</v>
      </c>
      <c r="V564" s="115">
        <v>2.7027027027027001E-2</v>
      </c>
      <c r="W564" s="40">
        <v>242</v>
      </c>
      <c r="X564" s="40">
        <f t="shared" si="44"/>
        <v>183</v>
      </c>
      <c r="Y564" s="40">
        <f t="shared" si="45"/>
        <v>242</v>
      </c>
      <c r="Z564" s="105">
        <v>0.417355371900826</v>
      </c>
      <c r="AA564" s="105">
        <v>0.58264462809917394</v>
      </c>
      <c r="AB564" s="106">
        <v>0</v>
      </c>
      <c r="AC564" s="106">
        <v>0</v>
      </c>
      <c r="AD564" s="106">
        <v>0.9173553719008265</v>
      </c>
      <c r="AE564" s="106">
        <v>4.1322314049586778E-3</v>
      </c>
      <c r="AF564" s="106">
        <v>0</v>
      </c>
      <c r="AG564" s="106">
        <v>7.43801652892562E-2</v>
      </c>
      <c r="AH564" s="106">
        <v>4.1322314049586778E-3</v>
      </c>
      <c r="AI564" s="106">
        <v>0.92561983471074383</v>
      </c>
      <c r="AJ564" s="105">
        <v>0.9173553719008265</v>
      </c>
      <c r="AK564" s="105">
        <v>4.1322314049586804E-3</v>
      </c>
      <c r="AL564" s="12">
        <v>26</v>
      </c>
      <c r="AM564" s="12">
        <v>33</v>
      </c>
      <c r="AN564" s="12">
        <v>0</v>
      </c>
      <c r="AO564" s="12">
        <v>50</v>
      </c>
      <c r="AP564" s="12">
        <v>49</v>
      </c>
      <c r="AQ564" s="12">
        <v>49</v>
      </c>
      <c r="AR564" s="12">
        <v>35</v>
      </c>
      <c r="AS564" s="59">
        <v>0</v>
      </c>
      <c r="AT564" s="3">
        <v>7</v>
      </c>
      <c r="AU564" s="3">
        <v>6</v>
      </c>
      <c r="AV564" s="52">
        <v>88.6</v>
      </c>
      <c r="AW564" s="52">
        <v>9.3000000000000007</v>
      </c>
      <c r="AX564" s="52">
        <v>2.1</v>
      </c>
      <c r="AY564" s="70">
        <v>0</v>
      </c>
      <c r="AZ564" s="59">
        <v>0.41509433962264153</v>
      </c>
      <c r="BA564" s="59">
        <v>1.1320754716981131E-2</v>
      </c>
      <c r="BB564" s="77">
        <v>94.631961259079901</v>
      </c>
      <c r="BC564" s="49">
        <v>33.962264150943398</v>
      </c>
      <c r="BD564" s="49">
        <v>0</v>
      </c>
      <c r="BE564" s="49">
        <v>2.7</v>
      </c>
      <c r="BF564" s="49">
        <v>0</v>
      </c>
      <c r="BG564" s="49">
        <v>0</v>
      </c>
      <c r="BH564" s="49">
        <v>0</v>
      </c>
      <c r="BI564" s="49">
        <v>0</v>
      </c>
      <c r="BJ564" s="49">
        <v>15.9</v>
      </c>
      <c r="BK564" s="126">
        <v>15446</v>
      </c>
      <c r="BL564" s="126">
        <v>37130</v>
      </c>
      <c r="BM564" s="126">
        <v>32914</v>
      </c>
      <c r="BN564" s="126">
        <v>28132</v>
      </c>
      <c r="BO564" s="59">
        <v>0</v>
      </c>
      <c r="BP564" s="59">
        <v>0.39450000000000002</v>
      </c>
      <c r="BQ564" s="59">
        <v>9.5200000000000007E-2</v>
      </c>
      <c r="BR564" s="59">
        <v>0</v>
      </c>
      <c r="BS564" s="59">
        <v>0</v>
      </c>
      <c r="BT564" s="49">
        <v>15.2</v>
      </c>
      <c r="BU564" s="59">
        <f t="shared" si="42"/>
        <v>0.48970000000000002</v>
      </c>
      <c r="BV564" s="59">
        <v>4.3200000000000002E-2</v>
      </c>
      <c r="BW564" s="59">
        <v>0</v>
      </c>
      <c r="BX564" s="59">
        <v>4.3200000000000002E-2</v>
      </c>
      <c r="BY564" s="59">
        <v>0</v>
      </c>
      <c r="BZ564" s="59">
        <v>0</v>
      </c>
      <c r="CA564" s="49">
        <v>24.8</v>
      </c>
      <c r="CB564" s="59">
        <f t="shared" si="43"/>
        <v>8.6400000000000005E-2</v>
      </c>
      <c r="CC564" s="59">
        <v>0.42430000000000001</v>
      </c>
      <c r="CD564" s="59">
        <v>0.43730000000000002</v>
      </c>
      <c r="CE564" s="59">
        <v>0.1384</v>
      </c>
      <c r="CF564" s="59">
        <v>0</v>
      </c>
      <c r="CG564" s="59">
        <v>0</v>
      </c>
      <c r="CH564" s="49">
        <v>15.7</v>
      </c>
      <c r="CI564" s="39" t="s">
        <v>373</v>
      </c>
      <c r="CJ564" s="18" t="s">
        <v>479</v>
      </c>
      <c r="CK564" s="20"/>
    </row>
    <row r="565" spans="1:89" x14ac:dyDescent="0.25">
      <c r="A565" s="18" t="s">
        <v>479</v>
      </c>
      <c r="B565" s="39" t="s">
        <v>374</v>
      </c>
      <c r="C565" s="39" t="s">
        <v>375</v>
      </c>
      <c r="D565" s="40">
        <v>54</v>
      </c>
      <c r="E565" s="40" t="s">
        <v>83</v>
      </c>
      <c r="F565" s="40">
        <v>54</v>
      </c>
      <c r="G565" s="162" t="s">
        <v>83</v>
      </c>
      <c r="H565" s="162" t="s">
        <v>83</v>
      </c>
      <c r="I565" s="163">
        <v>1</v>
      </c>
      <c r="J565" s="163">
        <v>14</v>
      </c>
      <c r="K565" s="163">
        <v>14</v>
      </c>
      <c r="L565" s="163">
        <v>12</v>
      </c>
      <c r="M565" s="163">
        <v>13</v>
      </c>
      <c r="N565" s="115">
        <v>3.1839622641509399E-2</v>
      </c>
      <c r="O565" s="115">
        <v>3.1839622641509399E-2</v>
      </c>
      <c r="P565" s="116" t="s">
        <v>83</v>
      </c>
      <c r="Q565" s="116" t="s">
        <v>83</v>
      </c>
      <c r="R565" s="115">
        <v>1.38888888888889E-2</v>
      </c>
      <c r="S565" s="115">
        <v>2.92887029288703E-2</v>
      </c>
      <c r="T565" s="115">
        <v>3.1319910514541402E-2</v>
      </c>
      <c r="U565" s="115">
        <v>3.1496062992125998E-2</v>
      </c>
      <c r="V565" s="115">
        <v>4.08805031446541E-2</v>
      </c>
      <c r="W565" s="40">
        <v>1530</v>
      </c>
      <c r="X565" s="40">
        <f t="shared" si="44"/>
        <v>1530</v>
      </c>
      <c r="Y565" s="40">
        <f t="shared" si="45"/>
        <v>1530</v>
      </c>
      <c r="Z565" s="105">
        <v>0.5</v>
      </c>
      <c r="AA565" s="105">
        <v>0.5</v>
      </c>
      <c r="AB565" s="106">
        <v>4.1830065359477121E-2</v>
      </c>
      <c r="AC565" s="106">
        <v>4.5751633986928107E-3</v>
      </c>
      <c r="AD565" s="106">
        <v>0.32614379084967321</v>
      </c>
      <c r="AE565" s="106">
        <v>4.3790849673202611E-2</v>
      </c>
      <c r="AF565" s="106">
        <v>6.5359477124183002E-4</v>
      </c>
      <c r="AG565" s="106">
        <v>0.57124183006535945</v>
      </c>
      <c r="AH565" s="106">
        <v>1.1764705882352941E-2</v>
      </c>
      <c r="AI565" s="106">
        <v>0.4287581699346405</v>
      </c>
      <c r="AJ565" s="105">
        <v>0.60457516339869277</v>
      </c>
      <c r="AK565" s="105">
        <v>9.1503267973856196E-3</v>
      </c>
      <c r="AL565" s="12">
        <v>0</v>
      </c>
      <c r="AM565" s="12">
        <v>0</v>
      </c>
      <c r="AN565" s="12">
        <v>63</v>
      </c>
      <c r="AO565" s="12">
        <v>417</v>
      </c>
      <c r="AP565" s="12">
        <v>398</v>
      </c>
      <c r="AQ565" s="12">
        <v>347</v>
      </c>
      <c r="AR565" s="12">
        <v>305</v>
      </c>
      <c r="AS565" s="59">
        <v>0.13125000000000001</v>
      </c>
      <c r="AT565" s="3">
        <v>9</v>
      </c>
      <c r="AU565" s="3">
        <v>6</v>
      </c>
      <c r="AV565" s="52">
        <v>53.4</v>
      </c>
      <c r="AW565" s="52">
        <v>33.4</v>
      </c>
      <c r="AX565" s="52">
        <v>13.1</v>
      </c>
      <c r="AY565" s="71">
        <v>0.2</v>
      </c>
      <c r="AZ565" s="59">
        <v>0.24727932285368803</v>
      </c>
      <c r="BA565" s="59">
        <v>0.15417170495767835</v>
      </c>
      <c r="BB565" s="78">
        <v>92.131819615263296</v>
      </c>
      <c r="BC565" s="49">
        <v>39.699074074074097</v>
      </c>
      <c r="BD565" s="90" t="s">
        <v>83</v>
      </c>
      <c r="BE565" s="90" t="s">
        <v>83</v>
      </c>
      <c r="BF565" s="49">
        <v>4</v>
      </c>
      <c r="BG565" s="49">
        <v>1.9</v>
      </c>
      <c r="BH565" s="49">
        <v>1.9</v>
      </c>
      <c r="BI565" s="49">
        <v>4</v>
      </c>
      <c r="BJ565" s="49">
        <v>19.899999999999999</v>
      </c>
      <c r="BK565" s="126">
        <v>8990</v>
      </c>
      <c r="BL565" s="126">
        <v>49584</v>
      </c>
      <c r="BM565" s="126">
        <v>54017</v>
      </c>
      <c r="BN565" s="126">
        <v>44635</v>
      </c>
      <c r="BO565" s="59">
        <v>0</v>
      </c>
      <c r="BP565" s="59">
        <v>0.48649999999999999</v>
      </c>
      <c r="BQ565" s="59">
        <v>0.1656</v>
      </c>
      <c r="BR565" s="59">
        <v>0</v>
      </c>
      <c r="BS565" s="59">
        <v>8.5000000000000006E-3</v>
      </c>
      <c r="BT565" s="49">
        <v>12.7</v>
      </c>
      <c r="BU565" s="59">
        <f t="shared" si="42"/>
        <v>0.66059999999999997</v>
      </c>
      <c r="BV565" s="59">
        <v>2.41E-2</v>
      </c>
      <c r="BW565" s="59">
        <v>0</v>
      </c>
      <c r="BX565" s="59">
        <v>3.4000000000000002E-2</v>
      </c>
      <c r="BY565" s="59">
        <v>0</v>
      </c>
      <c r="BZ565" s="59">
        <v>0</v>
      </c>
      <c r="CA565" s="49">
        <v>14.1</v>
      </c>
      <c r="CB565" s="59">
        <f t="shared" si="43"/>
        <v>5.8099999999999999E-2</v>
      </c>
      <c r="CC565" s="59">
        <v>0.2276</v>
      </c>
      <c r="CD565" s="59">
        <v>0.51049999999999995</v>
      </c>
      <c r="CE565" s="59">
        <v>0.25340000000000001</v>
      </c>
      <c r="CF565" s="59">
        <v>0</v>
      </c>
      <c r="CG565" s="59">
        <v>8.5000000000000006E-3</v>
      </c>
      <c r="CH565" s="49">
        <v>13</v>
      </c>
      <c r="CI565" s="39" t="s">
        <v>375</v>
      </c>
      <c r="CJ565" s="18" t="s">
        <v>479</v>
      </c>
      <c r="CK565" s="20"/>
    </row>
    <row r="566" spans="1:89" x14ac:dyDescent="0.25">
      <c r="A566" s="18" t="s">
        <v>479</v>
      </c>
      <c r="B566" s="39" t="s">
        <v>374</v>
      </c>
      <c r="C566" s="39" t="s">
        <v>376</v>
      </c>
      <c r="D566" s="40">
        <v>54</v>
      </c>
      <c r="E566" s="40" t="s">
        <v>83</v>
      </c>
      <c r="F566" s="40">
        <v>54</v>
      </c>
      <c r="G566" s="162" t="s">
        <v>83</v>
      </c>
      <c r="H566" s="162" t="s">
        <v>83</v>
      </c>
      <c r="I566" s="163">
        <v>3</v>
      </c>
      <c r="J566" s="163">
        <v>23</v>
      </c>
      <c r="K566" s="163">
        <v>12</v>
      </c>
      <c r="L566" s="163">
        <v>12</v>
      </c>
      <c r="M566" s="163">
        <v>4</v>
      </c>
      <c r="N566" s="115">
        <v>4.6114432109308302E-2</v>
      </c>
      <c r="O566" s="115">
        <v>4.6114432109308302E-2</v>
      </c>
      <c r="P566" s="116" t="s">
        <v>83</v>
      </c>
      <c r="Q566" s="116" t="s">
        <v>83</v>
      </c>
      <c r="R566" s="115">
        <v>6.9767441860465101E-2</v>
      </c>
      <c r="S566" s="115">
        <v>6.1827956989247299E-2</v>
      </c>
      <c r="T566" s="115">
        <v>3.6144578313252997E-2</v>
      </c>
      <c r="U566" s="115">
        <v>5.1724137931034503E-2</v>
      </c>
      <c r="V566" s="115">
        <v>2.0833333333333301E-2</v>
      </c>
      <c r="W566" s="40">
        <v>1019</v>
      </c>
      <c r="X566" s="40">
        <f t="shared" si="44"/>
        <v>1019</v>
      </c>
      <c r="Y566" s="40">
        <f t="shared" si="45"/>
        <v>1019</v>
      </c>
      <c r="Z566" s="105">
        <v>0.48773307163886198</v>
      </c>
      <c r="AA566" s="105">
        <v>0.51226692836113796</v>
      </c>
      <c r="AB566" s="106">
        <v>0.18253189401373895</v>
      </c>
      <c r="AC566" s="106">
        <v>1.9627085377821395E-2</v>
      </c>
      <c r="AD566" s="106">
        <v>0.36408243375858684</v>
      </c>
      <c r="AE566" s="106">
        <v>7.9489695780176645E-2</v>
      </c>
      <c r="AF566" s="106">
        <v>9.813542688910696E-4</v>
      </c>
      <c r="AG566" s="106">
        <v>0.33954857703631008</v>
      </c>
      <c r="AH566" s="106">
        <v>1.3738959764474975E-2</v>
      </c>
      <c r="AI566" s="106">
        <v>0.66045142296368986</v>
      </c>
      <c r="AJ566" s="105">
        <v>0.77625122669283608</v>
      </c>
      <c r="AK566" s="105">
        <v>4.2198233562316001E-2</v>
      </c>
      <c r="AL566" s="12">
        <v>0</v>
      </c>
      <c r="AM566" s="12">
        <v>0</v>
      </c>
      <c r="AN566" s="12">
        <v>34</v>
      </c>
      <c r="AO566" s="12">
        <v>304</v>
      </c>
      <c r="AP566" s="12">
        <v>296</v>
      </c>
      <c r="AQ566" s="12">
        <v>202</v>
      </c>
      <c r="AR566" s="12">
        <v>183</v>
      </c>
      <c r="AS566" s="59">
        <v>0.10059171597633136</v>
      </c>
      <c r="AT566" s="3">
        <v>9</v>
      </c>
      <c r="AU566" s="3">
        <v>6</v>
      </c>
      <c r="AV566" s="52">
        <v>64.599999999999994</v>
      </c>
      <c r="AW566" s="52">
        <v>26.5</v>
      </c>
      <c r="AX566" s="52">
        <v>8.6999999999999993</v>
      </c>
      <c r="AY566" s="71">
        <v>0.2</v>
      </c>
      <c r="AZ566" s="59">
        <v>0.38820422535211269</v>
      </c>
      <c r="BA566" s="59">
        <v>0.238556338028169</v>
      </c>
      <c r="BB566" s="77">
        <v>90.166090824921497</v>
      </c>
      <c r="BC566" s="49">
        <v>45.033112582781499</v>
      </c>
      <c r="BD566" s="90" t="s">
        <v>83</v>
      </c>
      <c r="BE566" s="90" t="s">
        <v>83</v>
      </c>
      <c r="BF566" s="49">
        <v>9.6999999999999993</v>
      </c>
      <c r="BG566" s="49">
        <v>6.2</v>
      </c>
      <c r="BH566" s="49">
        <v>1.7</v>
      </c>
      <c r="BI566" s="49">
        <v>0.5</v>
      </c>
      <c r="BJ566" s="49">
        <v>17.5</v>
      </c>
      <c r="BK566" s="126">
        <v>10403</v>
      </c>
      <c r="BL566" s="126">
        <v>48399</v>
      </c>
      <c r="BM566" s="126">
        <v>53179</v>
      </c>
      <c r="BN566" s="126">
        <v>43385</v>
      </c>
      <c r="BO566" s="59">
        <v>0</v>
      </c>
      <c r="BP566" s="59">
        <v>0.40649999999999997</v>
      </c>
      <c r="BQ566" s="59">
        <v>0.2215</v>
      </c>
      <c r="BR566" s="59">
        <v>0</v>
      </c>
      <c r="BS566" s="59">
        <v>0</v>
      </c>
      <c r="BT566" s="49">
        <v>12.5</v>
      </c>
      <c r="BU566" s="59">
        <f t="shared" si="42"/>
        <v>0.628</v>
      </c>
      <c r="BV566" s="59">
        <v>3.4799999999999998E-2</v>
      </c>
      <c r="BW566" s="59">
        <v>0</v>
      </c>
      <c r="BX566" s="59">
        <v>4.0099999999999997E-2</v>
      </c>
      <c r="BY566" s="59">
        <v>0</v>
      </c>
      <c r="BZ566" s="59">
        <v>0</v>
      </c>
      <c r="CA566" s="49">
        <v>19</v>
      </c>
      <c r="CB566" s="59">
        <f t="shared" si="43"/>
        <v>7.4899999999999994E-2</v>
      </c>
      <c r="CC566" s="59">
        <v>0.24229999999999999</v>
      </c>
      <c r="CD566" s="59">
        <v>0.432</v>
      </c>
      <c r="CE566" s="59">
        <v>0.32569999999999999</v>
      </c>
      <c r="CF566" s="59">
        <v>0</v>
      </c>
      <c r="CG566" s="59">
        <v>0</v>
      </c>
      <c r="CH566" s="49">
        <v>13.1</v>
      </c>
      <c r="CI566" s="39" t="s">
        <v>376</v>
      </c>
      <c r="CJ566" s="18" t="s">
        <v>479</v>
      </c>
      <c r="CK566" s="20"/>
    </row>
    <row r="567" spans="1:89" x14ac:dyDescent="0.25">
      <c r="A567" s="18" t="s">
        <v>479</v>
      </c>
      <c r="B567" s="39" t="s">
        <v>374</v>
      </c>
      <c r="C567" s="39" t="s">
        <v>377</v>
      </c>
      <c r="D567" s="40">
        <v>39</v>
      </c>
      <c r="E567" s="40" t="s">
        <v>83</v>
      </c>
      <c r="F567" s="40">
        <v>39</v>
      </c>
      <c r="G567" s="162" t="s">
        <v>83</v>
      </c>
      <c r="H567" s="162" t="s">
        <v>83</v>
      </c>
      <c r="I567" s="163">
        <v>1</v>
      </c>
      <c r="J567" s="163">
        <v>9</v>
      </c>
      <c r="K567" s="163">
        <v>8</v>
      </c>
      <c r="L567" s="163">
        <v>11</v>
      </c>
      <c r="M567" s="163">
        <v>10</v>
      </c>
      <c r="N567" s="115">
        <v>3.5486806187443098E-2</v>
      </c>
      <c r="O567" s="115">
        <v>3.5486806187443098E-2</v>
      </c>
      <c r="P567" s="116" t="s">
        <v>83</v>
      </c>
      <c r="Q567" s="116" t="s">
        <v>83</v>
      </c>
      <c r="R567" s="115">
        <v>4.7619047619047603E-2</v>
      </c>
      <c r="S567" s="115">
        <v>2.9220779220779199E-2</v>
      </c>
      <c r="T567" s="115">
        <v>2.7210884353741499E-2</v>
      </c>
      <c r="U567" s="115">
        <v>4.4715447154471497E-2</v>
      </c>
      <c r="V567" s="115">
        <v>4.3478260869565202E-2</v>
      </c>
      <c r="W567" s="40">
        <v>1013</v>
      </c>
      <c r="X567" s="40">
        <f t="shared" si="44"/>
        <v>1013</v>
      </c>
      <c r="Y567" s="40">
        <f t="shared" si="45"/>
        <v>1013</v>
      </c>
      <c r="Z567" s="105">
        <v>0.49555774925962498</v>
      </c>
      <c r="AA567" s="105">
        <v>0.50444225074037496</v>
      </c>
      <c r="AB567" s="106">
        <v>0.14708785784797632</v>
      </c>
      <c r="AC567" s="106">
        <v>4.9358341559723592E-3</v>
      </c>
      <c r="AD567" s="106">
        <v>0.10266535044422508</v>
      </c>
      <c r="AE567" s="106">
        <v>1.7769002961500493E-2</v>
      </c>
      <c r="AF567" s="106">
        <v>0</v>
      </c>
      <c r="AG567" s="106">
        <v>0.66929911154985189</v>
      </c>
      <c r="AH567" s="106">
        <v>5.8242843040473842E-2</v>
      </c>
      <c r="AI567" s="106">
        <v>0.33070088845014806</v>
      </c>
      <c r="AJ567" s="105">
        <v>0.51826258637709777</v>
      </c>
      <c r="AK567" s="105">
        <v>3.9486673247778898E-3</v>
      </c>
      <c r="AL567" s="12">
        <v>0</v>
      </c>
      <c r="AM567" s="12">
        <v>0</v>
      </c>
      <c r="AN567" s="12">
        <v>18</v>
      </c>
      <c r="AO567" s="12">
        <v>283</v>
      </c>
      <c r="AP567" s="12">
        <v>268</v>
      </c>
      <c r="AQ567" s="12">
        <v>227</v>
      </c>
      <c r="AR567" s="12">
        <v>217</v>
      </c>
      <c r="AS567" s="59">
        <v>5.9800664451827246E-2</v>
      </c>
      <c r="AT567" s="3">
        <v>9</v>
      </c>
      <c r="AU567" s="3">
        <v>6</v>
      </c>
      <c r="AV567" s="52">
        <v>71.3</v>
      </c>
      <c r="AW567" s="52">
        <v>14.7</v>
      </c>
      <c r="AX567" s="52">
        <v>13.8</v>
      </c>
      <c r="AY567" s="71">
        <v>0.2</v>
      </c>
      <c r="AZ567" s="59">
        <v>0.13640552995391705</v>
      </c>
      <c r="BA567" s="59">
        <v>0.14470046082949309</v>
      </c>
      <c r="BB567" s="77">
        <v>92.029768644000001</v>
      </c>
      <c r="BC567" s="49">
        <v>37.533998186763398</v>
      </c>
      <c r="BD567" s="90" t="s">
        <v>83</v>
      </c>
      <c r="BE567" s="90" t="s">
        <v>83</v>
      </c>
      <c r="BF567" s="49">
        <v>6.9</v>
      </c>
      <c r="BG567" s="49">
        <v>3.5</v>
      </c>
      <c r="BH567" s="49">
        <v>2.4</v>
      </c>
      <c r="BI567" s="49">
        <v>2.2999999999999998</v>
      </c>
      <c r="BJ567" s="49">
        <v>20</v>
      </c>
      <c r="BK567" s="126">
        <v>10144</v>
      </c>
      <c r="BL567" s="126">
        <v>51618</v>
      </c>
      <c r="BM567" s="126">
        <v>53931</v>
      </c>
      <c r="BN567" s="126">
        <v>46385</v>
      </c>
      <c r="BO567" s="59">
        <v>0</v>
      </c>
      <c r="BP567" s="59">
        <v>0.50170000000000003</v>
      </c>
      <c r="BQ567" s="59">
        <v>0.14630000000000001</v>
      </c>
      <c r="BR567" s="59">
        <v>0</v>
      </c>
      <c r="BS567" s="59">
        <v>0</v>
      </c>
      <c r="BT567" s="49">
        <v>15.5</v>
      </c>
      <c r="BU567" s="59">
        <f t="shared" si="42"/>
        <v>0.64800000000000002</v>
      </c>
      <c r="BV567" s="59">
        <v>2.7799999999999998E-2</v>
      </c>
      <c r="BW567" s="59">
        <v>0</v>
      </c>
      <c r="BX567" s="59">
        <v>2.1899999999999999E-2</v>
      </c>
      <c r="BY567" s="59">
        <v>0</v>
      </c>
      <c r="BZ567" s="59">
        <v>1.09E-2</v>
      </c>
      <c r="CA567" s="49">
        <v>20.7</v>
      </c>
      <c r="CB567" s="59">
        <f t="shared" si="43"/>
        <v>6.0599999999999994E-2</v>
      </c>
      <c r="CC567" s="59">
        <v>0.23419999999999999</v>
      </c>
      <c r="CD567" s="59">
        <v>0.52649999999999997</v>
      </c>
      <c r="CE567" s="59">
        <v>0.2283</v>
      </c>
      <c r="CF567" s="59">
        <v>0</v>
      </c>
      <c r="CG567" s="59">
        <v>1.09E-2</v>
      </c>
      <c r="CH567" s="49">
        <v>15.3</v>
      </c>
      <c r="CI567" s="39" t="s">
        <v>377</v>
      </c>
      <c r="CJ567" s="18" t="s">
        <v>479</v>
      </c>
      <c r="CK567" s="20"/>
    </row>
    <row r="568" spans="1:89" x14ac:dyDescent="0.25">
      <c r="A568" s="18" t="s">
        <v>479</v>
      </c>
      <c r="B568" s="39" t="s">
        <v>374</v>
      </c>
      <c r="C568" s="39" t="s">
        <v>378</v>
      </c>
      <c r="D568" s="40">
        <v>56</v>
      </c>
      <c r="E568" s="40" t="s">
        <v>83</v>
      </c>
      <c r="F568" s="40">
        <v>56</v>
      </c>
      <c r="G568" s="162" t="s">
        <v>83</v>
      </c>
      <c r="H568" s="162" t="s">
        <v>83</v>
      </c>
      <c r="I568" s="163">
        <v>2</v>
      </c>
      <c r="J568" s="163">
        <v>13</v>
      </c>
      <c r="K568" s="163">
        <v>17</v>
      </c>
      <c r="L568" s="163">
        <v>10</v>
      </c>
      <c r="M568" s="163">
        <v>14</v>
      </c>
      <c r="N568" s="115">
        <v>5.1470588235294101E-2</v>
      </c>
      <c r="O568" s="115">
        <v>5.1470588235294101E-2</v>
      </c>
      <c r="P568" s="116" t="s">
        <v>83</v>
      </c>
      <c r="Q568" s="116" t="s">
        <v>83</v>
      </c>
      <c r="R568" s="115">
        <v>0.18181818181818199</v>
      </c>
      <c r="S568" s="115">
        <v>0.17105263157894701</v>
      </c>
      <c r="T568" s="115">
        <v>4.1975308641975302E-2</v>
      </c>
      <c r="U568" s="115">
        <v>3.2679738562091498E-2</v>
      </c>
      <c r="V568" s="115">
        <v>4.8275862068965503E-2</v>
      </c>
      <c r="W568" s="40">
        <v>954</v>
      </c>
      <c r="X568" s="40">
        <f t="shared" si="44"/>
        <v>954</v>
      </c>
      <c r="Y568" s="40">
        <f t="shared" si="45"/>
        <v>954</v>
      </c>
      <c r="Z568" s="105">
        <v>0.48742138364779902</v>
      </c>
      <c r="AA568" s="105">
        <v>0.51257861635220103</v>
      </c>
      <c r="AB568" s="106">
        <v>5.7651991614255764E-2</v>
      </c>
      <c r="AC568" s="106">
        <v>1.6771488469601678E-2</v>
      </c>
      <c r="AD568" s="106">
        <v>0.30503144654088049</v>
      </c>
      <c r="AE568" s="106">
        <v>3.8784067085953881E-2</v>
      </c>
      <c r="AF568" s="106">
        <v>0</v>
      </c>
      <c r="AG568" s="106">
        <v>0.57232704402515722</v>
      </c>
      <c r="AH568" s="106">
        <v>9.433962264150943E-3</v>
      </c>
      <c r="AI568" s="106">
        <v>0.42767295597484278</v>
      </c>
      <c r="AJ568" s="105">
        <v>0.5220125786163522</v>
      </c>
      <c r="AK568" s="105">
        <v>1.7819706498951801E-2</v>
      </c>
      <c r="AL568" s="12">
        <v>0</v>
      </c>
      <c r="AM568" s="12">
        <v>0</v>
      </c>
      <c r="AN568" s="12">
        <v>10</v>
      </c>
      <c r="AO568" s="12">
        <v>51</v>
      </c>
      <c r="AP568" s="12">
        <v>346</v>
      </c>
      <c r="AQ568" s="12">
        <v>280</v>
      </c>
      <c r="AR568" s="12">
        <v>267</v>
      </c>
      <c r="AS568" s="59">
        <v>0.16393442622950818</v>
      </c>
      <c r="AT568" s="3">
        <v>9</v>
      </c>
      <c r="AU568" s="3">
        <v>6</v>
      </c>
      <c r="AV568" s="52">
        <v>61.7</v>
      </c>
      <c r="AW568" s="52">
        <v>23.6</v>
      </c>
      <c r="AX568" s="52">
        <v>14</v>
      </c>
      <c r="AY568" s="71">
        <v>0.7</v>
      </c>
      <c r="AZ568" s="59">
        <v>0.32662835249042144</v>
      </c>
      <c r="BA568" s="59">
        <v>9.1954022988505746E-2</v>
      </c>
      <c r="BB568" s="78">
        <v>93.120788344345598</v>
      </c>
      <c r="BC568" s="49">
        <v>39.272727272727302</v>
      </c>
      <c r="BD568" s="90" t="s">
        <v>83</v>
      </c>
      <c r="BE568" s="90" t="s">
        <v>83</v>
      </c>
      <c r="BF568" s="49">
        <v>5.9</v>
      </c>
      <c r="BG568" s="49">
        <v>3.9</v>
      </c>
      <c r="BH568" s="49">
        <v>1.1000000000000001</v>
      </c>
      <c r="BI568" s="49">
        <v>1</v>
      </c>
      <c r="BJ568" s="49">
        <v>20.2</v>
      </c>
      <c r="BK568" s="126">
        <v>9683</v>
      </c>
      <c r="BL568" s="126">
        <v>52531</v>
      </c>
      <c r="BM568" s="126">
        <v>57816</v>
      </c>
      <c r="BN568" s="126">
        <v>47376</v>
      </c>
      <c r="BO568" s="59">
        <v>0</v>
      </c>
      <c r="BP568" s="59">
        <v>0.44190000000000002</v>
      </c>
      <c r="BQ568" s="59">
        <v>0.2031</v>
      </c>
      <c r="BR568" s="59">
        <v>0</v>
      </c>
      <c r="BS568" s="59">
        <v>0</v>
      </c>
      <c r="BT568" s="49">
        <v>13.3</v>
      </c>
      <c r="BU568" s="59">
        <f t="shared" si="42"/>
        <v>0.64500000000000002</v>
      </c>
      <c r="BV568" s="59">
        <v>2.47E-2</v>
      </c>
      <c r="BW568" s="59">
        <v>0</v>
      </c>
      <c r="BX568" s="59">
        <v>3.7100000000000001E-2</v>
      </c>
      <c r="BY568" s="59">
        <v>0</v>
      </c>
      <c r="BZ568" s="59">
        <v>0</v>
      </c>
      <c r="CA568" s="49">
        <v>21.2</v>
      </c>
      <c r="CB568" s="59">
        <f t="shared" si="43"/>
        <v>6.1800000000000001E-2</v>
      </c>
      <c r="CC568" s="59">
        <v>0.21629999999999999</v>
      </c>
      <c r="CD568" s="59">
        <v>0.4879</v>
      </c>
      <c r="CE568" s="59">
        <v>0.28349999999999997</v>
      </c>
      <c r="CF568" s="59">
        <v>0</v>
      </c>
      <c r="CG568" s="59">
        <v>1.24E-2</v>
      </c>
      <c r="CH568" s="49">
        <v>13.2</v>
      </c>
      <c r="CI568" s="39" t="s">
        <v>378</v>
      </c>
      <c r="CJ568" s="18" t="s">
        <v>479</v>
      </c>
      <c r="CK568" s="20"/>
    </row>
    <row r="569" spans="1:89" x14ac:dyDescent="0.25">
      <c r="A569" s="18" t="s">
        <v>479</v>
      </c>
      <c r="B569" s="39" t="s">
        <v>379</v>
      </c>
      <c r="C569" s="39" t="s">
        <v>380</v>
      </c>
      <c r="D569" s="40">
        <v>9</v>
      </c>
      <c r="E569" s="40">
        <v>0</v>
      </c>
      <c r="F569" s="40">
        <v>9</v>
      </c>
      <c r="G569" s="163">
        <v>0</v>
      </c>
      <c r="H569" s="163">
        <v>0</v>
      </c>
      <c r="I569" s="162" t="s">
        <v>83</v>
      </c>
      <c r="J569" s="163">
        <v>3</v>
      </c>
      <c r="K569" s="163">
        <v>2</v>
      </c>
      <c r="L569" s="163">
        <v>1</v>
      </c>
      <c r="M569" s="163">
        <v>3</v>
      </c>
      <c r="N569" s="115">
        <v>4.4999999999999998E-2</v>
      </c>
      <c r="O569" s="115">
        <v>7.8260869565217397E-2</v>
      </c>
      <c r="P569" s="115">
        <v>0</v>
      </c>
      <c r="Q569" s="115">
        <v>0</v>
      </c>
      <c r="R569" s="116" t="s">
        <v>83</v>
      </c>
      <c r="S569" s="115">
        <v>7.69230769230769E-2</v>
      </c>
      <c r="T569" s="115">
        <v>7.4074074074074098E-2</v>
      </c>
      <c r="U569" s="115">
        <v>4.3478260869565202E-2</v>
      </c>
      <c r="V569" s="115">
        <v>0.115384615384615</v>
      </c>
      <c r="W569" s="40">
        <v>366</v>
      </c>
      <c r="X569" s="40">
        <f t="shared" si="44"/>
        <v>100</v>
      </c>
      <c r="Y569" s="40">
        <f t="shared" si="45"/>
        <v>169</v>
      </c>
      <c r="Z569" s="105">
        <v>0.52732240437158495</v>
      </c>
      <c r="AA569" s="105">
        <v>0.47267759562841499</v>
      </c>
      <c r="AB569" s="106">
        <v>0</v>
      </c>
      <c r="AC569" s="106">
        <v>0</v>
      </c>
      <c r="AD569" s="106">
        <v>2.185792349726776E-2</v>
      </c>
      <c r="AE569" s="106">
        <v>5.1912568306010931E-2</v>
      </c>
      <c r="AF569" s="106">
        <v>2.7322404371584699E-3</v>
      </c>
      <c r="AG569" s="106">
        <v>0.91530054644808745</v>
      </c>
      <c r="AH569" s="106">
        <v>8.1967213114754103E-3</v>
      </c>
      <c r="AI569" s="106">
        <v>8.4699453551912565E-2</v>
      </c>
      <c r="AJ569" s="105">
        <v>0.65846994535519121</v>
      </c>
      <c r="AK569" s="105">
        <v>1.91256830601093E-2</v>
      </c>
      <c r="AL569" s="12">
        <v>32</v>
      </c>
      <c r="AM569" s="12">
        <v>37</v>
      </c>
      <c r="AN569" s="12">
        <v>0</v>
      </c>
      <c r="AO569" s="12">
        <v>35</v>
      </c>
      <c r="AP569" s="12">
        <v>20</v>
      </c>
      <c r="AQ569" s="12">
        <v>22</v>
      </c>
      <c r="AR569" s="12">
        <v>23</v>
      </c>
      <c r="AS569" s="59">
        <v>0</v>
      </c>
      <c r="AT569" s="3">
        <v>1</v>
      </c>
      <c r="AU569" s="3">
        <v>3</v>
      </c>
      <c r="AV569" s="52">
        <v>81.599999999999994</v>
      </c>
      <c r="AW569" s="52">
        <v>8.4</v>
      </c>
      <c r="AX569" s="52">
        <v>2.4</v>
      </c>
      <c r="AY569" s="71">
        <v>7.6</v>
      </c>
      <c r="AZ569" s="59">
        <v>2.2831050228310501E-3</v>
      </c>
      <c r="BA569" s="59">
        <v>9.8173515981735154E-2</v>
      </c>
      <c r="BB569" s="77">
        <v>93.702326620495995</v>
      </c>
      <c r="BC569" s="49">
        <v>32.191780821917803</v>
      </c>
      <c r="BD569" s="49">
        <v>8.8000000000000007</v>
      </c>
      <c r="BE569" s="49">
        <v>2.5</v>
      </c>
      <c r="BF569" s="49">
        <v>0</v>
      </c>
      <c r="BG569" s="49">
        <v>0</v>
      </c>
      <c r="BH569" s="49">
        <v>0</v>
      </c>
      <c r="BI569" s="49">
        <v>5</v>
      </c>
      <c r="BJ569" s="49">
        <v>21.4</v>
      </c>
      <c r="BK569" s="126">
        <v>12404</v>
      </c>
      <c r="BL569" s="126">
        <v>47390</v>
      </c>
      <c r="BM569" s="126">
        <v>24203</v>
      </c>
      <c r="BN569" s="126">
        <v>36940</v>
      </c>
      <c r="BO569" s="59">
        <v>0</v>
      </c>
      <c r="BP569" s="59">
        <v>0.33579999999999999</v>
      </c>
      <c r="BQ569" s="59">
        <v>0.19670000000000001</v>
      </c>
      <c r="BR569" s="59">
        <v>1.9900000000000001E-2</v>
      </c>
      <c r="BS569" s="59">
        <v>0</v>
      </c>
      <c r="BT569" s="49">
        <v>11.7</v>
      </c>
      <c r="BU569" s="59">
        <f t="shared" si="42"/>
        <v>0.5524</v>
      </c>
      <c r="BV569" s="59">
        <v>3.9800000000000002E-2</v>
      </c>
      <c r="BW569" s="59">
        <v>0</v>
      </c>
      <c r="BX569" s="59">
        <v>0</v>
      </c>
      <c r="BY569" s="59">
        <v>0</v>
      </c>
      <c r="BZ569" s="59">
        <v>0</v>
      </c>
      <c r="CA569" s="49">
        <v>6.5</v>
      </c>
      <c r="CB569" s="59">
        <f t="shared" si="43"/>
        <v>3.9800000000000002E-2</v>
      </c>
      <c r="CC569" s="59">
        <v>0.38740000000000002</v>
      </c>
      <c r="CD569" s="59">
        <v>0.33629999999999999</v>
      </c>
      <c r="CE569" s="59">
        <v>0.23649999999999999</v>
      </c>
      <c r="CF569" s="59">
        <v>1.9900000000000001E-2</v>
      </c>
      <c r="CG569" s="59">
        <v>1.9900000000000001E-2</v>
      </c>
      <c r="CH569" s="49">
        <v>10.9</v>
      </c>
      <c r="CI569" s="39" t="s">
        <v>380</v>
      </c>
      <c r="CJ569" s="18" t="s">
        <v>479</v>
      </c>
      <c r="CK569" s="20"/>
    </row>
    <row r="570" spans="1:89" x14ac:dyDescent="0.25">
      <c r="A570" s="18" t="s">
        <v>479</v>
      </c>
      <c r="B570" s="39" t="s">
        <v>379</v>
      </c>
      <c r="C570" s="39" t="s">
        <v>381</v>
      </c>
      <c r="D570" s="40">
        <v>15</v>
      </c>
      <c r="E570" s="40" t="s">
        <v>83</v>
      </c>
      <c r="F570" s="40">
        <v>15</v>
      </c>
      <c r="G570" s="162" t="s">
        <v>83</v>
      </c>
      <c r="H570" s="162" t="s">
        <v>83</v>
      </c>
      <c r="I570" s="163">
        <v>1</v>
      </c>
      <c r="J570" s="163">
        <v>0</v>
      </c>
      <c r="K570" s="163">
        <v>3</v>
      </c>
      <c r="L570" s="163">
        <v>10</v>
      </c>
      <c r="M570" s="163">
        <v>1</v>
      </c>
      <c r="N570" s="115">
        <v>2.4077046548956701E-2</v>
      </c>
      <c r="O570" s="115">
        <v>2.4077046548956701E-2</v>
      </c>
      <c r="P570" s="116" t="s">
        <v>83</v>
      </c>
      <c r="Q570" s="116" t="s">
        <v>83</v>
      </c>
      <c r="R570" s="115">
        <v>1.7857142857142901E-2</v>
      </c>
      <c r="S570" s="115">
        <v>0</v>
      </c>
      <c r="T570" s="115">
        <v>1.7543859649122799E-2</v>
      </c>
      <c r="U570" s="115">
        <v>7.1428571428571397E-2</v>
      </c>
      <c r="V570" s="115">
        <v>7.8125E-3</v>
      </c>
      <c r="W570" s="40">
        <v>570</v>
      </c>
      <c r="X570" s="40">
        <f t="shared" si="44"/>
        <v>570</v>
      </c>
      <c r="Y570" s="40">
        <f t="shared" si="45"/>
        <v>570</v>
      </c>
      <c r="Z570" s="105">
        <v>0.487719298245614</v>
      </c>
      <c r="AA570" s="105">
        <v>0.512280701754386</v>
      </c>
      <c r="AB570" s="106">
        <v>0</v>
      </c>
      <c r="AC570" s="106">
        <v>5.263157894736842E-3</v>
      </c>
      <c r="AD570" s="106">
        <v>0.56666666666666665</v>
      </c>
      <c r="AE570" s="106">
        <v>9.6491228070175433E-2</v>
      </c>
      <c r="AF570" s="106">
        <v>0</v>
      </c>
      <c r="AG570" s="106">
        <v>0.32631578947368423</v>
      </c>
      <c r="AH570" s="106">
        <v>5.263157894736842E-3</v>
      </c>
      <c r="AI570" s="106">
        <v>0.67368421052631577</v>
      </c>
      <c r="AJ570" s="105">
        <v>0.79473684210526319</v>
      </c>
      <c r="AK570" s="105">
        <v>3.3333333333333298E-2</v>
      </c>
      <c r="AL570" s="12">
        <v>0</v>
      </c>
      <c r="AM570" s="12">
        <v>0</v>
      </c>
      <c r="AN570" s="12">
        <v>49</v>
      </c>
      <c r="AO570" s="12">
        <v>113</v>
      </c>
      <c r="AP570" s="12">
        <v>160</v>
      </c>
      <c r="AQ570" s="12">
        <v>123</v>
      </c>
      <c r="AR570" s="12">
        <v>125</v>
      </c>
      <c r="AS570" s="59">
        <v>0.30246913580246915</v>
      </c>
      <c r="AT570" s="3">
        <v>9</v>
      </c>
      <c r="AU570" s="3">
        <v>6</v>
      </c>
      <c r="AV570" s="52">
        <v>68.400000000000006</v>
      </c>
      <c r="AW570" s="52">
        <v>17.8</v>
      </c>
      <c r="AX570" s="52">
        <v>11.7</v>
      </c>
      <c r="AY570" s="71">
        <v>2.1</v>
      </c>
      <c r="AZ570" s="59">
        <v>0.29611650485436891</v>
      </c>
      <c r="BA570" s="59">
        <v>0.24271844660194175</v>
      </c>
      <c r="BB570" s="78">
        <v>90.942116735287001</v>
      </c>
      <c r="BC570" s="49">
        <v>27.358490566037698</v>
      </c>
      <c r="BD570" s="90" t="s">
        <v>83</v>
      </c>
      <c r="BE570" s="90" t="s">
        <v>83</v>
      </c>
      <c r="BF570" s="49">
        <v>0</v>
      </c>
      <c r="BG570" s="49">
        <v>0</v>
      </c>
      <c r="BH570" s="49">
        <v>0</v>
      </c>
      <c r="BI570" s="49">
        <v>0.7</v>
      </c>
      <c r="BJ570" s="49">
        <v>17.5</v>
      </c>
      <c r="BK570" s="126">
        <v>14007</v>
      </c>
      <c r="BL570" s="126">
        <v>48581</v>
      </c>
      <c r="BM570" s="126">
        <v>48633</v>
      </c>
      <c r="BN570" s="126">
        <v>37935</v>
      </c>
      <c r="BO570" s="59">
        <v>0</v>
      </c>
      <c r="BP570" s="59">
        <v>0.31780000000000003</v>
      </c>
      <c r="BQ570" s="59">
        <v>0.20380000000000001</v>
      </c>
      <c r="BR570" s="59">
        <v>0</v>
      </c>
      <c r="BS570" s="59">
        <v>0</v>
      </c>
      <c r="BT570" s="49">
        <v>11.3</v>
      </c>
      <c r="BU570" s="59">
        <f t="shared" si="42"/>
        <v>0.52160000000000006</v>
      </c>
      <c r="BV570" s="59">
        <v>2.46E-2</v>
      </c>
      <c r="BW570" s="59">
        <v>1.21E-2</v>
      </c>
      <c r="BX570" s="59">
        <v>2.7300000000000001E-2</v>
      </c>
      <c r="BY570" s="59">
        <v>0</v>
      </c>
      <c r="BZ570" s="59">
        <v>0</v>
      </c>
      <c r="CA570" s="49">
        <v>26.1</v>
      </c>
      <c r="CB570" s="59">
        <f t="shared" si="43"/>
        <v>6.4000000000000001E-2</v>
      </c>
      <c r="CC570" s="59">
        <v>0.3629</v>
      </c>
      <c r="CD570" s="59">
        <v>0.34229999999999999</v>
      </c>
      <c r="CE570" s="59">
        <v>0.29480000000000001</v>
      </c>
      <c r="CF570" s="59">
        <v>0</v>
      </c>
      <c r="CG570" s="59">
        <v>0</v>
      </c>
      <c r="CH570" s="49">
        <v>12.9</v>
      </c>
      <c r="CI570" s="39" t="s">
        <v>381</v>
      </c>
      <c r="CJ570" s="18" t="s">
        <v>479</v>
      </c>
      <c r="CK570" s="20"/>
    </row>
    <row r="571" spans="1:89" x14ac:dyDescent="0.25">
      <c r="A571" s="18" t="s">
        <v>479</v>
      </c>
      <c r="B571" s="39" t="s">
        <v>482</v>
      </c>
      <c r="C571" s="39" t="s">
        <v>383</v>
      </c>
      <c r="D571" s="40">
        <v>3</v>
      </c>
      <c r="E571" s="40" t="s">
        <v>83</v>
      </c>
      <c r="F571" s="40">
        <v>3</v>
      </c>
      <c r="G571" s="162" t="s">
        <v>83</v>
      </c>
      <c r="H571" s="162" t="s">
        <v>83</v>
      </c>
      <c r="I571" s="163">
        <v>0</v>
      </c>
      <c r="J571" s="163">
        <v>0</v>
      </c>
      <c r="K571" s="163">
        <v>1</v>
      </c>
      <c r="L571" s="163">
        <v>1</v>
      </c>
      <c r="M571" s="163">
        <v>1</v>
      </c>
      <c r="N571" s="115">
        <v>4.2857142857142903E-3</v>
      </c>
      <c r="O571" s="115">
        <v>4.2857142857142903E-3</v>
      </c>
      <c r="P571" s="116" t="s">
        <v>83</v>
      </c>
      <c r="Q571" s="116" t="s">
        <v>83</v>
      </c>
      <c r="R571" s="115">
        <v>0</v>
      </c>
      <c r="S571" s="115">
        <v>0</v>
      </c>
      <c r="T571" s="115">
        <v>5.1813471502590702E-3</v>
      </c>
      <c r="U571" s="115">
        <v>6.7567567567567597E-3</v>
      </c>
      <c r="V571" s="115">
        <v>7.5757575757575803E-3</v>
      </c>
      <c r="W571" s="40">
        <v>657</v>
      </c>
      <c r="X571" s="40">
        <f t="shared" si="44"/>
        <v>657</v>
      </c>
      <c r="Y571" s="40">
        <f t="shared" si="45"/>
        <v>657</v>
      </c>
      <c r="Z571" s="105">
        <v>0.519025875190259</v>
      </c>
      <c r="AA571" s="105">
        <v>0.480974124809741</v>
      </c>
      <c r="AB571" s="106">
        <v>0</v>
      </c>
      <c r="AC571" s="106">
        <v>7.1537290715372903E-2</v>
      </c>
      <c r="AD571" s="106">
        <v>0.46575342465753422</v>
      </c>
      <c r="AE571" s="106">
        <v>5.7838660578386603E-2</v>
      </c>
      <c r="AF571" s="106">
        <v>0</v>
      </c>
      <c r="AG571" s="106">
        <v>0.36986301369863012</v>
      </c>
      <c r="AH571" s="106">
        <v>3.5007610350076102E-2</v>
      </c>
      <c r="AI571" s="106">
        <v>0.63013698630136983</v>
      </c>
      <c r="AJ571" s="105">
        <v>0.75038051750380519</v>
      </c>
      <c r="AK571" s="105">
        <v>3.8051750380517502E-2</v>
      </c>
      <c r="AL571" s="12">
        <v>0</v>
      </c>
      <c r="AM571" s="12">
        <v>0</v>
      </c>
      <c r="AN571" s="12">
        <v>8</v>
      </c>
      <c r="AO571" s="12">
        <v>202</v>
      </c>
      <c r="AP571" s="12">
        <v>177</v>
      </c>
      <c r="AQ571" s="12">
        <v>141</v>
      </c>
      <c r="AR571" s="12">
        <v>129</v>
      </c>
      <c r="AS571" s="59">
        <v>3.8095238095238099E-2</v>
      </c>
      <c r="AT571" s="3">
        <v>9</v>
      </c>
      <c r="AU571" s="3">
        <v>6</v>
      </c>
      <c r="AV571" s="52">
        <v>76.7</v>
      </c>
      <c r="AW571" s="52">
        <v>18.100000000000001</v>
      </c>
      <c r="AX571" s="52">
        <v>4.5</v>
      </c>
      <c r="AY571" s="71">
        <v>0.7</v>
      </c>
      <c r="AZ571" s="59">
        <v>0.30758226037195996</v>
      </c>
      <c r="BA571" s="59">
        <v>0.17024320457796852</v>
      </c>
      <c r="BB571" s="77">
        <v>92.940292057547197</v>
      </c>
      <c r="BC571" s="49">
        <v>20.1408450704225</v>
      </c>
      <c r="BD571" s="90" t="s">
        <v>83</v>
      </c>
      <c r="BE571" s="90" t="s">
        <v>83</v>
      </c>
      <c r="BF571" s="49">
        <v>9.3000000000000007</v>
      </c>
      <c r="BG571" s="49">
        <v>7.1</v>
      </c>
      <c r="BH571" s="49">
        <v>1.7</v>
      </c>
      <c r="BI571" s="49">
        <v>0.8</v>
      </c>
      <c r="BJ571" s="49">
        <v>17.899999999999999</v>
      </c>
      <c r="BK571" s="126">
        <v>11269</v>
      </c>
      <c r="BL571" s="126">
        <v>51457</v>
      </c>
      <c r="BM571" s="126">
        <v>56348</v>
      </c>
      <c r="BN571" s="126">
        <v>39796</v>
      </c>
      <c r="BO571" s="59">
        <v>3.4700000000000002E-2</v>
      </c>
      <c r="BP571" s="59">
        <v>0.3553</v>
      </c>
      <c r="BQ571" s="59">
        <v>0.12790000000000001</v>
      </c>
      <c r="BR571" s="59">
        <v>0</v>
      </c>
      <c r="BS571" s="59">
        <v>1.1299999999999999E-2</v>
      </c>
      <c r="BT571" s="49">
        <v>16.3</v>
      </c>
      <c r="BU571" s="59">
        <f t="shared" si="42"/>
        <v>0.5292</v>
      </c>
      <c r="BV571" s="59">
        <v>2.3099999999999999E-2</v>
      </c>
      <c r="BW571" s="59">
        <v>0</v>
      </c>
      <c r="BX571" s="59">
        <v>3.4700000000000002E-2</v>
      </c>
      <c r="BY571" s="59">
        <v>0</v>
      </c>
      <c r="BZ571" s="59">
        <v>0</v>
      </c>
      <c r="CA571" s="49">
        <v>20.2</v>
      </c>
      <c r="CB571" s="59">
        <f t="shared" si="43"/>
        <v>5.7800000000000004E-2</v>
      </c>
      <c r="CC571" s="59">
        <v>0.41270000000000001</v>
      </c>
      <c r="CD571" s="59">
        <v>0.38</v>
      </c>
      <c r="CE571" s="59">
        <v>0.19600000000000001</v>
      </c>
      <c r="CF571" s="59">
        <v>0</v>
      </c>
      <c r="CG571" s="59">
        <v>1.1299999999999999E-2</v>
      </c>
      <c r="CH571" s="49">
        <v>14</v>
      </c>
      <c r="CI571" s="39" t="s">
        <v>383</v>
      </c>
      <c r="CJ571" s="18" t="s">
        <v>479</v>
      </c>
      <c r="CK571" s="20"/>
    </row>
    <row r="572" spans="1:89" x14ac:dyDescent="0.25">
      <c r="A572" s="18" t="s">
        <v>479</v>
      </c>
      <c r="B572" s="39" t="s">
        <v>482</v>
      </c>
      <c r="C572" s="39" t="s">
        <v>384</v>
      </c>
      <c r="D572" s="40">
        <v>0</v>
      </c>
      <c r="E572" s="40" t="s">
        <v>83</v>
      </c>
      <c r="F572" s="40">
        <v>0</v>
      </c>
      <c r="G572" s="162" t="s">
        <v>83</v>
      </c>
      <c r="H572" s="162" t="s">
        <v>83</v>
      </c>
      <c r="I572" s="163">
        <v>0</v>
      </c>
      <c r="J572" s="163">
        <v>0</v>
      </c>
      <c r="K572" s="163">
        <v>0</v>
      </c>
      <c r="L572" s="163">
        <v>0</v>
      </c>
      <c r="M572" s="163">
        <v>0</v>
      </c>
      <c r="N572" s="115">
        <v>0</v>
      </c>
      <c r="O572" s="115">
        <v>0</v>
      </c>
      <c r="P572" s="116" t="s">
        <v>83</v>
      </c>
      <c r="Q572" s="116" t="s">
        <v>83</v>
      </c>
      <c r="R572" s="115">
        <v>0</v>
      </c>
      <c r="S572" s="115">
        <v>0</v>
      </c>
      <c r="T572" s="115">
        <v>0</v>
      </c>
      <c r="U572" s="115">
        <v>0</v>
      </c>
      <c r="V572" s="115">
        <v>0</v>
      </c>
      <c r="W572" s="40">
        <v>546</v>
      </c>
      <c r="X572" s="40">
        <f t="shared" si="44"/>
        <v>546</v>
      </c>
      <c r="Y572" s="40">
        <f t="shared" si="45"/>
        <v>546</v>
      </c>
      <c r="Z572" s="105">
        <v>0.56410256410256399</v>
      </c>
      <c r="AA572" s="105">
        <v>0.43589743589743601</v>
      </c>
      <c r="AB572" s="106">
        <v>0</v>
      </c>
      <c r="AC572" s="106">
        <v>2.7472527472527472E-2</v>
      </c>
      <c r="AD572" s="106">
        <v>4.2124542124542128E-2</v>
      </c>
      <c r="AE572" s="106">
        <v>1.6483516483516484E-2</v>
      </c>
      <c r="AF572" s="106">
        <v>0</v>
      </c>
      <c r="AG572" s="106">
        <v>0.90293040293040294</v>
      </c>
      <c r="AH572" s="106">
        <v>1.098901098901099E-2</v>
      </c>
      <c r="AI572" s="106">
        <v>9.7069597069597072E-2</v>
      </c>
      <c r="AJ572" s="105">
        <v>0.4249084249084249</v>
      </c>
      <c r="AK572" s="105">
        <v>1.2820512820512799E-2</v>
      </c>
      <c r="AL572" s="12">
        <v>0</v>
      </c>
      <c r="AM572" s="12">
        <v>0</v>
      </c>
      <c r="AN572" s="12">
        <v>5</v>
      </c>
      <c r="AO572" s="12">
        <v>151</v>
      </c>
      <c r="AP572" s="12">
        <v>144</v>
      </c>
      <c r="AQ572" s="12">
        <v>134</v>
      </c>
      <c r="AR572" s="12">
        <v>112</v>
      </c>
      <c r="AS572" s="59">
        <v>3.2051282051282048E-2</v>
      </c>
      <c r="AT572" s="3">
        <v>9</v>
      </c>
      <c r="AU572" s="3">
        <v>6</v>
      </c>
      <c r="AV572" s="52">
        <v>64.5</v>
      </c>
      <c r="AW572" s="52">
        <v>27.5</v>
      </c>
      <c r="AX572" s="52">
        <v>7.6</v>
      </c>
      <c r="AY572" s="71">
        <v>0.4</v>
      </c>
      <c r="AZ572" s="59">
        <v>0.15808170515097691</v>
      </c>
      <c r="BA572" s="59">
        <v>7.9928952042628773E-2</v>
      </c>
      <c r="BB572" s="78">
        <v>95.501551189245106</v>
      </c>
      <c r="BC572" s="49">
        <v>10.801393728222999</v>
      </c>
      <c r="BD572" s="90" t="s">
        <v>83</v>
      </c>
      <c r="BE572" s="90" t="s">
        <v>83</v>
      </c>
      <c r="BF572" s="49">
        <v>0.7</v>
      </c>
      <c r="BG572" s="49">
        <v>0</v>
      </c>
      <c r="BH572" s="49">
        <v>0.9</v>
      </c>
      <c r="BI572" s="49">
        <v>0.8</v>
      </c>
      <c r="BJ572" s="49">
        <v>20.6</v>
      </c>
      <c r="BK572" s="126">
        <v>10476</v>
      </c>
      <c r="BL572" s="126">
        <v>50631</v>
      </c>
      <c r="BM572" s="126">
        <v>49870</v>
      </c>
      <c r="BN572" s="126">
        <v>36892</v>
      </c>
      <c r="BO572" s="59">
        <v>0</v>
      </c>
      <c r="BP572" s="59">
        <v>0.36520000000000002</v>
      </c>
      <c r="BQ572" s="59">
        <v>0.13189999999999999</v>
      </c>
      <c r="BR572" s="59">
        <v>0</v>
      </c>
      <c r="BS572" s="59">
        <v>0</v>
      </c>
      <c r="BT572" s="49">
        <v>17.100000000000001</v>
      </c>
      <c r="BU572" s="59">
        <f t="shared" si="42"/>
        <v>0.49709999999999999</v>
      </c>
      <c r="BV572" s="59">
        <v>2.8899999999999999E-2</v>
      </c>
      <c r="BW572" s="59">
        <v>0</v>
      </c>
      <c r="BX572" s="59">
        <v>1.4500000000000001E-2</v>
      </c>
      <c r="BY572" s="59">
        <v>1.44E-2</v>
      </c>
      <c r="BZ572" s="59">
        <v>0</v>
      </c>
      <c r="CA572" s="49">
        <v>17.5</v>
      </c>
      <c r="CB572" s="59">
        <f t="shared" si="43"/>
        <v>5.7800000000000004E-2</v>
      </c>
      <c r="CC572" s="59">
        <v>0.41439999999999999</v>
      </c>
      <c r="CD572" s="59">
        <v>0.40500000000000003</v>
      </c>
      <c r="CE572" s="59">
        <v>0.1661</v>
      </c>
      <c r="CF572" s="59">
        <v>1.4500000000000001E-2</v>
      </c>
      <c r="CG572" s="59">
        <v>0</v>
      </c>
      <c r="CH572" s="49">
        <v>14.7</v>
      </c>
      <c r="CI572" s="39" t="s">
        <v>384</v>
      </c>
      <c r="CJ572" s="18" t="s">
        <v>479</v>
      </c>
      <c r="CK572" s="20"/>
    </row>
    <row r="573" spans="1:89" x14ac:dyDescent="0.25">
      <c r="A573" s="18" t="s">
        <v>479</v>
      </c>
      <c r="B573" s="39" t="s">
        <v>482</v>
      </c>
      <c r="C573" s="39" t="s">
        <v>385</v>
      </c>
      <c r="D573" s="40">
        <v>1</v>
      </c>
      <c r="E573" s="40">
        <v>0</v>
      </c>
      <c r="F573" s="40">
        <v>1</v>
      </c>
      <c r="G573" s="163">
        <v>0</v>
      </c>
      <c r="H573" s="163">
        <v>0</v>
      </c>
      <c r="I573" s="162" t="s">
        <v>83</v>
      </c>
      <c r="J573" s="163">
        <v>0</v>
      </c>
      <c r="K573" s="163">
        <v>1</v>
      </c>
      <c r="L573" s="163">
        <v>0</v>
      </c>
      <c r="M573" s="163">
        <v>0</v>
      </c>
      <c r="N573" s="115">
        <v>3.8610038610038598E-3</v>
      </c>
      <c r="O573" s="115">
        <v>5.8139534883720903E-3</v>
      </c>
      <c r="P573" s="115">
        <v>0</v>
      </c>
      <c r="Q573" s="115">
        <v>0</v>
      </c>
      <c r="R573" s="116" t="s">
        <v>83</v>
      </c>
      <c r="S573" s="115">
        <v>0</v>
      </c>
      <c r="T573" s="115">
        <v>2.27272727272727E-2</v>
      </c>
      <c r="U573" s="115">
        <v>0</v>
      </c>
      <c r="V573" s="115">
        <v>0</v>
      </c>
      <c r="W573" s="40">
        <v>258</v>
      </c>
      <c r="X573" s="40">
        <f t="shared" si="44"/>
        <v>156</v>
      </c>
      <c r="Y573" s="40">
        <f t="shared" si="45"/>
        <v>230</v>
      </c>
      <c r="Z573" s="105">
        <v>0.51162790697674398</v>
      </c>
      <c r="AA573" s="105">
        <v>0.48837209302325602</v>
      </c>
      <c r="AB573" s="106">
        <v>0</v>
      </c>
      <c r="AC573" s="106">
        <v>0</v>
      </c>
      <c r="AD573" s="106">
        <v>0.10077519379844961</v>
      </c>
      <c r="AE573" s="106">
        <v>3.875968992248062E-3</v>
      </c>
      <c r="AF573" s="106">
        <v>0</v>
      </c>
      <c r="AG573" s="106">
        <v>0.88372093023255816</v>
      </c>
      <c r="AH573" s="106">
        <v>1.1627906976744186E-2</v>
      </c>
      <c r="AI573" s="106">
        <v>0.11627906976744186</v>
      </c>
      <c r="AJ573" s="105">
        <v>0.55813953488372092</v>
      </c>
      <c r="AK573" s="105">
        <v>0</v>
      </c>
      <c r="AL573" s="12">
        <v>39</v>
      </c>
      <c r="AM573" s="12">
        <v>35</v>
      </c>
      <c r="AN573" s="12">
        <v>0</v>
      </c>
      <c r="AO573" s="12">
        <v>46</v>
      </c>
      <c r="AP573" s="12">
        <v>42</v>
      </c>
      <c r="AQ573" s="12">
        <v>40</v>
      </c>
      <c r="AR573" s="12">
        <v>28</v>
      </c>
      <c r="AS573" s="59">
        <v>0</v>
      </c>
      <c r="AT573" s="3">
        <v>6</v>
      </c>
      <c r="AU573" s="3">
        <v>6</v>
      </c>
      <c r="AV573" s="52">
        <v>81.400000000000006</v>
      </c>
      <c r="AW573" s="52">
        <v>17.399999999999999</v>
      </c>
      <c r="AX573" s="52">
        <v>1.2</v>
      </c>
      <c r="AY573" s="70">
        <v>0</v>
      </c>
      <c r="AZ573" s="59">
        <v>0.20962199312714777</v>
      </c>
      <c r="BA573" s="59">
        <v>0.10309278350515463</v>
      </c>
      <c r="BB573" s="77">
        <v>92.826652221018406</v>
      </c>
      <c r="BC573" s="49">
        <v>28.865979381443299</v>
      </c>
      <c r="BD573" s="49">
        <v>2.2999999999999998</v>
      </c>
      <c r="BE573" s="49">
        <v>0</v>
      </c>
      <c r="BF573" s="49">
        <v>2.2000000000000002</v>
      </c>
      <c r="BG573" s="49">
        <v>0</v>
      </c>
      <c r="BH573" s="49">
        <v>2.6</v>
      </c>
      <c r="BI573" s="49">
        <v>0</v>
      </c>
      <c r="BJ573" s="49">
        <v>18.399999999999999</v>
      </c>
      <c r="BK573" s="126">
        <v>12217</v>
      </c>
      <c r="BL573" s="126">
        <v>51265</v>
      </c>
      <c r="BM573" s="126">
        <v>53869</v>
      </c>
      <c r="BN573" s="126">
        <v>39251</v>
      </c>
      <c r="BO573" s="59">
        <v>0</v>
      </c>
      <c r="BP573" s="59">
        <v>0.37890000000000001</v>
      </c>
      <c r="BQ573" s="59">
        <v>7.7200000000000005E-2</v>
      </c>
      <c r="BR573" s="59">
        <v>2.47E-2</v>
      </c>
      <c r="BS573" s="59">
        <v>0</v>
      </c>
      <c r="BT573" s="49">
        <v>14.9</v>
      </c>
      <c r="BU573" s="59">
        <f t="shared" si="42"/>
        <v>0.48080000000000001</v>
      </c>
      <c r="BV573" s="59">
        <v>2.4799999999999999E-2</v>
      </c>
      <c r="BW573" s="59">
        <v>2.3699999999999999E-2</v>
      </c>
      <c r="BX573" s="59">
        <v>2.4799999999999999E-2</v>
      </c>
      <c r="BY573" s="59">
        <v>0</v>
      </c>
      <c r="BZ573" s="59">
        <v>0</v>
      </c>
      <c r="CA573" s="49">
        <v>13.7</v>
      </c>
      <c r="CB573" s="59">
        <f t="shared" si="43"/>
        <v>7.3300000000000004E-2</v>
      </c>
      <c r="CC573" s="59">
        <v>0.39179999999999998</v>
      </c>
      <c r="CD573" s="59">
        <v>0.44700000000000001</v>
      </c>
      <c r="CE573" s="59">
        <v>0.13650000000000001</v>
      </c>
      <c r="CF573" s="59">
        <v>2.4799999999999999E-2</v>
      </c>
      <c r="CG573" s="59">
        <v>0</v>
      </c>
      <c r="CH573" s="49">
        <v>12.3</v>
      </c>
      <c r="CI573" s="39" t="s">
        <v>385</v>
      </c>
      <c r="CJ573" s="18" t="s">
        <v>479</v>
      </c>
      <c r="CK573" s="20"/>
    </row>
    <row r="574" spans="1:89" x14ac:dyDescent="0.25">
      <c r="A574" s="18" t="s">
        <v>479</v>
      </c>
      <c r="B574" s="39" t="s">
        <v>482</v>
      </c>
      <c r="C574" s="39" t="s">
        <v>386</v>
      </c>
      <c r="D574" s="40">
        <v>10</v>
      </c>
      <c r="E574" s="40" t="s">
        <v>83</v>
      </c>
      <c r="F574" s="40">
        <v>10</v>
      </c>
      <c r="G574" s="162" t="s">
        <v>83</v>
      </c>
      <c r="H574" s="162" t="s">
        <v>83</v>
      </c>
      <c r="I574" s="163">
        <v>0</v>
      </c>
      <c r="J574" s="163">
        <v>1</v>
      </c>
      <c r="K574" s="163">
        <v>0</v>
      </c>
      <c r="L574" s="163">
        <v>3</v>
      </c>
      <c r="M574" s="163">
        <v>6</v>
      </c>
      <c r="N574" s="115">
        <v>1.8552875695732801E-2</v>
      </c>
      <c r="O574" s="115">
        <v>1.8552875695732801E-2</v>
      </c>
      <c r="P574" s="116" t="s">
        <v>83</v>
      </c>
      <c r="Q574" s="116" t="s">
        <v>83</v>
      </c>
      <c r="R574" s="115">
        <v>0</v>
      </c>
      <c r="S574" s="115">
        <v>7.8740157480314994E-3</v>
      </c>
      <c r="T574" s="115">
        <v>0</v>
      </c>
      <c r="U574" s="115">
        <v>2.3809523809523801E-2</v>
      </c>
      <c r="V574" s="115">
        <v>4.8780487804878099E-2</v>
      </c>
      <c r="W574" s="40">
        <v>508</v>
      </c>
      <c r="X574" s="40">
        <f t="shared" si="44"/>
        <v>508</v>
      </c>
      <c r="Y574" s="40">
        <f t="shared" si="45"/>
        <v>508</v>
      </c>
      <c r="Z574" s="105">
        <v>0.45472440944881898</v>
      </c>
      <c r="AA574" s="105">
        <v>0.54527559055118102</v>
      </c>
      <c r="AB574" s="106">
        <v>0</v>
      </c>
      <c r="AC574" s="106">
        <v>7.874015748031496E-3</v>
      </c>
      <c r="AD574" s="106">
        <v>8.6614173228346455E-2</v>
      </c>
      <c r="AE574" s="106">
        <v>1.3779527559055118E-2</v>
      </c>
      <c r="AF574" s="106">
        <v>0</v>
      </c>
      <c r="AG574" s="106">
        <v>0.87795275590551181</v>
      </c>
      <c r="AH574" s="106">
        <v>1.3779527559055118E-2</v>
      </c>
      <c r="AI574" s="106">
        <v>0.12204724409448819</v>
      </c>
      <c r="AJ574" s="105">
        <v>0.51968503937007871</v>
      </c>
      <c r="AK574" s="105">
        <v>1.9685039370078701E-3</v>
      </c>
      <c r="AL574" s="12">
        <v>0</v>
      </c>
      <c r="AM574" s="12">
        <v>0</v>
      </c>
      <c r="AN574" s="12">
        <v>12</v>
      </c>
      <c r="AO574" s="12">
        <v>121</v>
      </c>
      <c r="AP574" s="12">
        <v>144</v>
      </c>
      <c r="AQ574" s="12">
        <v>117</v>
      </c>
      <c r="AR574" s="12">
        <v>114</v>
      </c>
      <c r="AS574" s="59">
        <v>9.0225563909774431E-2</v>
      </c>
      <c r="AT574" s="3">
        <v>9</v>
      </c>
      <c r="AU574" s="3">
        <v>6</v>
      </c>
      <c r="AV574" s="52">
        <v>67.3</v>
      </c>
      <c r="AW574" s="52">
        <v>18.8</v>
      </c>
      <c r="AX574" s="52">
        <v>12.9</v>
      </c>
      <c r="AY574" s="71">
        <v>1.1000000000000001</v>
      </c>
      <c r="AZ574" s="59">
        <v>0.1102803738317757</v>
      </c>
      <c r="BA574" s="59">
        <v>8.4112149532710276E-2</v>
      </c>
      <c r="BB574" s="78">
        <v>93.713760350156804</v>
      </c>
      <c r="BC574" s="49">
        <v>28.256880733945</v>
      </c>
      <c r="BD574" s="90" t="s">
        <v>83</v>
      </c>
      <c r="BE574" s="90" t="s">
        <v>83</v>
      </c>
      <c r="BF574" s="49">
        <v>0</v>
      </c>
      <c r="BG574" s="49">
        <v>0.7</v>
      </c>
      <c r="BH574" s="49">
        <v>0.9</v>
      </c>
      <c r="BI574" s="49">
        <v>1.7</v>
      </c>
      <c r="BJ574" s="49">
        <v>19.5</v>
      </c>
      <c r="BK574" s="126">
        <v>9447</v>
      </c>
      <c r="BL574" s="126">
        <v>50187</v>
      </c>
      <c r="BM574" s="126">
        <v>54504</v>
      </c>
      <c r="BN574" s="126">
        <v>41743</v>
      </c>
      <c r="BO574" s="59">
        <v>0</v>
      </c>
      <c r="BP574" s="59">
        <v>0.47920000000000001</v>
      </c>
      <c r="BQ574" s="59">
        <v>7.8700000000000006E-2</v>
      </c>
      <c r="BR574" s="59">
        <v>1.9400000000000001E-2</v>
      </c>
      <c r="BS574" s="59">
        <v>0</v>
      </c>
      <c r="BT574" s="49">
        <v>14.2</v>
      </c>
      <c r="BU574" s="59">
        <f t="shared" si="42"/>
        <v>0.57730000000000004</v>
      </c>
      <c r="BV574" s="59">
        <v>3.8800000000000001E-2</v>
      </c>
      <c r="BW574" s="59">
        <v>0</v>
      </c>
      <c r="BX574" s="59">
        <v>1.9E-2</v>
      </c>
      <c r="BY574" s="59">
        <v>0</v>
      </c>
      <c r="BZ574" s="59">
        <v>1.9400000000000001E-2</v>
      </c>
      <c r="CA574" s="49">
        <v>24.2</v>
      </c>
      <c r="CB574" s="59">
        <f t="shared" si="43"/>
        <v>7.7200000000000005E-2</v>
      </c>
      <c r="CC574" s="59">
        <v>0.32429999999999998</v>
      </c>
      <c r="CD574" s="59">
        <v>0.51480000000000004</v>
      </c>
      <c r="CE574" s="59">
        <v>0.1221</v>
      </c>
      <c r="CF574" s="59">
        <v>1.9400000000000001E-2</v>
      </c>
      <c r="CG574" s="59">
        <v>1.9400000000000001E-2</v>
      </c>
      <c r="CH574" s="49">
        <v>14.2</v>
      </c>
      <c r="CI574" s="39" t="s">
        <v>386</v>
      </c>
      <c r="CJ574" s="18" t="s">
        <v>479</v>
      </c>
      <c r="CK574" s="20"/>
    </row>
    <row r="575" spans="1:89" x14ac:dyDescent="0.25">
      <c r="A575" s="18" t="s">
        <v>479</v>
      </c>
      <c r="B575" s="39" t="s">
        <v>482</v>
      </c>
      <c r="C575" s="39" t="s">
        <v>387</v>
      </c>
      <c r="D575" s="40">
        <v>1</v>
      </c>
      <c r="E575" s="40" t="s">
        <v>83</v>
      </c>
      <c r="F575" s="40">
        <v>1</v>
      </c>
      <c r="G575" s="162" t="s">
        <v>83</v>
      </c>
      <c r="H575" s="162" t="s">
        <v>83</v>
      </c>
      <c r="I575" s="163">
        <v>0</v>
      </c>
      <c r="J575" s="163">
        <v>1</v>
      </c>
      <c r="K575" s="163">
        <v>0</v>
      </c>
      <c r="L575" s="163">
        <v>0</v>
      </c>
      <c r="M575" s="163">
        <v>0</v>
      </c>
      <c r="N575" s="115">
        <v>1.5151515151515199E-3</v>
      </c>
      <c r="O575" s="115">
        <v>1.5151515151515199E-3</v>
      </c>
      <c r="P575" s="116" t="s">
        <v>83</v>
      </c>
      <c r="Q575" s="116" t="s">
        <v>83</v>
      </c>
      <c r="R575" s="115">
        <v>0</v>
      </c>
      <c r="S575" s="115">
        <v>5.40540540540541E-3</v>
      </c>
      <c r="T575" s="115">
        <v>0</v>
      </c>
      <c r="U575" s="115">
        <v>0</v>
      </c>
      <c r="V575" s="115">
        <v>0</v>
      </c>
      <c r="W575" s="40">
        <v>628</v>
      </c>
      <c r="X575" s="40">
        <f t="shared" si="44"/>
        <v>628</v>
      </c>
      <c r="Y575" s="40">
        <f t="shared" si="45"/>
        <v>628</v>
      </c>
      <c r="Z575" s="105">
        <v>0.50159235668789803</v>
      </c>
      <c r="AA575" s="105">
        <v>0.49840764331210202</v>
      </c>
      <c r="AB575" s="106">
        <v>1.5923566878980893E-3</v>
      </c>
      <c r="AC575" s="106">
        <v>1.4331210191082803E-2</v>
      </c>
      <c r="AD575" s="106">
        <v>0.1035031847133758</v>
      </c>
      <c r="AE575" s="106">
        <v>2.3885350318471339E-2</v>
      </c>
      <c r="AF575" s="106">
        <v>1.5923566878980893E-3</v>
      </c>
      <c r="AG575" s="106">
        <v>0.84713375796178347</v>
      </c>
      <c r="AH575" s="106">
        <v>7.9617834394904458E-3</v>
      </c>
      <c r="AI575" s="106">
        <v>0.15286624203821655</v>
      </c>
      <c r="AJ575" s="105">
        <v>0.41560509554140129</v>
      </c>
      <c r="AK575" s="105">
        <v>9.5541401273885294E-3</v>
      </c>
      <c r="AL575" s="12">
        <v>0</v>
      </c>
      <c r="AM575" s="12">
        <v>0</v>
      </c>
      <c r="AN575" s="12">
        <v>4</v>
      </c>
      <c r="AO575" s="12">
        <v>172</v>
      </c>
      <c r="AP575" s="12">
        <v>170</v>
      </c>
      <c r="AQ575" s="12">
        <v>161</v>
      </c>
      <c r="AR575" s="12">
        <v>121</v>
      </c>
      <c r="AS575" s="59">
        <v>2.2727272727272728E-2</v>
      </c>
      <c r="AT575" s="3">
        <v>9</v>
      </c>
      <c r="AU575" s="3">
        <v>6</v>
      </c>
      <c r="AV575" s="52">
        <v>60.7</v>
      </c>
      <c r="AW575" s="52">
        <v>19</v>
      </c>
      <c r="AX575" s="52">
        <v>19.3</v>
      </c>
      <c r="AY575" s="71">
        <v>1</v>
      </c>
      <c r="AZ575" s="59">
        <v>8.0303030303030307E-2</v>
      </c>
      <c r="BA575" s="59">
        <v>5.7575757575757579E-2</v>
      </c>
      <c r="BB575" s="77">
        <v>95.463931655169304</v>
      </c>
      <c r="BC575" s="49">
        <v>17.091454272863601</v>
      </c>
      <c r="BD575" s="90" t="s">
        <v>83</v>
      </c>
      <c r="BE575" s="90" t="s">
        <v>83</v>
      </c>
      <c r="BF575" s="49">
        <v>1.2</v>
      </c>
      <c r="BG575" s="49">
        <v>0</v>
      </c>
      <c r="BH575" s="49">
        <v>2</v>
      </c>
      <c r="BI575" s="49">
        <v>0.8</v>
      </c>
      <c r="BJ575" s="49">
        <v>21.4</v>
      </c>
      <c r="BK575" s="126">
        <v>9460</v>
      </c>
      <c r="BL575" s="126">
        <v>48780</v>
      </c>
      <c r="BM575" s="126">
        <v>46558</v>
      </c>
      <c r="BN575" s="126">
        <v>36088</v>
      </c>
      <c r="BO575" s="59">
        <v>0</v>
      </c>
      <c r="BP575" s="59">
        <v>0.38200000000000001</v>
      </c>
      <c r="BQ575" s="59">
        <v>9.01E-2</v>
      </c>
      <c r="BR575" s="59">
        <v>0</v>
      </c>
      <c r="BS575" s="59">
        <v>1.34E-2</v>
      </c>
      <c r="BT575" s="49">
        <v>12.5</v>
      </c>
      <c r="BU575" s="59">
        <f t="shared" si="42"/>
        <v>0.48550000000000004</v>
      </c>
      <c r="BV575" s="59">
        <v>3.44E-2</v>
      </c>
      <c r="BW575" s="59">
        <v>0</v>
      </c>
      <c r="BX575" s="59">
        <v>2.75E-2</v>
      </c>
      <c r="BY575" s="59">
        <v>0</v>
      </c>
      <c r="BZ575" s="59">
        <v>0</v>
      </c>
      <c r="CA575" s="49">
        <v>17.7</v>
      </c>
      <c r="CB575" s="59">
        <f t="shared" si="43"/>
        <v>6.1899999999999997E-2</v>
      </c>
      <c r="CC575" s="59">
        <v>0.44569999999999999</v>
      </c>
      <c r="CD575" s="59">
        <v>0.40229999999999999</v>
      </c>
      <c r="CE575" s="59">
        <v>0.13819999999999999</v>
      </c>
      <c r="CF575" s="59">
        <v>0</v>
      </c>
      <c r="CG575" s="59">
        <v>1.38E-2</v>
      </c>
      <c r="CH575" s="49">
        <v>11.1</v>
      </c>
      <c r="CI575" s="39" t="s">
        <v>387</v>
      </c>
      <c r="CJ575" s="18" t="s">
        <v>479</v>
      </c>
      <c r="CK575" s="20"/>
    </row>
    <row r="576" spans="1:89" x14ac:dyDescent="0.25">
      <c r="A576" s="18" t="s">
        <v>479</v>
      </c>
      <c r="B576" s="39" t="s">
        <v>388</v>
      </c>
      <c r="C576" s="39" t="s">
        <v>389</v>
      </c>
      <c r="D576" s="40">
        <v>0</v>
      </c>
      <c r="E576" s="40">
        <v>0</v>
      </c>
      <c r="F576" s="40">
        <v>0</v>
      </c>
      <c r="G576" s="163">
        <v>0</v>
      </c>
      <c r="H576" s="163">
        <v>0</v>
      </c>
      <c r="I576" s="162" t="s">
        <v>83</v>
      </c>
      <c r="J576" s="163">
        <v>0</v>
      </c>
      <c r="K576" s="163">
        <v>0</v>
      </c>
      <c r="L576" s="163">
        <v>0</v>
      </c>
      <c r="M576" s="163">
        <v>0</v>
      </c>
      <c r="N576" s="115">
        <v>0</v>
      </c>
      <c r="O576" s="115">
        <v>0</v>
      </c>
      <c r="P576" s="115">
        <v>0</v>
      </c>
      <c r="Q576" s="115">
        <v>0</v>
      </c>
      <c r="R576" s="116" t="s">
        <v>83</v>
      </c>
      <c r="S576" s="115">
        <v>0</v>
      </c>
      <c r="T576" s="115">
        <v>0</v>
      </c>
      <c r="U576" s="115">
        <v>0</v>
      </c>
      <c r="V576" s="115">
        <v>0</v>
      </c>
      <c r="W576" s="40">
        <v>364</v>
      </c>
      <c r="X576" s="40">
        <f t="shared" si="44"/>
        <v>220</v>
      </c>
      <c r="Y576" s="40">
        <f t="shared" si="45"/>
        <v>364</v>
      </c>
      <c r="Z576" s="105">
        <v>0.52472527472527497</v>
      </c>
      <c r="AA576" s="105">
        <v>0.47527472527472497</v>
      </c>
      <c r="AB576" s="106">
        <v>8.241758241758242E-3</v>
      </c>
      <c r="AC576" s="106">
        <v>5.4945054945054949E-3</v>
      </c>
      <c r="AD576" s="106">
        <v>1.9230769230769232E-2</v>
      </c>
      <c r="AE576" s="106">
        <v>2.7472527472527472E-2</v>
      </c>
      <c r="AF576" s="106">
        <v>0</v>
      </c>
      <c r="AG576" s="106">
        <v>0.93681318681318682</v>
      </c>
      <c r="AH576" s="106">
        <v>2.7472527472527475E-3</v>
      </c>
      <c r="AI576" s="106">
        <v>6.3186813186813184E-2</v>
      </c>
      <c r="AJ576" s="105">
        <v>0.42582417582417581</v>
      </c>
      <c r="AK576" s="105">
        <v>0</v>
      </c>
      <c r="AL576" s="12">
        <v>74</v>
      </c>
      <c r="AM576" s="12">
        <v>70</v>
      </c>
      <c r="AN576" s="12">
        <v>0</v>
      </c>
      <c r="AO576" s="12">
        <v>70</v>
      </c>
      <c r="AP576" s="12">
        <v>63</v>
      </c>
      <c r="AQ576" s="12">
        <v>37</v>
      </c>
      <c r="AR576" s="12">
        <v>50</v>
      </c>
      <c r="AS576" s="59">
        <v>0</v>
      </c>
      <c r="AT576" s="3">
        <v>7</v>
      </c>
      <c r="AU576" s="3">
        <v>6</v>
      </c>
      <c r="AV576" s="52">
        <v>78.2</v>
      </c>
      <c r="AW576" s="52">
        <v>18.399999999999999</v>
      </c>
      <c r="AX576" s="52">
        <v>2.7</v>
      </c>
      <c r="AY576" s="71">
        <v>0.8</v>
      </c>
      <c r="AZ576" s="59">
        <v>0</v>
      </c>
      <c r="BA576" s="59">
        <v>0.13715710723192021</v>
      </c>
      <c r="BB576" s="78">
        <v>94.503414182497593</v>
      </c>
      <c r="BC576" s="49">
        <v>23.4413965087282</v>
      </c>
      <c r="BD576" s="49">
        <v>9</v>
      </c>
      <c r="BE576" s="49">
        <v>1.7</v>
      </c>
      <c r="BF576" s="49">
        <v>0</v>
      </c>
      <c r="BG576" s="49">
        <v>1.9</v>
      </c>
      <c r="BH576" s="49">
        <v>0</v>
      </c>
      <c r="BI576" s="49">
        <v>0</v>
      </c>
      <c r="BJ576" s="49">
        <v>22.7</v>
      </c>
      <c r="BK576" s="126">
        <v>10948</v>
      </c>
      <c r="BL576" s="126">
        <v>51880</v>
      </c>
      <c r="BM576" s="126">
        <v>24779</v>
      </c>
      <c r="BN576" s="126">
        <v>37718</v>
      </c>
      <c r="BO576" s="59">
        <v>0</v>
      </c>
      <c r="BP576" s="59">
        <v>0.35659999999999997</v>
      </c>
      <c r="BQ576" s="59">
        <v>0.1376</v>
      </c>
      <c r="BR576" s="59">
        <v>0</v>
      </c>
      <c r="BS576" s="59">
        <v>0</v>
      </c>
      <c r="BT576" s="49">
        <v>19.399999999999999</v>
      </c>
      <c r="BU576" s="59">
        <f t="shared" si="42"/>
        <v>0.49419999999999997</v>
      </c>
      <c r="BV576" s="59">
        <v>0.04</v>
      </c>
      <c r="BW576" s="59">
        <v>0</v>
      </c>
      <c r="BX576" s="59">
        <v>2.24E-2</v>
      </c>
      <c r="BY576" s="59">
        <v>0</v>
      </c>
      <c r="BZ576" s="59">
        <v>0</v>
      </c>
      <c r="CA576" s="49">
        <v>20.399999999999999</v>
      </c>
      <c r="CB576" s="59">
        <f t="shared" si="43"/>
        <v>6.2399999999999997E-2</v>
      </c>
      <c r="CC576" s="59">
        <v>0.42</v>
      </c>
      <c r="CD576" s="59">
        <v>0.4</v>
      </c>
      <c r="CE576" s="59">
        <v>0.18</v>
      </c>
      <c r="CF576" s="59">
        <v>0</v>
      </c>
      <c r="CG576" s="59">
        <v>0</v>
      </c>
      <c r="CH576" s="49">
        <v>17.899999999999999</v>
      </c>
      <c r="CI576" s="39" t="s">
        <v>389</v>
      </c>
      <c r="CJ576" s="18" t="s">
        <v>479</v>
      </c>
      <c r="CK576" s="20"/>
    </row>
    <row r="577" spans="1:89" x14ac:dyDescent="0.25">
      <c r="A577" s="18" t="s">
        <v>479</v>
      </c>
      <c r="B577" s="39" t="s">
        <v>388</v>
      </c>
      <c r="C577" s="39" t="s">
        <v>390</v>
      </c>
      <c r="D577" s="40">
        <v>1</v>
      </c>
      <c r="E577" s="40">
        <v>1</v>
      </c>
      <c r="F577" s="40">
        <v>0</v>
      </c>
      <c r="G577" s="163">
        <v>0</v>
      </c>
      <c r="H577" s="163">
        <v>1</v>
      </c>
      <c r="I577" s="162" t="s">
        <v>83</v>
      </c>
      <c r="J577" s="163">
        <v>0</v>
      </c>
      <c r="K577" s="163">
        <v>0</v>
      </c>
      <c r="L577" s="163">
        <v>0</v>
      </c>
      <c r="M577" s="163">
        <v>0</v>
      </c>
      <c r="N577" s="115">
        <v>5.8479532163742704E-3</v>
      </c>
      <c r="O577" s="115">
        <v>0</v>
      </c>
      <c r="P577" s="115">
        <v>0</v>
      </c>
      <c r="Q577" s="115">
        <v>3.125E-2</v>
      </c>
      <c r="R577" s="116" t="s">
        <v>83</v>
      </c>
      <c r="S577" s="115">
        <v>0</v>
      </c>
      <c r="T577" s="115">
        <v>0</v>
      </c>
      <c r="U577" s="115">
        <v>0</v>
      </c>
      <c r="V577" s="115">
        <v>0</v>
      </c>
      <c r="W577" s="40">
        <v>382</v>
      </c>
      <c r="X577" s="40">
        <f t="shared" si="44"/>
        <v>105</v>
      </c>
      <c r="Y577" s="40">
        <f t="shared" si="45"/>
        <v>161</v>
      </c>
      <c r="Z577" s="105">
        <v>0.5</v>
      </c>
      <c r="AA577" s="105">
        <v>0.5</v>
      </c>
      <c r="AB577" s="106">
        <v>1.3089005235602094E-2</v>
      </c>
      <c r="AC577" s="106">
        <v>0</v>
      </c>
      <c r="AD577" s="106">
        <v>2.617801047120419E-3</v>
      </c>
      <c r="AE577" s="106">
        <v>2.6178010471204188E-2</v>
      </c>
      <c r="AF577" s="106">
        <v>2.617801047120419E-3</v>
      </c>
      <c r="AG577" s="106">
        <v>0.95287958115183247</v>
      </c>
      <c r="AH577" s="106">
        <v>2.617801047120419E-3</v>
      </c>
      <c r="AI577" s="106">
        <v>4.712041884816754E-2</v>
      </c>
      <c r="AJ577" s="105">
        <v>0.6413612565445026</v>
      </c>
      <c r="AK577" s="105">
        <v>0</v>
      </c>
      <c r="AL577" s="12">
        <v>28</v>
      </c>
      <c r="AM577" s="12">
        <v>28</v>
      </c>
      <c r="AN577" s="12">
        <v>0</v>
      </c>
      <c r="AO577" s="12">
        <v>31</v>
      </c>
      <c r="AP577" s="12">
        <v>26</v>
      </c>
      <c r="AQ577" s="12">
        <v>25</v>
      </c>
      <c r="AR577" s="12">
        <v>23</v>
      </c>
      <c r="AS577" s="59">
        <v>0</v>
      </c>
      <c r="AT577" s="3">
        <v>1</v>
      </c>
      <c r="AU577" s="3">
        <v>6</v>
      </c>
      <c r="AV577" s="52">
        <v>85.3</v>
      </c>
      <c r="AW577" s="52">
        <v>4.2</v>
      </c>
      <c r="AX577" s="52">
        <v>10</v>
      </c>
      <c r="AY577" s="71">
        <v>0.5</v>
      </c>
      <c r="AZ577" s="59">
        <v>4.7961630695443642E-3</v>
      </c>
      <c r="BA577" s="59">
        <v>5.9952038369304558E-2</v>
      </c>
      <c r="BB577" s="77">
        <v>93.941012869062405</v>
      </c>
      <c r="BC577" s="49">
        <v>27.341772151898699</v>
      </c>
      <c r="BD577" s="49">
        <v>3.8</v>
      </c>
      <c r="BE577" s="49">
        <v>0</v>
      </c>
      <c r="BF577" s="49">
        <v>0</v>
      </c>
      <c r="BG577" s="49">
        <v>0</v>
      </c>
      <c r="BH577" s="49">
        <v>0</v>
      </c>
      <c r="BI577" s="49">
        <v>4.3</v>
      </c>
      <c r="BJ577" s="49">
        <v>21.6</v>
      </c>
      <c r="BK577" s="126">
        <v>11395</v>
      </c>
      <c r="BL577" s="126">
        <v>47996</v>
      </c>
      <c r="BM577" s="126">
        <v>46625</v>
      </c>
      <c r="BN577" s="126">
        <v>36741</v>
      </c>
      <c r="BO577" s="59">
        <v>0</v>
      </c>
      <c r="BP577" s="59">
        <v>0.41139999999999999</v>
      </c>
      <c r="BQ577" s="59">
        <v>8.5300000000000001E-2</v>
      </c>
      <c r="BR577" s="59">
        <v>0</v>
      </c>
      <c r="BS577" s="59">
        <v>0</v>
      </c>
      <c r="BT577" s="49">
        <v>11.1</v>
      </c>
      <c r="BU577" s="59">
        <f t="shared" si="42"/>
        <v>0.49669999999999997</v>
      </c>
      <c r="BV577" s="59">
        <v>3.44E-2</v>
      </c>
      <c r="BW577" s="59">
        <v>1.72E-2</v>
      </c>
      <c r="BX577" s="59">
        <v>1.72E-2</v>
      </c>
      <c r="BY577" s="59">
        <v>0</v>
      </c>
      <c r="BZ577" s="59">
        <v>0</v>
      </c>
      <c r="CA577" s="49">
        <v>17.7</v>
      </c>
      <c r="CB577" s="59">
        <f t="shared" si="43"/>
        <v>6.88E-2</v>
      </c>
      <c r="CC577" s="59">
        <v>0.43169999999999997</v>
      </c>
      <c r="CD577" s="59">
        <v>0.44779999999999998</v>
      </c>
      <c r="CE577" s="59">
        <v>0.1205</v>
      </c>
      <c r="CF577" s="59">
        <v>0</v>
      </c>
      <c r="CG577" s="59">
        <v>0</v>
      </c>
      <c r="CH577" s="49">
        <v>11.1</v>
      </c>
      <c r="CI577" s="39" t="s">
        <v>390</v>
      </c>
      <c r="CJ577" s="18" t="s">
        <v>479</v>
      </c>
      <c r="CK577" s="20"/>
    </row>
    <row r="578" spans="1:89" x14ac:dyDescent="0.25">
      <c r="A578" s="18" t="s">
        <v>479</v>
      </c>
      <c r="B578" s="39" t="s">
        <v>388</v>
      </c>
      <c r="C578" s="39" t="s">
        <v>391</v>
      </c>
      <c r="D578" s="40">
        <v>0</v>
      </c>
      <c r="E578" s="40">
        <v>0</v>
      </c>
      <c r="F578" s="40">
        <v>0</v>
      </c>
      <c r="G578" s="163">
        <v>0</v>
      </c>
      <c r="H578" s="163">
        <v>0</v>
      </c>
      <c r="I578" s="162" t="s">
        <v>83</v>
      </c>
      <c r="J578" s="163">
        <v>0</v>
      </c>
      <c r="K578" s="163">
        <v>0</v>
      </c>
      <c r="L578" s="163">
        <v>0</v>
      </c>
      <c r="M578" s="163">
        <v>0</v>
      </c>
      <c r="N578" s="115">
        <v>0</v>
      </c>
      <c r="O578" s="115">
        <v>0</v>
      </c>
      <c r="P578" s="115">
        <v>0</v>
      </c>
      <c r="Q578" s="115">
        <v>0</v>
      </c>
      <c r="R578" s="116" t="s">
        <v>83</v>
      </c>
      <c r="S578" s="115">
        <v>0</v>
      </c>
      <c r="T578" s="115">
        <v>0</v>
      </c>
      <c r="U578" s="115">
        <v>0</v>
      </c>
      <c r="V578" s="115">
        <v>0</v>
      </c>
      <c r="W578" s="40">
        <v>352</v>
      </c>
      <c r="X578" s="40">
        <f t="shared" si="44"/>
        <v>105</v>
      </c>
      <c r="Y578" s="40">
        <f t="shared" si="45"/>
        <v>169</v>
      </c>
      <c r="Z578" s="105">
        <v>0.48295454545454503</v>
      </c>
      <c r="AA578" s="105">
        <v>0.51704545454545503</v>
      </c>
      <c r="AB578" s="106">
        <v>8.5227272727272721E-3</v>
      </c>
      <c r="AC578" s="106">
        <v>0</v>
      </c>
      <c r="AD578" s="106">
        <v>5.681818181818182E-3</v>
      </c>
      <c r="AE578" s="106">
        <v>1.7045454545454544E-2</v>
      </c>
      <c r="AF578" s="106">
        <v>0</v>
      </c>
      <c r="AG578" s="106">
        <v>0.96590909090909094</v>
      </c>
      <c r="AH578" s="106">
        <v>2.840909090909091E-3</v>
      </c>
      <c r="AI578" s="106">
        <v>3.4090909090909088E-2</v>
      </c>
      <c r="AJ578" s="105">
        <v>0.51420454545454541</v>
      </c>
      <c r="AK578" s="105">
        <v>8.5227272727272704E-3</v>
      </c>
      <c r="AL578" s="12">
        <v>30</v>
      </c>
      <c r="AM578" s="12">
        <v>34</v>
      </c>
      <c r="AN578" s="12">
        <v>0</v>
      </c>
      <c r="AO578" s="12">
        <v>22</v>
      </c>
      <c r="AP578" s="12">
        <v>31</v>
      </c>
      <c r="AQ578" s="12">
        <v>25</v>
      </c>
      <c r="AR578" s="12">
        <v>27</v>
      </c>
      <c r="AS578" s="59">
        <v>0</v>
      </c>
      <c r="AT578" s="3">
        <v>1</v>
      </c>
      <c r="AU578" s="3">
        <v>6</v>
      </c>
      <c r="AV578" s="52">
        <v>75.7</v>
      </c>
      <c r="AW578" s="52">
        <v>10.3</v>
      </c>
      <c r="AX578" s="52">
        <v>11.9</v>
      </c>
      <c r="AY578" s="71">
        <v>2.2000000000000002</v>
      </c>
      <c r="AZ578" s="59">
        <v>5.7071960297766747E-2</v>
      </c>
      <c r="BA578" s="59">
        <v>8.9330024813895778E-2</v>
      </c>
      <c r="BB578" s="78">
        <v>94.032397655089099</v>
      </c>
      <c r="BC578" s="49">
        <v>34.545454545454497</v>
      </c>
      <c r="BD578" s="49">
        <v>3.4</v>
      </c>
      <c r="BE578" s="49">
        <v>3.2</v>
      </c>
      <c r="BF578" s="49">
        <v>0</v>
      </c>
      <c r="BG578" s="49">
        <v>0</v>
      </c>
      <c r="BH578" s="49">
        <v>0</v>
      </c>
      <c r="BI578" s="49">
        <v>0</v>
      </c>
      <c r="BJ578" s="49">
        <v>19.5</v>
      </c>
      <c r="BK578" s="126">
        <v>10801</v>
      </c>
      <c r="BL578" s="126">
        <v>49329</v>
      </c>
      <c r="BM578" s="126">
        <v>48403</v>
      </c>
      <c r="BN578" s="126">
        <v>37332</v>
      </c>
      <c r="BO578" s="59">
        <v>0</v>
      </c>
      <c r="BP578" s="59">
        <v>0.38890000000000002</v>
      </c>
      <c r="BQ578" s="59">
        <v>5.8799999999999998E-2</v>
      </c>
      <c r="BR578" s="59">
        <v>0</v>
      </c>
      <c r="BS578" s="59">
        <v>0</v>
      </c>
      <c r="BT578" s="49">
        <v>14.6</v>
      </c>
      <c r="BU578" s="59">
        <f t="shared" si="42"/>
        <v>0.44770000000000004</v>
      </c>
      <c r="BV578" s="59">
        <v>3.9199999999999999E-2</v>
      </c>
      <c r="BW578" s="59">
        <v>1.9599999999999999E-2</v>
      </c>
      <c r="BX578" s="59">
        <v>1.9599999999999999E-2</v>
      </c>
      <c r="BY578" s="59">
        <v>0</v>
      </c>
      <c r="BZ578" s="59">
        <v>0</v>
      </c>
      <c r="CA578" s="49">
        <v>23.8</v>
      </c>
      <c r="CB578" s="59">
        <f t="shared" si="43"/>
        <v>7.8399999999999997E-2</v>
      </c>
      <c r="CC578" s="59">
        <v>0.47060000000000002</v>
      </c>
      <c r="CD578" s="59">
        <v>0.43140000000000001</v>
      </c>
      <c r="CE578" s="59">
        <v>9.8000000000000004E-2</v>
      </c>
      <c r="CF578" s="59">
        <v>0</v>
      </c>
      <c r="CG578" s="59">
        <v>0</v>
      </c>
      <c r="CH578" s="49">
        <v>15.4</v>
      </c>
      <c r="CI578" s="39" t="s">
        <v>391</v>
      </c>
      <c r="CJ578" s="18" t="s">
        <v>479</v>
      </c>
      <c r="CK578" s="20"/>
    </row>
    <row r="579" spans="1:89" x14ac:dyDescent="0.25">
      <c r="A579" s="18" t="s">
        <v>479</v>
      </c>
      <c r="B579" s="39" t="s">
        <v>388</v>
      </c>
      <c r="C579" s="39" t="s">
        <v>392</v>
      </c>
      <c r="D579" s="40">
        <v>1</v>
      </c>
      <c r="E579" s="40">
        <v>0</v>
      </c>
      <c r="F579" s="40">
        <v>1</v>
      </c>
      <c r="G579" s="163">
        <v>0</v>
      </c>
      <c r="H579" s="163">
        <v>0</v>
      </c>
      <c r="I579" s="162" t="s">
        <v>83</v>
      </c>
      <c r="J579" s="163">
        <v>0</v>
      </c>
      <c r="K579" s="163">
        <v>0</v>
      </c>
      <c r="L579" s="163">
        <v>1</v>
      </c>
      <c r="M579" s="163">
        <v>0</v>
      </c>
      <c r="N579" s="115">
        <v>5.1546391752577301E-3</v>
      </c>
      <c r="O579" s="115">
        <v>8.3333333333333297E-3</v>
      </c>
      <c r="P579" s="115">
        <v>0</v>
      </c>
      <c r="Q579" s="115">
        <v>0</v>
      </c>
      <c r="R579" s="116" t="s">
        <v>83</v>
      </c>
      <c r="S579" s="115">
        <v>0</v>
      </c>
      <c r="T579" s="115">
        <v>0</v>
      </c>
      <c r="U579" s="115">
        <v>3.03030303030303E-2</v>
      </c>
      <c r="V579" s="115">
        <v>0</v>
      </c>
      <c r="W579" s="40">
        <v>402</v>
      </c>
      <c r="X579" s="40">
        <f t="shared" si="44"/>
        <v>113</v>
      </c>
      <c r="Y579" s="40">
        <f t="shared" si="45"/>
        <v>180</v>
      </c>
      <c r="Z579" s="105">
        <v>0.47512437810945302</v>
      </c>
      <c r="AA579" s="105">
        <v>0.52487562189054704</v>
      </c>
      <c r="AB579" s="106">
        <v>2.2388059701492536E-2</v>
      </c>
      <c r="AC579" s="106">
        <v>0</v>
      </c>
      <c r="AD579" s="106">
        <v>0</v>
      </c>
      <c r="AE579" s="106">
        <v>2.4875621890547265E-2</v>
      </c>
      <c r="AF579" s="106">
        <v>2.4875621890547263E-3</v>
      </c>
      <c r="AG579" s="106">
        <v>0.94278606965174128</v>
      </c>
      <c r="AH579" s="106">
        <v>7.462686567164179E-3</v>
      </c>
      <c r="AI579" s="106">
        <v>5.721393034825871E-2</v>
      </c>
      <c r="AJ579" s="105">
        <v>0.48258706467661694</v>
      </c>
      <c r="AK579" s="105">
        <v>0</v>
      </c>
      <c r="AL579" s="12">
        <v>32</v>
      </c>
      <c r="AM579" s="12">
        <v>35</v>
      </c>
      <c r="AN579" s="12">
        <v>0</v>
      </c>
      <c r="AO579" s="12">
        <v>19</v>
      </c>
      <c r="AP579" s="12">
        <v>32</v>
      </c>
      <c r="AQ579" s="12">
        <v>30</v>
      </c>
      <c r="AR579" s="12">
        <v>32</v>
      </c>
      <c r="AS579" s="59">
        <v>0</v>
      </c>
      <c r="AT579" s="3">
        <v>1</v>
      </c>
      <c r="AU579" s="3">
        <v>6</v>
      </c>
      <c r="AV579" s="52">
        <v>93.1</v>
      </c>
      <c r="AW579" s="52">
        <v>4</v>
      </c>
      <c r="AX579" s="52">
        <v>3</v>
      </c>
      <c r="AY579" s="70">
        <v>0</v>
      </c>
      <c r="AZ579" s="59">
        <v>9.1324200913242004E-3</v>
      </c>
      <c r="BA579" s="59">
        <v>0.1095890410958904</v>
      </c>
      <c r="BB579" s="77">
        <v>93.960420731439001</v>
      </c>
      <c r="BC579" s="49">
        <v>45.605700712589098</v>
      </c>
      <c r="BD579" s="49">
        <v>6.5</v>
      </c>
      <c r="BE579" s="49">
        <v>10.3</v>
      </c>
      <c r="BF579" s="49">
        <v>0</v>
      </c>
      <c r="BG579" s="49">
        <v>0</v>
      </c>
      <c r="BH579" s="49">
        <v>0</v>
      </c>
      <c r="BI579" s="49">
        <v>0</v>
      </c>
      <c r="BJ579" s="49">
        <v>22</v>
      </c>
      <c r="BK579" s="126">
        <v>12073</v>
      </c>
      <c r="BL579" s="126">
        <v>49557</v>
      </c>
      <c r="BM579" s="126">
        <v>47280</v>
      </c>
      <c r="BN579" s="126">
        <v>39623</v>
      </c>
      <c r="BO579" s="59">
        <v>0</v>
      </c>
      <c r="BP579" s="59">
        <v>0.40949999999999998</v>
      </c>
      <c r="BQ579" s="59">
        <v>0.1143</v>
      </c>
      <c r="BR579" s="59">
        <v>0</v>
      </c>
      <c r="BS579" s="59">
        <v>0</v>
      </c>
      <c r="BT579" s="49">
        <v>14.3</v>
      </c>
      <c r="BU579" s="59">
        <f t="shared" ref="BU579:BU642" si="46">SUM(BO579:BS579)</f>
        <v>0.52379999999999993</v>
      </c>
      <c r="BV579" s="59">
        <v>3.27E-2</v>
      </c>
      <c r="BW579" s="59">
        <v>0</v>
      </c>
      <c r="BX579" s="59">
        <v>3.2399999999999998E-2</v>
      </c>
      <c r="BY579" s="59">
        <v>0</v>
      </c>
      <c r="BZ579" s="59">
        <v>0</v>
      </c>
      <c r="CA579" s="49">
        <v>22.5</v>
      </c>
      <c r="CB579" s="59">
        <f t="shared" ref="CB579:CB642" si="47">SUM(BV579:BZ579)</f>
        <v>6.5099999999999991E-2</v>
      </c>
      <c r="CC579" s="59">
        <v>0.40820000000000001</v>
      </c>
      <c r="CD579" s="59">
        <v>0.42849999999999999</v>
      </c>
      <c r="CE579" s="59">
        <v>0.1633</v>
      </c>
      <c r="CF579" s="59">
        <v>0</v>
      </c>
      <c r="CG579" s="59">
        <v>0</v>
      </c>
      <c r="CH579" s="49">
        <v>15</v>
      </c>
      <c r="CI579" s="39" t="s">
        <v>392</v>
      </c>
      <c r="CJ579" s="18" t="s">
        <v>479</v>
      </c>
      <c r="CK579" s="20"/>
    </row>
    <row r="580" spans="1:89" x14ac:dyDescent="0.25">
      <c r="A580" s="18" t="s">
        <v>479</v>
      </c>
      <c r="B580" s="39" t="s">
        <v>388</v>
      </c>
      <c r="C580" s="39" t="s">
        <v>393</v>
      </c>
      <c r="D580" s="40">
        <v>20</v>
      </c>
      <c r="E580" s="40" t="s">
        <v>83</v>
      </c>
      <c r="F580" s="40">
        <v>20</v>
      </c>
      <c r="G580" s="162" t="s">
        <v>83</v>
      </c>
      <c r="H580" s="162" t="s">
        <v>83</v>
      </c>
      <c r="I580" s="163">
        <v>0</v>
      </c>
      <c r="J580" s="163">
        <v>3</v>
      </c>
      <c r="K580" s="163">
        <v>2</v>
      </c>
      <c r="L580" s="163">
        <v>7</v>
      </c>
      <c r="M580" s="163">
        <v>8</v>
      </c>
      <c r="N580" s="115">
        <v>2.2522522522522501E-2</v>
      </c>
      <c r="O580" s="115">
        <v>2.2522522522522501E-2</v>
      </c>
      <c r="P580" s="116" t="s">
        <v>83</v>
      </c>
      <c r="Q580" s="116" t="s">
        <v>83</v>
      </c>
      <c r="R580" s="115">
        <v>0</v>
      </c>
      <c r="S580" s="115">
        <v>1.2096774193548401E-2</v>
      </c>
      <c r="T580" s="115">
        <v>9.9502487562189105E-3</v>
      </c>
      <c r="U580" s="115">
        <v>3.11111111111111E-2</v>
      </c>
      <c r="V580" s="115">
        <v>3.8647342995169101E-2</v>
      </c>
      <c r="W580" s="40">
        <v>787</v>
      </c>
      <c r="X580" s="40">
        <f t="shared" si="44"/>
        <v>787</v>
      </c>
      <c r="Y580" s="40">
        <f t="shared" si="45"/>
        <v>787</v>
      </c>
      <c r="Z580" s="105">
        <v>0.45616264294790299</v>
      </c>
      <c r="AA580" s="105">
        <v>0.54383735705209701</v>
      </c>
      <c r="AB580" s="106">
        <v>1.0165184243964422E-2</v>
      </c>
      <c r="AC580" s="106">
        <v>2.795425667090216E-2</v>
      </c>
      <c r="AD580" s="106">
        <v>0.36848792884371029</v>
      </c>
      <c r="AE580" s="106">
        <v>7.7509529860228715E-2</v>
      </c>
      <c r="AF580" s="106">
        <v>1.397712833545108E-2</v>
      </c>
      <c r="AG580" s="106">
        <v>0.47013977128335449</v>
      </c>
      <c r="AH580" s="106">
        <v>3.176620076238882E-2</v>
      </c>
      <c r="AI580" s="106">
        <v>0.52986022871664551</v>
      </c>
      <c r="AJ580" s="105">
        <v>0.38373570520965694</v>
      </c>
      <c r="AK580" s="105">
        <v>1.77890724269377E-2</v>
      </c>
      <c r="AL580" s="12">
        <v>0</v>
      </c>
      <c r="AM580" s="12">
        <v>0</v>
      </c>
      <c r="AN580" s="12">
        <v>7</v>
      </c>
      <c r="AO580" s="12">
        <v>216</v>
      </c>
      <c r="AP580" s="12">
        <v>178</v>
      </c>
      <c r="AQ580" s="12">
        <v>199</v>
      </c>
      <c r="AR580" s="12">
        <v>187</v>
      </c>
      <c r="AS580" s="59">
        <v>3.1390134529147982E-2</v>
      </c>
      <c r="AT580" s="3">
        <v>9</v>
      </c>
      <c r="AU580" s="3">
        <v>6</v>
      </c>
      <c r="AV580" s="52">
        <v>54.5</v>
      </c>
      <c r="AW580" s="52">
        <v>25</v>
      </c>
      <c r="AX580" s="52">
        <v>20</v>
      </c>
      <c r="AY580" s="71">
        <v>0.5</v>
      </c>
      <c r="AZ580" s="59">
        <v>0.2144469525959368</v>
      </c>
      <c r="BA580" s="59">
        <v>0.15688487584650113</v>
      </c>
      <c r="BB580" s="78">
        <v>92.799091179976202</v>
      </c>
      <c r="BC580" s="49">
        <v>27.9594137542277</v>
      </c>
      <c r="BD580" s="90" t="s">
        <v>83</v>
      </c>
      <c r="BE580" s="90" t="s">
        <v>83</v>
      </c>
      <c r="BF580" s="49">
        <v>0.5</v>
      </c>
      <c r="BG580" s="49">
        <v>2.2000000000000002</v>
      </c>
      <c r="BH580" s="49">
        <v>0.6</v>
      </c>
      <c r="BI580" s="49">
        <v>2.8</v>
      </c>
      <c r="BJ580" s="49">
        <v>20</v>
      </c>
      <c r="BK580" s="126">
        <v>9854</v>
      </c>
      <c r="BL580" s="126">
        <v>48850</v>
      </c>
      <c r="BM580" s="126">
        <v>47102</v>
      </c>
      <c r="BN580" s="126">
        <v>42351</v>
      </c>
      <c r="BO580" s="59">
        <v>1.1599999999999999E-2</v>
      </c>
      <c r="BP580" s="59">
        <v>0.36459999999999998</v>
      </c>
      <c r="BQ580" s="59">
        <v>0.25330000000000003</v>
      </c>
      <c r="BR580" s="59">
        <v>1.1599999999999999E-2</v>
      </c>
      <c r="BS580" s="59">
        <v>0</v>
      </c>
      <c r="BT580" s="49">
        <v>12</v>
      </c>
      <c r="BU580" s="59">
        <f t="shared" si="46"/>
        <v>0.6411</v>
      </c>
      <c r="BV580" s="59">
        <v>3.49E-2</v>
      </c>
      <c r="BW580" s="59">
        <v>2.3099999999999999E-2</v>
      </c>
      <c r="BX580" s="59">
        <v>3.49E-2</v>
      </c>
      <c r="BY580" s="59">
        <v>0</v>
      </c>
      <c r="BZ580" s="59">
        <v>0</v>
      </c>
      <c r="CA580" s="49">
        <v>17.2</v>
      </c>
      <c r="CB580" s="59">
        <f t="shared" si="47"/>
        <v>9.2899999999999996E-2</v>
      </c>
      <c r="CC580" s="59">
        <v>0.23930000000000001</v>
      </c>
      <c r="CD580" s="59">
        <v>0.43519999999999998</v>
      </c>
      <c r="CE580" s="59">
        <v>0.31390000000000001</v>
      </c>
      <c r="CF580" s="59">
        <v>1.1599999999999999E-2</v>
      </c>
      <c r="CG580" s="59">
        <v>0</v>
      </c>
      <c r="CH580" s="49">
        <v>13.1</v>
      </c>
      <c r="CI580" s="39" t="s">
        <v>393</v>
      </c>
      <c r="CJ580" s="18" t="s">
        <v>479</v>
      </c>
      <c r="CK580" s="20"/>
    </row>
    <row r="581" spans="1:89" x14ac:dyDescent="0.25">
      <c r="A581" s="18" t="s">
        <v>479</v>
      </c>
      <c r="B581" s="39" t="s">
        <v>388</v>
      </c>
      <c r="C581" s="39" t="s">
        <v>394</v>
      </c>
      <c r="D581" s="40">
        <v>12</v>
      </c>
      <c r="E581" s="40">
        <v>2</v>
      </c>
      <c r="F581" s="40">
        <v>10</v>
      </c>
      <c r="G581" s="163">
        <v>1</v>
      </c>
      <c r="H581" s="163">
        <v>1</v>
      </c>
      <c r="I581" s="162" t="s">
        <v>83</v>
      </c>
      <c r="J581" s="163">
        <v>1</v>
      </c>
      <c r="K581" s="163">
        <v>1</v>
      </c>
      <c r="L581" s="163">
        <v>6</v>
      </c>
      <c r="M581" s="163">
        <v>2</v>
      </c>
      <c r="N581" s="115">
        <v>1.6666666666666701E-2</v>
      </c>
      <c r="O581" s="115">
        <v>2.2883295194508001E-2</v>
      </c>
      <c r="P581" s="115">
        <v>6.6225165562913899E-3</v>
      </c>
      <c r="Q581" s="115">
        <v>7.5757575757575803E-3</v>
      </c>
      <c r="R581" s="116" t="s">
        <v>83</v>
      </c>
      <c r="S581" s="115">
        <v>6.6225165562913899E-3</v>
      </c>
      <c r="T581" s="115">
        <v>1.01010101010101E-2</v>
      </c>
      <c r="U581" s="115">
        <v>5.9405940594059403E-2</v>
      </c>
      <c r="V581" s="115">
        <v>2.32558139534884E-2</v>
      </c>
      <c r="W581" s="40">
        <v>617</v>
      </c>
      <c r="X581" s="40">
        <f t="shared" si="44"/>
        <v>376</v>
      </c>
      <c r="Y581" s="40">
        <f t="shared" si="45"/>
        <v>617</v>
      </c>
      <c r="Z581" s="105">
        <v>0.46029173419773101</v>
      </c>
      <c r="AA581" s="105">
        <v>0.53970826580226905</v>
      </c>
      <c r="AB581" s="106">
        <v>8.1037277147487843E-3</v>
      </c>
      <c r="AC581" s="106">
        <v>1.6207455429497569E-2</v>
      </c>
      <c r="AD581" s="106">
        <v>0.21555915721231766</v>
      </c>
      <c r="AE581" s="106">
        <v>8.7520259319286878E-2</v>
      </c>
      <c r="AF581" s="106">
        <v>1.4586709886547812E-2</v>
      </c>
      <c r="AG581" s="106">
        <v>0.59805510534846029</v>
      </c>
      <c r="AH581" s="106">
        <v>5.9967585089141004E-2</v>
      </c>
      <c r="AI581" s="106">
        <v>0.40194489465153971</v>
      </c>
      <c r="AJ581" s="105">
        <v>0.41004862236628847</v>
      </c>
      <c r="AK581" s="105">
        <v>9.7244732576985404E-3</v>
      </c>
      <c r="AL581" s="12">
        <v>127</v>
      </c>
      <c r="AM581" s="12">
        <v>114</v>
      </c>
      <c r="AN581" s="12">
        <v>0</v>
      </c>
      <c r="AO581" s="12">
        <v>131</v>
      </c>
      <c r="AP581" s="12">
        <v>83</v>
      </c>
      <c r="AQ581" s="12">
        <v>97</v>
      </c>
      <c r="AR581" s="12">
        <v>65</v>
      </c>
      <c r="AS581" s="59">
        <v>0</v>
      </c>
      <c r="AT581" s="3">
        <v>7</v>
      </c>
      <c r="AU581" s="3">
        <v>6</v>
      </c>
      <c r="AV581" s="52">
        <v>61.3</v>
      </c>
      <c r="AW581" s="52">
        <v>19.899999999999999</v>
      </c>
      <c r="AX581" s="52">
        <v>18.100000000000001</v>
      </c>
      <c r="AY581" s="71">
        <v>0.6</v>
      </c>
      <c r="AZ581" s="59">
        <v>0.13055555555555556</v>
      </c>
      <c r="BA581" s="59">
        <v>0.16666666666666666</v>
      </c>
      <c r="BB581" s="77">
        <v>93.267526377491194</v>
      </c>
      <c r="BC581" s="49">
        <v>37.988826815642497</v>
      </c>
      <c r="BD581" s="49">
        <v>4.5</v>
      </c>
      <c r="BE581" s="49">
        <v>3.4</v>
      </c>
      <c r="BF581" s="49">
        <v>5.4</v>
      </c>
      <c r="BG581" s="49">
        <v>7.8</v>
      </c>
      <c r="BH581" s="49">
        <v>0</v>
      </c>
      <c r="BI581" s="49">
        <v>0</v>
      </c>
      <c r="BJ581" s="49">
        <v>19.5</v>
      </c>
      <c r="BK581" s="126">
        <v>8901</v>
      </c>
      <c r="BL581" s="126">
        <v>49632</v>
      </c>
      <c r="BM581" s="126">
        <v>44511</v>
      </c>
      <c r="BN581" s="126">
        <v>37746</v>
      </c>
      <c r="BO581" s="59">
        <v>0</v>
      </c>
      <c r="BP581" s="59">
        <v>0.36109999999999998</v>
      </c>
      <c r="BQ581" s="59">
        <v>0.1857</v>
      </c>
      <c r="BR581" s="59">
        <v>0</v>
      </c>
      <c r="BS581" s="59">
        <v>0</v>
      </c>
      <c r="BT581" s="49">
        <v>15.6</v>
      </c>
      <c r="BU581" s="59">
        <f t="shared" si="46"/>
        <v>0.54679999999999995</v>
      </c>
      <c r="BV581" s="59">
        <v>3.1600000000000003E-2</v>
      </c>
      <c r="BW581" s="59">
        <v>0</v>
      </c>
      <c r="BX581" s="59">
        <v>3.1600000000000003E-2</v>
      </c>
      <c r="BY581" s="59">
        <v>0</v>
      </c>
      <c r="BZ581" s="59">
        <v>0</v>
      </c>
      <c r="CA581" s="49">
        <v>29.3</v>
      </c>
      <c r="CB581" s="59">
        <f t="shared" si="47"/>
        <v>6.3200000000000006E-2</v>
      </c>
      <c r="CC581" s="59">
        <v>0.38329999999999997</v>
      </c>
      <c r="CD581" s="59">
        <v>0.3795</v>
      </c>
      <c r="CE581" s="59">
        <v>0.23719999999999999</v>
      </c>
      <c r="CF581" s="59">
        <v>0</v>
      </c>
      <c r="CG581" s="59">
        <v>0</v>
      </c>
      <c r="CH581" s="49">
        <v>13.5</v>
      </c>
      <c r="CI581" s="39" t="s">
        <v>394</v>
      </c>
      <c r="CJ581" s="18" t="s">
        <v>479</v>
      </c>
      <c r="CK581" s="20"/>
    </row>
    <row r="582" spans="1:89" x14ac:dyDescent="0.25">
      <c r="A582" s="18" t="s">
        <v>479</v>
      </c>
      <c r="B582" s="39" t="s">
        <v>388</v>
      </c>
      <c r="C582" s="39" t="s">
        <v>395</v>
      </c>
      <c r="D582" s="40">
        <v>0</v>
      </c>
      <c r="E582" s="40">
        <v>0</v>
      </c>
      <c r="F582" s="40">
        <v>0</v>
      </c>
      <c r="G582" s="163">
        <v>0</v>
      </c>
      <c r="H582" s="163">
        <v>0</v>
      </c>
      <c r="I582" s="163">
        <v>0</v>
      </c>
      <c r="J582" s="163">
        <v>0</v>
      </c>
      <c r="K582" s="163">
        <v>0</v>
      </c>
      <c r="L582" s="163">
        <v>0</v>
      </c>
      <c r="M582" s="163">
        <v>0</v>
      </c>
      <c r="N582" s="115">
        <v>0</v>
      </c>
      <c r="O582" s="115">
        <v>0</v>
      </c>
      <c r="P582" s="115">
        <v>0</v>
      </c>
      <c r="Q582" s="115">
        <v>0</v>
      </c>
      <c r="R582" s="115">
        <v>0</v>
      </c>
      <c r="S582" s="115">
        <v>0</v>
      </c>
      <c r="T582" s="115">
        <v>0</v>
      </c>
      <c r="U582" s="115">
        <v>0</v>
      </c>
      <c r="V582" s="115">
        <v>0</v>
      </c>
      <c r="W582" s="40">
        <v>512</v>
      </c>
      <c r="X582" s="40">
        <f t="shared" si="44"/>
        <v>141</v>
      </c>
      <c r="Y582" s="40">
        <f t="shared" si="45"/>
        <v>213</v>
      </c>
      <c r="Z582" s="105">
        <v>0.447265625</v>
      </c>
      <c r="AA582" s="105">
        <v>0.552734375</v>
      </c>
      <c r="AB582" s="106">
        <v>2.1484375E-2</v>
      </c>
      <c r="AC582" s="106">
        <v>0</v>
      </c>
      <c r="AD582" s="106">
        <v>1.953125E-3</v>
      </c>
      <c r="AE582" s="106">
        <v>1.3671875E-2</v>
      </c>
      <c r="AF582" s="106">
        <v>0</v>
      </c>
      <c r="AG582" s="106">
        <v>0.939453125</v>
      </c>
      <c r="AH582" s="106">
        <v>2.34375E-2</v>
      </c>
      <c r="AI582" s="106">
        <v>6.0546875E-2</v>
      </c>
      <c r="AJ582" s="105">
        <v>0.669921875</v>
      </c>
      <c r="AK582" s="105">
        <v>5.859375E-3</v>
      </c>
      <c r="AL582" s="12">
        <v>30</v>
      </c>
      <c r="AM582" s="12">
        <v>42</v>
      </c>
      <c r="AN582" s="12">
        <v>1</v>
      </c>
      <c r="AO582" s="12">
        <v>49</v>
      </c>
      <c r="AP582" s="12">
        <v>29</v>
      </c>
      <c r="AQ582" s="12">
        <v>37</v>
      </c>
      <c r="AR582" s="12">
        <v>25</v>
      </c>
      <c r="AS582" s="59">
        <v>0.02</v>
      </c>
      <c r="AT582" s="3">
        <v>1</v>
      </c>
      <c r="AU582" s="3">
        <v>6</v>
      </c>
      <c r="AV582" s="52">
        <v>84.7</v>
      </c>
      <c r="AW582" s="52">
        <v>11.1</v>
      </c>
      <c r="AX582" s="52">
        <v>4.2</v>
      </c>
      <c r="AY582" s="70">
        <v>0</v>
      </c>
      <c r="AZ582" s="59">
        <v>8.7751371115173671E-2</v>
      </c>
      <c r="BA582" s="59">
        <v>2.9250457038391225E-2</v>
      </c>
      <c r="BB582" s="78">
        <v>93.314815875379395</v>
      </c>
      <c r="BC582" s="49">
        <v>38.252427184466001</v>
      </c>
      <c r="BD582" s="49">
        <v>0</v>
      </c>
      <c r="BE582" s="49">
        <v>2.4</v>
      </c>
      <c r="BF582" s="49">
        <v>0</v>
      </c>
      <c r="BG582" s="49">
        <v>0</v>
      </c>
      <c r="BH582" s="49">
        <v>0</v>
      </c>
      <c r="BI582" s="49">
        <v>0</v>
      </c>
      <c r="BJ582" s="49">
        <v>21.9</v>
      </c>
      <c r="BK582" s="126">
        <v>11012</v>
      </c>
      <c r="BL582" s="126">
        <v>49285</v>
      </c>
      <c r="BM582" s="126">
        <v>43743</v>
      </c>
      <c r="BN582" s="126">
        <v>37788</v>
      </c>
      <c r="BO582" s="59">
        <v>0</v>
      </c>
      <c r="BP582" s="59">
        <v>0.33800000000000002</v>
      </c>
      <c r="BQ582" s="59">
        <v>0.16200000000000001</v>
      </c>
      <c r="BR582" s="59">
        <v>0</v>
      </c>
      <c r="BS582" s="59">
        <v>0</v>
      </c>
      <c r="BT582" s="49">
        <v>15.4</v>
      </c>
      <c r="BU582" s="59">
        <f t="shared" si="46"/>
        <v>0.5</v>
      </c>
      <c r="BV582" s="59">
        <v>4.07E-2</v>
      </c>
      <c r="BW582" s="59">
        <v>0</v>
      </c>
      <c r="BX582" s="59">
        <v>2.7E-2</v>
      </c>
      <c r="BY582" s="59">
        <v>0</v>
      </c>
      <c r="BZ582" s="59">
        <v>0</v>
      </c>
      <c r="CA582" s="49">
        <v>21</v>
      </c>
      <c r="CB582" s="59">
        <f t="shared" si="47"/>
        <v>6.7699999999999996E-2</v>
      </c>
      <c r="CC582" s="59">
        <v>0.43070000000000003</v>
      </c>
      <c r="CD582" s="59">
        <v>0.36599999999999999</v>
      </c>
      <c r="CE582" s="59">
        <v>0.20330000000000001</v>
      </c>
      <c r="CF582" s="59">
        <v>0</v>
      </c>
      <c r="CG582" s="59">
        <v>0</v>
      </c>
      <c r="CH582" s="49">
        <v>16.100000000000001</v>
      </c>
      <c r="CI582" s="39" t="s">
        <v>395</v>
      </c>
      <c r="CJ582" s="18" t="s">
        <v>479</v>
      </c>
      <c r="CK582" s="20"/>
    </row>
    <row r="583" spans="1:89" x14ac:dyDescent="0.25">
      <c r="A583" s="18" t="s">
        <v>479</v>
      </c>
      <c r="B583" s="39" t="s">
        <v>388</v>
      </c>
      <c r="C583" s="39" t="s">
        <v>396</v>
      </c>
      <c r="D583" s="40">
        <v>0</v>
      </c>
      <c r="E583" s="40">
        <v>0</v>
      </c>
      <c r="F583" s="40">
        <v>0</v>
      </c>
      <c r="G583" s="163">
        <v>0</v>
      </c>
      <c r="H583" s="163">
        <v>0</v>
      </c>
      <c r="I583" s="162" t="s">
        <v>83</v>
      </c>
      <c r="J583" s="163">
        <v>0</v>
      </c>
      <c r="K583" s="163">
        <v>0</v>
      </c>
      <c r="L583" s="163">
        <v>0</v>
      </c>
      <c r="M583" s="163">
        <v>0</v>
      </c>
      <c r="N583" s="115">
        <v>0</v>
      </c>
      <c r="O583" s="115">
        <v>0</v>
      </c>
      <c r="P583" s="115">
        <v>0</v>
      </c>
      <c r="Q583" s="115">
        <v>0</v>
      </c>
      <c r="R583" s="116" t="s">
        <v>83</v>
      </c>
      <c r="S583" s="115">
        <v>0</v>
      </c>
      <c r="T583" s="115">
        <v>0</v>
      </c>
      <c r="U583" s="115">
        <v>0</v>
      </c>
      <c r="V583" s="115">
        <v>0</v>
      </c>
      <c r="W583" s="40">
        <v>516</v>
      </c>
      <c r="X583" s="40">
        <f t="shared" si="44"/>
        <v>316</v>
      </c>
      <c r="Y583" s="40">
        <f t="shared" si="45"/>
        <v>516</v>
      </c>
      <c r="Z583" s="105">
        <v>0.474806201550388</v>
      </c>
      <c r="AA583" s="105">
        <v>0.525193798449612</v>
      </c>
      <c r="AB583" s="106">
        <v>1.1627906976744186E-2</v>
      </c>
      <c r="AC583" s="106">
        <v>1.1627906976744186E-2</v>
      </c>
      <c r="AD583" s="106">
        <v>4.2635658914728682E-2</v>
      </c>
      <c r="AE583" s="106">
        <v>3.4883720930232558E-2</v>
      </c>
      <c r="AF583" s="106">
        <v>0</v>
      </c>
      <c r="AG583" s="106">
        <v>0.86821705426356588</v>
      </c>
      <c r="AH583" s="106">
        <v>3.1007751937984496E-2</v>
      </c>
      <c r="AI583" s="106">
        <v>0.13178294573643412</v>
      </c>
      <c r="AJ583" s="105">
        <v>0.42441860465116277</v>
      </c>
      <c r="AK583" s="105">
        <v>5.8139534883720903E-3</v>
      </c>
      <c r="AL583" s="12">
        <v>105</v>
      </c>
      <c r="AM583" s="12">
        <v>95</v>
      </c>
      <c r="AN583" s="12">
        <v>0</v>
      </c>
      <c r="AO583" s="12">
        <v>82</v>
      </c>
      <c r="AP583" s="12">
        <v>83</v>
      </c>
      <c r="AQ583" s="12">
        <v>86</v>
      </c>
      <c r="AR583" s="12">
        <v>65</v>
      </c>
      <c r="AS583" s="59">
        <v>0</v>
      </c>
      <c r="AT583" s="3">
        <v>7</v>
      </c>
      <c r="AU583" s="3">
        <v>6</v>
      </c>
      <c r="AV583" s="52">
        <v>69.8</v>
      </c>
      <c r="AW583" s="52">
        <v>16.7</v>
      </c>
      <c r="AX583" s="52">
        <v>13.1</v>
      </c>
      <c r="AY583" s="71">
        <v>0.4</v>
      </c>
      <c r="AZ583" s="59">
        <v>0</v>
      </c>
      <c r="BA583" s="59">
        <v>0.14362657091561939</v>
      </c>
      <c r="BB583" s="77">
        <v>94.581529085618698</v>
      </c>
      <c r="BC583" s="49">
        <v>15.384615384615399</v>
      </c>
      <c r="BD583" s="49">
        <v>9.5</v>
      </c>
      <c r="BE583" s="49">
        <v>5.9</v>
      </c>
      <c r="BF583" s="49">
        <v>0</v>
      </c>
      <c r="BG583" s="49">
        <v>1.4</v>
      </c>
      <c r="BH583" s="49">
        <v>0</v>
      </c>
      <c r="BI583" s="49">
        <v>0</v>
      </c>
      <c r="BJ583" s="49">
        <v>21.4</v>
      </c>
      <c r="BK583" s="126">
        <v>9763</v>
      </c>
      <c r="BL583" s="126">
        <v>50882</v>
      </c>
      <c r="BM583" s="126">
        <v>43952</v>
      </c>
      <c r="BN583" s="126">
        <v>36502</v>
      </c>
      <c r="BO583" s="59">
        <v>0</v>
      </c>
      <c r="BP583" s="59">
        <v>0.31659999999999999</v>
      </c>
      <c r="BQ583" s="59">
        <v>0.1381</v>
      </c>
      <c r="BR583" s="59">
        <v>0</v>
      </c>
      <c r="BS583" s="59">
        <v>0</v>
      </c>
      <c r="BT583" s="49">
        <v>16.399999999999999</v>
      </c>
      <c r="BU583" s="59">
        <f t="shared" si="46"/>
        <v>0.45469999999999999</v>
      </c>
      <c r="BV583" s="59">
        <v>4.2999999999999997E-2</v>
      </c>
      <c r="BW583" s="59">
        <v>0</v>
      </c>
      <c r="BX583" s="59">
        <v>3.0700000000000002E-2</v>
      </c>
      <c r="BY583" s="59">
        <v>0</v>
      </c>
      <c r="BZ583" s="59">
        <v>0</v>
      </c>
      <c r="CA583" s="49">
        <v>18.5</v>
      </c>
      <c r="CB583" s="59">
        <f t="shared" si="47"/>
        <v>7.3700000000000002E-2</v>
      </c>
      <c r="CC583" s="59">
        <v>0.44740000000000002</v>
      </c>
      <c r="CD583" s="59">
        <v>0.35299999999999998</v>
      </c>
      <c r="CE583" s="59">
        <v>0.19950000000000001</v>
      </c>
      <c r="CF583" s="59">
        <v>0</v>
      </c>
      <c r="CG583" s="59">
        <v>0</v>
      </c>
      <c r="CH583" s="49">
        <v>13.5</v>
      </c>
      <c r="CI583" s="39" t="s">
        <v>396</v>
      </c>
      <c r="CJ583" s="18" t="s">
        <v>479</v>
      </c>
      <c r="CK583" s="20"/>
    </row>
    <row r="584" spans="1:89" x14ac:dyDescent="0.25">
      <c r="A584" s="18" t="s">
        <v>479</v>
      </c>
      <c r="B584" s="39" t="s">
        <v>388</v>
      </c>
      <c r="C584" s="39" t="s">
        <v>397</v>
      </c>
      <c r="D584" s="40">
        <v>2</v>
      </c>
      <c r="E584" s="40">
        <v>0</v>
      </c>
      <c r="F584" s="40">
        <v>2</v>
      </c>
      <c r="G584" s="163">
        <v>0</v>
      </c>
      <c r="H584" s="163">
        <v>0</v>
      </c>
      <c r="I584" s="162" t="s">
        <v>83</v>
      </c>
      <c r="J584" s="163">
        <v>1</v>
      </c>
      <c r="K584" s="163">
        <v>1</v>
      </c>
      <c r="L584" s="163">
        <v>0</v>
      </c>
      <c r="M584" s="163">
        <v>0</v>
      </c>
      <c r="N584" s="115">
        <v>1.37931034482759E-2</v>
      </c>
      <c r="O584" s="115">
        <v>2.1978021978022001E-2</v>
      </c>
      <c r="P584" s="115">
        <v>0</v>
      </c>
      <c r="Q584" s="115">
        <v>0</v>
      </c>
      <c r="R584" s="116" t="s">
        <v>83</v>
      </c>
      <c r="S584" s="115">
        <v>3.7037037037037E-2</v>
      </c>
      <c r="T584" s="115">
        <v>5.2631578947368397E-2</v>
      </c>
      <c r="U584" s="115">
        <v>0</v>
      </c>
      <c r="V584" s="115">
        <v>0</v>
      </c>
      <c r="W584" s="40">
        <v>283</v>
      </c>
      <c r="X584" s="40">
        <f t="shared" si="44"/>
        <v>86</v>
      </c>
      <c r="Y584" s="40">
        <f t="shared" si="45"/>
        <v>136</v>
      </c>
      <c r="Z584" s="105">
        <v>0.43816254416961098</v>
      </c>
      <c r="AA584" s="105">
        <v>0.56183745583038902</v>
      </c>
      <c r="AB584" s="106">
        <v>0</v>
      </c>
      <c r="AC584" s="106">
        <v>0</v>
      </c>
      <c r="AD584" s="106">
        <v>0</v>
      </c>
      <c r="AE584" s="106">
        <v>7.0671378091872791E-3</v>
      </c>
      <c r="AF584" s="106">
        <v>0</v>
      </c>
      <c r="AG584" s="106">
        <v>0.98939929328621912</v>
      </c>
      <c r="AH584" s="106">
        <v>3.5335689045936395E-3</v>
      </c>
      <c r="AI584" s="106">
        <v>1.0600706713780919E-2</v>
      </c>
      <c r="AJ584" s="105">
        <v>0.45583038869257952</v>
      </c>
      <c r="AK584" s="105">
        <v>0</v>
      </c>
      <c r="AL584" s="12">
        <v>25</v>
      </c>
      <c r="AM584" s="12">
        <v>25</v>
      </c>
      <c r="AN584" s="12">
        <v>0</v>
      </c>
      <c r="AO584" s="12">
        <v>26</v>
      </c>
      <c r="AP584" s="12">
        <v>18</v>
      </c>
      <c r="AQ584" s="12">
        <v>17</v>
      </c>
      <c r="AR584" s="12">
        <v>25</v>
      </c>
      <c r="AS584" s="59">
        <v>0</v>
      </c>
      <c r="AT584" s="3">
        <v>1</v>
      </c>
      <c r="AU584" s="3">
        <v>6</v>
      </c>
      <c r="AV584" s="52">
        <v>82.8</v>
      </c>
      <c r="AW584" s="52">
        <v>13.9</v>
      </c>
      <c r="AX584" s="52">
        <v>3.3</v>
      </c>
      <c r="AY584" s="70">
        <v>0</v>
      </c>
      <c r="AZ584" s="59">
        <v>6.5146579804560263E-3</v>
      </c>
      <c r="BA584" s="59">
        <v>7.8175895765472306E-2</v>
      </c>
      <c r="BB584" s="78">
        <v>95.393497666038797</v>
      </c>
      <c r="BC584" s="49">
        <v>16.498316498316498</v>
      </c>
      <c r="BD584" s="49">
        <v>7.7</v>
      </c>
      <c r="BE584" s="49">
        <v>0</v>
      </c>
      <c r="BF584" s="49">
        <v>0</v>
      </c>
      <c r="BG584" s="49">
        <v>0</v>
      </c>
      <c r="BH584" s="49">
        <v>0</v>
      </c>
      <c r="BI584" s="49">
        <v>0</v>
      </c>
      <c r="BJ584" s="49">
        <v>20.3</v>
      </c>
      <c r="BK584" s="126">
        <v>13038</v>
      </c>
      <c r="BL584" s="126">
        <v>50873</v>
      </c>
      <c r="BM584" s="126">
        <v>48980</v>
      </c>
      <c r="BN584" s="126">
        <v>40198</v>
      </c>
      <c r="BO584" s="59">
        <v>0</v>
      </c>
      <c r="BP584" s="59">
        <v>0.3896</v>
      </c>
      <c r="BQ584" s="59">
        <v>0.1032</v>
      </c>
      <c r="BR584" s="59">
        <v>0</v>
      </c>
      <c r="BS584" s="59">
        <v>0</v>
      </c>
      <c r="BT584" s="49">
        <v>16.3</v>
      </c>
      <c r="BU584" s="59">
        <f t="shared" si="46"/>
        <v>0.49280000000000002</v>
      </c>
      <c r="BV584" s="59">
        <v>4.1300000000000003E-2</v>
      </c>
      <c r="BW584" s="59">
        <v>0</v>
      </c>
      <c r="BX584" s="59">
        <v>4.1300000000000003E-2</v>
      </c>
      <c r="BY584" s="59">
        <v>0</v>
      </c>
      <c r="BZ584" s="59">
        <v>0</v>
      </c>
      <c r="CA584" s="49">
        <v>22</v>
      </c>
      <c r="CB584" s="59">
        <f t="shared" si="47"/>
        <v>8.2600000000000007E-2</v>
      </c>
      <c r="CC584" s="59">
        <v>0.42220000000000002</v>
      </c>
      <c r="CD584" s="59">
        <v>0.41270000000000001</v>
      </c>
      <c r="CE584" s="59">
        <v>0.1651</v>
      </c>
      <c r="CF584" s="59">
        <v>0</v>
      </c>
      <c r="CG584" s="59">
        <v>0</v>
      </c>
      <c r="CH584" s="49">
        <v>17.7</v>
      </c>
      <c r="CI584" s="39" t="s">
        <v>397</v>
      </c>
      <c r="CJ584" s="18" t="s">
        <v>479</v>
      </c>
      <c r="CK584" s="20"/>
    </row>
    <row r="585" spans="1:89" x14ac:dyDescent="0.25">
      <c r="A585" s="18" t="s">
        <v>479</v>
      </c>
      <c r="B585" s="39" t="s">
        <v>398</v>
      </c>
      <c r="C585" s="39" t="s">
        <v>399</v>
      </c>
      <c r="D585" s="40">
        <v>27</v>
      </c>
      <c r="E585" s="40" t="s">
        <v>83</v>
      </c>
      <c r="F585" s="40">
        <v>27</v>
      </c>
      <c r="G585" s="162" t="s">
        <v>83</v>
      </c>
      <c r="H585" s="162" t="s">
        <v>83</v>
      </c>
      <c r="I585" s="163">
        <v>0</v>
      </c>
      <c r="J585" s="163">
        <v>5</v>
      </c>
      <c r="K585" s="163">
        <v>10</v>
      </c>
      <c r="L585" s="163">
        <v>8</v>
      </c>
      <c r="M585" s="163">
        <v>4</v>
      </c>
      <c r="N585" s="115">
        <v>3.0100334448160501E-2</v>
      </c>
      <c r="O585" s="115">
        <v>3.0100334448160501E-2</v>
      </c>
      <c r="P585" s="116" t="s">
        <v>83</v>
      </c>
      <c r="Q585" s="116" t="s">
        <v>83</v>
      </c>
      <c r="R585" s="115">
        <v>0</v>
      </c>
      <c r="S585" s="115">
        <v>2.1551724137931001E-2</v>
      </c>
      <c r="T585" s="115">
        <v>4.1322314049586799E-2</v>
      </c>
      <c r="U585" s="115">
        <v>3.8461538461538498E-2</v>
      </c>
      <c r="V585" s="115">
        <v>1.9704433497536901E-2</v>
      </c>
      <c r="W585" s="40">
        <v>844</v>
      </c>
      <c r="X585" s="40">
        <f t="shared" si="44"/>
        <v>844</v>
      </c>
      <c r="Y585" s="40">
        <f t="shared" si="45"/>
        <v>844</v>
      </c>
      <c r="Z585" s="105">
        <v>0.47867298578199102</v>
      </c>
      <c r="AA585" s="105">
        <v>0.52132701421800998</v>
      </c>
      <c r="AB585" s="106">
        <v>1.1848341232227489E-3</v>
      </c>
      <c r="AC585" s="106">
        <v>2.3696682464454978E-3</v>
      </c>
      <c r="AD585" s="106">
        <v>0.3127962085308057</v>
      </c>
      <c r="AE585" s="106">
        <v>2.4881516587677725E-2</v>
      </c>
      <c r="AF585" s="106">
        <v>0</v>
      </c>
      <c r="AG585" s="106">
        <v>0.65521327014218012</v>
      </c>
      <c r="AH585" s="106">
        <v>3.5545023696682463E-3</v>
      </c>
      <c r="AI585" s="106">
        <v>0.34478672985781988</v>
      </c>
      <c r="AJ585" s="105">
        <v>0.65284360189573465</v>
      </c>
      <c r="AK585" s="105">
        <v>1.1848341232227499E-2</v>
      </c>
      <c r="AL585" s="12">
        <v>0</v>
      </c>
      <c r="AM585" s="12">
        <v>0</v>
      </c>
      <c r="AN585" s="12">
        <v>12</v>
      </c>
      <c r="AO585" s="12">
        <v>216</v>
      </c>
      <c r="AP585" s="12">
        <v>227</v>
      </c>
      <c r="AQ585" s="12">
        <v>193</v>
      </c>
      <c r="AR585" s="12">
        <v>196</v>
      </c>
      <c r="AS585" s="59">
        <v>5.2631578947368418E-2</v>
      </c>
      <c r="AT585" s="3">
        <v>9</v>
      </c>
      <c r="AU585" s="3">
        <v>6</v>
      </c>
      <c r="AV585" s="52">
        <v>58.7</v>
      </c>
      <c r="AW585" s="52">
        <v>25.4</v>
      </c>
      <c r="AX585" s="52">
        <v>15.9</v>
      </c>
      <c r="AY585" s="70">
        <v>0</v>
      </c>
      <c r="AZ585" s="59">
        <v>0.16516853932584269</v>
      </c>
      <c r="BA585" s="59">
        <v>3.1460674157303373E-2</v>
      </c>
      <c r="BB585" s="77">
        <v>93.187188988127104</v>
      </c>
      <c r="BC585" s="49">
        <v>37.443946188340803</v>
      </c>
      <c r="BD585" s="90" t="s">
        <v>83</v>
      </c>
      <c r="BE585" s="90" t="s">
        <v>83</v>
      </c>
      <c r="BF585" s="49">
        <v>1.4</v>
      </c>
      <c r="BG585" s="49">
        <v>4.7</v>
      </c>
      <c r="BH585" s="49">
        <v>0</v>
      </c>
      <c r="BI585" s="49">
        <v>1</v>
      </c>
      <c r="BJ585" s="49">
        <v>19.100000000000001</v>
      </c>
      <c r="BK585" s="126">
        <v>9378</v>
      </c>
      <c r="BL585" s="126">
        <v>45234</v>
      </c>
      <c r="BM585" s="126">
        <v>43195</v>
      </c>
      <c r="BN585" s="126">
        <v>36325</v>
      </c>
      <c r="BO585" s="59">
        <v>0</v>
      </c>
      <c r="BP585" s="59">
        <v>0.4178</v>
      </c>
      <c r="BQ585" s="59">
        <v>0.13139999999999999</v>
      </c>
      <c r="BR585" s="59">
        <v>0</v>
      </c>
      <c r="BS585" s="59">
        <v>3.2800000000000003E-2</v>
      </c>
      <c r="BT585" s="49">
        <v>10</v>
      </c>
      <c r="BU585" s="59">
        <f t="shared" si="46"/>
        <v>0.58200000000000007</v>
      </c>
      <c r="BV585" s="59">
        <v>3.4599999999999999E-2</v>
      </c>
      <c r="BW585" s="59">
        <v>0</v>
      </c>
      <c r="BX585" s="59">
        <v>3.3599999999999998E-2</v>
      </c>
      <c r="BY585" s="59">
        <v>0</v>
      </c>
      <c r="BZ585" s="59">
        <v>0</v>
      </c>
      <c r="CA585" s="49">
        <v>21</v>
      </c>
      <c r="CB585" s="59">
        <f t="shared" si="47"/>
        <v>6.8199999999999997E-2</v>
      </c>
      <c r="CC585" s="59">
        <v>0.35120000000000001</v>
      </c>
      <c r="CD585" s="59">
        <v>0.4289</v>
      </c>
      <c r="CE585" s="59">
        <v>0.187</v>
      </c>
      <c r="CF585" s="59">
        <v>0</v>
      </c>
      <c r="CG585" s="59">
        <v>3.3000000000000002E-2</v>
      </c>
      <c r="CH585" s="49">
        <v>12.2</v>
      </c>
      <c r="CI585" s="39" t="s">
        <v>399</v>
      </c>
      <c r="CJ585" s="18" t="s">
        <v>479</v>
      </c>
      <c r="CK585" s="20"/>
    </row>
    <row r="586" spans="1:89" x14ac:dyDescent="0.25">
      <c r="A586" s="18" t="s">
        <v>479</v>
      </c>
      <c r="B586" s="39" t="s">
        <v>398</v>
      </c>
      <c r="C586" s="39" t="s">
        <v>400</v>
      </c>
      <c r="D586" s="40">
        <v>4</v>
      </c>
      <c r="E586" s="40">
        <v>0</v>
      </c>
      <c r="F586" s="40">
        <v>4</v>
      </c>
      <c r="G586" s="163">
        <v>0</v>
      </c>
      <c r="H586" s="163">
        <v>0</v>
      </c>
      <c r="I586" s="163">
        <v>0</v>
      </c>
      <c r="J586" s="163">
        <v>2</v>
      </c>
      <c r="K586" s="163">
        <v>0</v>
      </c>
      <c r="L586" s="163">
        <v>2</v>
      </c>
      <c r="M586" s="163">
        <v>0</v>
      </c>
      <c r="N586" s="115">
        <v>1.7621145374449299E-2</v>
      </c>
      <c r="O586" s="115">
        <v>2.9411764705882401E-2</v>
      </c>
      <c r="P586" s="115">
        <v>0</v>
      </c>
      <c r="Q586" s="115">
        <v>0</v>
      </c>
      <c r="R586" s="115">
        <v>0</v>
      </c>
      <c r="S586" s="115">
        <v>4.5454545454545497E-2</v>
      </c>
      <c r="T586" s="115">
        <v>0</v>
      </c>
      <c r="U586" s="115">
        <v>7.4074074074074098E-2</v>
      </c>
      <c r="V586" s="115">
        <v>0</v>
      </c>
      <c r="W586" s="40">
        <v>497</v>
      </c>
      <c r="X586" s="40">
        <f t="shared" si="44"/>
        <v>117</v>
      </c>
      <c r="Y586" s="40">
        <f t="shared" si="45"/>
        <v>199</v>
      </c>
      <c r="Z586" s="105">
        <v>0.501006036217304</v>
      </c>
      <c r="AA586" s="105">
        <v>0.498993963782696</v>
      </c>
      <c r="AB586" s="106">
        <v>4.0241448692152921E-3</v>
      </c>
      <c r="AC586" s="106">
        <v>0</v>
      </c>
      <c r="AD586" s="106">
        <v>0.26760563380281688</v>
      </c>
      <c r="AE586" s="106">
        <v>1.0060362173038229E-2</v>
      </c>
      <c r="AF586" s="106">
        <v>0</v>
      </c>
      <c r="AG586" s="106">
        <v>0.70221327967806846</v>
      </c>
      <c r="AH586" s="106">
        <v>1.6096579476861168E-2</v>
      </c>
      <c r="AI586" s="106">
        <v>0.2977867203219316</v>
      </c>
      <c r="AJ586" s="105">
        <v>0.68209255533199198</v>
      </c>
      <c r="AK586" s="105">
        <v>0</v>
      </c>
      <c r="AL586" s="12">
        <v>38</v>
      </c>
      <c r="AM586" s="12">
        <v>44</v>
      </c>
      <c r="AN586" s="12">
        <v>1</v>
      </c>
      <c r="AO586" s="12">
        <v>37</v>
      </c>
      <c r="AP586" s="12">
        <v>30</v>
      </c>
      <c r="AQ586" s="12">
        <v>22</v>
      </c>
      <c r="AR586" s="12">
        <v>27</v>
      </c>
      <c r="AS586" s="59">
        <v>2.6315789473684209E-2</v>
      </c>
      <c r="AT586" s="3">
        <v>1</v>
      </c>
      <c r="AU586" s="3">
        <v>6</v>
      </c>
      <c r="AV586" s="52">
        <v>82.2</v>
      </c>
      <c r="AW586" s="52">
        <v>15.2</v>
      </c>
      <c r="AX586" s="52">
        <v>0.9</v>
      </c>
      <c r="AY586" s="71">
        <v>1.7</v>
      </c>
      <c r="AZ586" s="59">
        <v>0.15063520871143377</v>
      </c>
      <c r="BA586" s="59">
        <v>3.4482758620689655E-2</v>
      </c>
      <c r="BB586" s="78">
        <v>94.129172626846696</v>
      </c>
      <c r="BC586" s="49">
        <v>15.019011406844101</v>
      </c>
      <c r="BD586" s="49">
        <v>0</v>
      </c>
      <c r="BE586" s="49">
        <v>0</v>
      </c>
      <c r="BF586" s="49">
        <v>0</v>
      </c>
      <c r="BG586" s="49">
        <v>0</v>
      </c>
      <c r="BH586" s="49">
        <v>0</v>
      </c>
      <c r="BI586" s="49">
        <v>0</v>
      </c>
      <c r="BJ586" s="49">
        <v>17.5</v>
      </c>
      <c r="BK586" s="126">
        <v>12102</v>
      </c>
      <c r="BL586" s="126">
        <v>45776</v>
      </c>
      <c r="BM586" s="126">
        <v>46049</v>
      </c>
      <c r="BN586" s="126">
        <v>34434</v>
      </c>
      <c r="BO586" s="59">
        <v>0</v>
      </c>
      <c r="BP586" s="59">
        <v>0.34360000000000002</v>
      </c>
      <c r="BQ586" s="59">
        <v>0.1361</v>
      </c>
      <c r="BR586" s="59">
        <v>0</v>
      </c>
      <c r="BS586" s="59">
        <v>0</v>
      </c>
      <c r="BT586" s="49">
        <v>16.3</v>
      </c>
      <c r="BU586" s="59">
        <f t="shared" si="46"/>
        <v>0.47970000000000002</v>
      </c>
      <c r="BV586" s="59">
        <v>2.4500000000000001E-2</v>
      </c>
      <c r="BW586" s="59">
        <v>0</v>
      </c>
      <c r="BX586" s="59">
        <v>3.6600000000000001E-2</v>
      </c>
      <c r="BY586" s="59">
        <v>0</v>
      </c>
      <c r="BZ586" s="59">
        <v>0</v>
      </c>
      <c r="CA586" s="49">
        <v>20.7</v>
      </c>
      <c r="CB586" s="59">
        <f t="shared" si="47"/>
        <v>6.1100000000000002E-2</v>
      </c>
      <c r="CC586" s="59">
        <v>0.39879999999999999</v>
      </c>
      <c r="CD586" s="59">
        <v>0.38040000000000002</v>
      </c>
      <c r="CE586" s="59">
        <v>0.22090000000000001</v>
      </c>
      <c r="CF586" s="59">
        <v>0</v>
      </c>
      <c r="CG586" s="59">
        <v>0</v>
      </c>
      <c r="CH586" s="49">
        <v>14.2</v>
      </c>
      <c r="CI586" s="39" t="s">
        <v>400</v>
      </c>
      <c r="CJ586" s="18" t="s">
        <v>479</v>
      </c>
      <c r="CK586" s="20"/>
    </row>
    <row r="587" spans="1:89" x14ac:dyDescent="0.25">
      <c r="A587" s="18" t="s">
        <v>479</v>
      </c>
      <c r="B587" s="39" t="s">
        <v>398</v>
      </c>
      <c r="C587" s="39" t="s">
        <v>401</v>
      </c>
      <c r="D587" s="40">
        <v>13</v>
      </c>
      <c r="E587" s="40">
        <v>0</v>
      </c>
      <c r="F587" s="40">
        <v>13</v>
      </c>
      <c r="G587" s="163">
        <v>0</v>
      </c>
      <c r="H587" s="163">
        <v>0</v>
      </c>
      <c r="I587" s="163">
        <v>0</v>
      </c>
      <c r="J587" s="163">
        <v>5</v>
      </c>
      <c r="K587" s="163">
        <v>5</v>
      </c>
      <c r="L587" s="163">
        <v>3</v>
      </c>
      <c r="M587" s="163">
        <v>0</v>
      </c>
      <c r="N587" s="115">
        <v>2.0092735703245799E-2</v>
      </c>
      <c r="O587" s="115">
        <v>3.21782178217822E-2</v>
      </c>
      <c r="P587" s="115">
        <v>0</v>
      </c>
      <c r="Q587" s="115">
        <v>0</v>
      </c>
      <c r="R587" s="115">
        <v>0</v>
      </c>
      <c r="S587" s="115">
        <v>4.85436893203883E-2</v>
      </c>
      <c r="T587" s="115">
        <v>4.0983606557376998E-2</v>
      </c>
      <c r="U587" s="115">
        <v>3.09278350515464E-2</v>
      </c>
      <c r="V587" s="115">
        <v>0</v>
      </c>
      <c r="W587" s="40">
        <v>693</v>
      </c>
      <c r="X587" s="40">
        <f t="shared" si="44"/>
        <v>375</v>
      </c>
      <c r="Y587" s="40">
        <f t="shared" si="45"/>
        <v>603</v>
      </c>
      <c r="Z587" s="105">
        <v>0.49494949494949497</v>
      </c>
      <c r="AA587" s="105">
        <v>0.50505050505050497</v>
      </c>
      <c r="AB587" s="106">
        <v>1.443001443001443E-3</v>
      </c>
      <c r="AC587" s="106">
        <v>2.886002886002886E-3</v>
      </c>
      <c r="AD587" s="106">
        <v>0.15873015873015872</v>
      </c>
      <c r="AE587" s="106">
        <v>1.0101010101010102E-2</v>
      </c>
      <c r="AF587" s="106">
        <v>0</v>
      </c>
      <c r="AG587" s="106">
        <v>0.82683982683982682</v>
      </c>
      <c r="AH587" s="106">
        <v>0</v>
      </c>
      <c r="AI587" s="106">
        <v>0.17316017316017315</v>
      </c>
      <c r="AJ587" s="105">
        <v>0.6262626262626263</v>
      </c>
      <c r="AK587" s="105">
        <v>1.44300144300144E-3</v>
      </c>
      <c r="AL587" s="12">
        <v>125</v>
      </c>
      <c r="AM587" s="12">
        <v>103</v>
      </c>
      <c r="AN587" s="12">
        <v>2</v>
      </c>
      <c r="AO587" s="12">
        <v>93</v>
      </c>
      <c r="AP587" s="12">
        <v>108</v>
      </c>
      <c r="AQ587" s="12">
        <v>92</v>
      </c>
      <c r="AR587" s="12">
        <v>80</v>
      </c>
      <c r="AS587" s="59">
        <v>2.1052631578947368E-2</v>
      </c>
      <c r="AT587" s="3">
        <v>6</v>
      </c>
      <c r="AU587" s="3">
        <v>6</v>
      </c>
      <c r="AV587" s="52">
        <v>64.7</v>
      </c>
      <c r="AW587" s="52">
        <v>20.3</v>
      </c>
      <c r="AX587" s="52">
        <v>15</v>
      </c>
      <c r="AY587" s="70">
        <v>0</v>
      </c>
      <c r="AZ587" s="59">
        <v>0.17678812415654521</v>
      </c>
      <c r="BA587" s="59">
        <v>4.1835357624831308E-2</v>
      </c>
      <c r="BB587" s="77">
        <v>94.292083752240202</v>
      </c>
      <c r="BC587" s="49">
        <v>28.475033738191598</v>
      </c>
      <c r="BD587" s="49">
        <v>1.6</v>
      </c>
      <c r="BE587" s="49">
        <v>0</v>
      </c>
      <c r="BF587" s="49">
        <v>3.5</v>
      </c>
      <c r="BG587" s="49">
        <v>0</v>
      </c>
      <c r="BH587" s="49">
        <v>1.2</v>
      </c>
      <c r="BI587" s="49">
        <v>0</v>
      </c>
      <c r="BJ587" s="49">
        <v>18.600000000000001</v>
      </c>
      <c r="BK587" s="126">
        <v>9414</v>
      </c>
      <c r="BL587" s="126">
        <v>47025</v>
      </c>
      <c r="BM587" s="126">
        <v>41377</v>
      </c>
      <c r="BN587" s="126">
        <v>36623</v>
      </c>
      <c r="BO587" s="59">
        <v>0</v>
      </c>
      <c r="BP587" s="59">
        <v>0.35510000000000003</v>
      </c>
      <c r="BQ587" s="59">
        <v>0.15790000000000001</v>
      </c>
      <c r="BR587" s="59">
        <v>1.32E-2</v>
      </c>
      <c r="BS587" s="59">
        <v>0</v>
      </c>
      <c r="BT587" s="49">
        <v>17.2</v>
      </c>
      <c r="BU587" s="59">
        <f t="shared" si="46"/>
        <v>0.5262</v>
      </c>
      <c r="BV587" s="59">
        <v>3.95E-2</v>
      </c>
      <c r="BW587" s="59">
        <v>0</v>
      </c>
      <c r="BX587" s="59">
        <v>3.95E-2</v>
      </c>
      <c r="BY587" s="59">
        <v>0</v>
      </c>
      <c r="BZ587" s="59">
        <v>0</v>
      </c>
      <c r="CA587" s="49">
        <v>16.8</v>
      </c>
      <c r="CB587" s="59">
        <f t="shared" si="47"/>
        <v>7.9000000000000001E-2</v>
      </c>
      <c r="CC587" s="59">
        <v>0.3947</v>
      </c>
      <c r="CD587" s="59">
        <v>0.3553</v>
      </c>
      <c r="CE587" s="59">
        <v>0.23680000000000001</v>
      </c>
      <c r="CF587" s="59">
        <v>1.32E-2</v>
      </c>
      <c r="CG587" s="59">
        <v>0</v>
      </c>
      <c r="CH587" s="49">
        <v>15.3</v>
      </c>
      <c r="CI587" s="39" t="s">
        <v>401</v>
      </c>
      <c r="CJ587" s="18" t="s">
        <v>479</v>
      </c>
      <c r="CK587" s="20"/>
    </row>
    <row r="588" spans="1:89" x14ac:dyDescent="0.25">
      <c r="A588" s="18" t="s">
        <v>479</v>
      </c>
      <c r="B588" s="39" t="s">
        <v>398</v>
      </c>
      <c r="C588" s="39" t="s">
        <v>402</v>
      </c>
      <c r="D588" s="40">
        <v>7</v>
      </c>
      <c r="E588" s="40">
        <v>0</v>
      </c>
      <c r="F588" s="40">
        <v>7</v>
      </c>
      <c r="G588" s="163">
        <v>0</v>
      </c>
      <c r="H588" s="163">
        <v>0</v>
      </c>
      <c r="I588" s="163">
        <v>0</v>
      </c>
      <c r="J588" s="163">
        <v>3</v>
      </c>
      <c r="K588" s="163">
        <v>2</v>
      </c>
      <c r="L588" s="163">
        <v>2</v>
      </c>
      <c r="M588" s="163">
        <v>0</v>
      </c>
      <c r="N588" s="115">
        <v>1.9178082191780799E-2</v>
      </c>
      <c r="O588" s="115">
        <v>2.92887029288703E-2</v>
      </c>
      <c r="P588" s="115">
        <v>0</v>
      </c>
      <c r="Q588" s="115">
        <v>0</v>
      </c>
      <c r="R588" s="115">
        <v>0</v>
      </c>
      <c r="S588" s="115">
        <v>5.5555555555555601E-2</v>
      </c>
      <c r="T588" s="115">
        <v>2.8985507246376802E-2</v>
      </c>
      <c r="U588" s="115">
        <v>3.6363636363636397E-2</v>
      </c>
      <c r="V588" s="115">
        <v>0</v>
      </c>
      <c r="W588" s="40">
        <v>356</v>
      </c>
      <c r="X588" s="40">
        <f t="shared" si="44"/>
        <v>202</v>
      </c>
      <c r="Y588" s="40">
        <f t="shared" si="45"/>
        <v>316</v>
      </c>
      <c r="Z588" s="105">
        <v>0.452247191011236</v>
      </c>
      <c r="AA588" s="105">
        <v>0.547752808988764</v>
      </c>
      <c r="AB588" s="106">
        <v>8.4269662921348312E-3</v>
      </c>
      <c r="AC588" s="106">
        <v>0</v>
      </c>
      <c r="AD588" s="106">
        <v>0.6320224719101124</v>
      </c>
      <c r="AE588" s="106">
        <v>2.8089887640449437E-3</v>
      </c>
      <c r="AF588" s="106">
        <v>0</v>
      </c>
      <c r="AG588" s="106">
        <v>0.3455056179775281</v>
      </c>
      <c r="AH588" s="106">
        <v>1.1235955056179775E-2</v>
      </c>
      <c r="AI588" s="106">
        <v>0.6544943820224719</v>
      </c>
      <c r="AJ588" s="105">
        <v>0.8735955056179775</v>
      </c>
      <c r="AK588" s="105">
        <v>0</v>
      </c>
      <c r="AL588" s="12">
        <v>60</v>
      </c>
      <c r="AM588" s="12">
        <v>54</v>
      </c>
      <c r="AN588" s="12">
        <v>11</v>
      </c>
      <c r="AO588" s="12">
        <v>44</v>
      </c>
      <c r="AP588" s="12">
        <v>53</v>
      </c>
      <c r="AQ588" s="12">
        <v>45</v>
      </c>
      <c r="AR588" s="12">
        <v>49</v>
      </c>
      <c r="AS588" s="59">
        <v>0.2</v>
      </c>
      <c r="AT588" s="3">
        <v>6</v>
      </c>
      <c r="AU588" s="3">
        <v>6</v>
      </c>
      <c r="AV588" s="52">
        <v>73.599999999999994</v>
      </c>
      <c r="AW588" s="52">
        <v>15.7</v>
      </c>
      <c r="AX588" s="52">
        <v>9.6</v>
      </c>
      <c r="AY588" s="71">
        <v>1.1000000000000001</v>
      </c>
      <c r="AZ588" s="59">
        <v>0.31127450980392157</v>
      </c>
      <c r="BA588" s="59">
        <v>1.4705882352941176E-2</v>
      </c>
      <c r="BB588" s="78">
        <v>94.843365889309695</v>
      </c>
      <c r="BC588" s="49">
        <v>23.2843137254902</v>
      </c>
      <c r="BD588" s="49">
        <v>0</v>
      </c>
      <c r="BE588" s="49">
        <v>0</v>
      </c>
      <c r="BF588" s="49">
        <v>0</v>
      </c>
      <c r="BG588" s="49">
        <v>0</v>
      </c>
      <c r="BH588" s="49">
        <v>2.4</v>
      </c>
      <c r="BI588" s="49">
        <v>0</v>
      </c>
      <c r="BJ588" s="49">
        <v>17.5</v>
      </c>
      <c r="BK588" s="126">
        <v>11550</v>
      </c>
      <c r="BL588" s="126">
        <v>46564</v>
      </c>
      <c r="BM588" s="126">
        <v>45504</v>
      </c>
      <c r="BN588" s="126">
        <v>35175</v>
      </c>
      <c r="BO588" s="59">
        <v>0</v>
      </c>
      <c r="BP588" s="59">
        <v>0.35849999999999999</v>
      </c>
      <c r="BQ588" s="59">
        <v>9.4299999999999995E-2</v>
      </c>
      <c r="BR588" s="59">
        <v>1.89E-2</v>
      </c>
      <c r="BS588" s="59">
        <v>0</v>
      </c>
      <c r="BT588" s="49">
        <v>16.600000000000001</v>
      </c>
      <c r="BU588" s="59">
        <f t="shared" si="46"/>
        <v>0.47170000000000001</v>
      </c>
      <c r="BV588" s="59">
        <v>1.89E-2</v>
      </c>
      <c r="BW588" s="59">
        <v>1.89E-2</v>
      </c>
      <c r="BX588" s="59">
        <v>5.6599999999999998E-2</v>
      </c>
      <c r="BY588" s="59">
        <v>0</v>
      </c>
      <c r="BZ588" s="59">
        <v>0</v>
      </c>
      <c r="CA588" s="49">
        <v>19</v>
      </c>
      <c r="CB588" s="59">
        <f t="shared" si="47"/>
        <v>9.4399999999999998E-2</v>
      </c>
      <c r="CC588" s="59">
        <v>0.37740000000000001</v>
      </c>
      <c r="CD588" s="59">
        <v>0.41510000000000002</v>
      </c>
      <c r="CE588" s="59">
        <v>0.18870000000000001</v>
      </c>
      <c r="CF588" s="59">
        <v>1.89E-2</v>
      </c>
      <c r="CG588" s="59">
        <v>0</v>
      </c>
      <c r="CH588" s="49">
        <v>17.3</v>
      </c>
      <c r="CI588" s="39" t="s">
        <v>402</v>
      </c>
      <c r="CJ588" s="18" t="s">
        <v>479</v>
      </c>
      <c r="CK588" s="20"/>
    </row>
    <row r="589" spans="1:89" x14ac:dyDescent="0.25">
      <c r="A589" s="18" t="s">
        <v>479</v>
      </c>
      <c r="B589" s="39" t="s">
        <v>403</v>
      </c>
      <c r="C589" s="39" t="s">
        <v>404</v>
      </c>
      <c r="D589" s="40">
        <v>4</v>
      </c>
      <c r="E589" s="40">
        <v>3</v>
      </c>
      <c r="F589" s="40">
        <v>1</v>
      </c>
      <c r="G589" s="163">
        <v>3</v>
      </c>
      <c r="H589" s="163">
        <v>0</v>
      </c>
      <c r="I589" s="163">
        <v>0</v>
      </c>
      <c r="J589" s="163">
        <v>0</v>
      </c>
      <c r="K589" s="163">
        <v>0</v>
      </c>
      <c r="L589" s="163">
        <v>1</v>
      </c>
      <c r="M589" s="163">
        <v>0</v>
      </c>
      <c r="N589" s="115">
        <v>1.94174757281553E-2</v>
      </c>
      <c r="O589" s="115">
        <v>8.8495575221238902E-3</v>
      </c>
      <c r="P589" s="115">
        <v>6.6666666666666693E-2</v>
      </c>
      <c r="Q589" s="115">
        <v>0</v>
      </c>
      <c r="R589" s="115">
        <v>0</v>
      </c>
      <c r="S589" s="115">
        <v>0</v>
      </c>
      <c r="T589" s="115">
        <v>0</v>
      </c>
      <c r="U589" s="115">
        <v>3.5714285714285698E-2</v>
      </c>
      <c r="V589" s="115">
        <v>0</v>
      </c>
      <c r="W589" s="40">
        <v>440</v>
      </c>
      <c r="X589" s="40">
        <f t="shared" si="44"/>
        <v>102</v>
      </c>
      <c r="Y589" s="40">
        <f t="shared" si="45"/>
        <v>178</v>
      </c>
      <c r="Z589" s="105">
        <v>0.493181818181818</v>
      </c>
      <c r="AA589" s="105">
        <v>0.50681818181818195</v>
      </c>
      <c r="AB589" s="106">
        <v>2.2727272727272726E-3</v>
      </c>
      <c r="AC589" s="106">
        <v>2.2727272727272728E-2</v>
      </c>
      <c r="AD589" s="106">
        <v>0.15454545454545454</v>
      </c>
      <c r="AE589" s="106">
        <v>2.7272727272727271E-2</v>
      </c>
      <c r="AF589" s="106">
        <v>0</v>
      </c>
      <c r="AG589" s="106">
        <v>0.78636363636363638</v>
      </c>
      <c r="AH589" s="106">
        <v>6.8181818181818179E-3</v>
      </c>
      <c r="AI589" s="106">
        <v>0.21363636363636362</v>
      </c>
      <c r="AJ589" s="105">
        <v>0.63863636363636367</v>
      </c>
      <c r="AK589" s="105">
        <v>2.27272727272727E-3</v>
      </c>
      <c r="AL589" s="12">
        <v>38</v>
      </c>
      <c r="AM589" s="12">
        <v>38</v>
      </c>
      <c r="AN589" s="12">
        <v>1</v>
      </c>
      <c r="AO589" s="12">
        <v>29</v>
      </c>
      <c r="AP589" s="12">
        <v>25</v>
      </c>
      <c r="AQ589" s="12">
        <v>25</v>
      </c>
      <c r="AR589" s="12">
        <v>22</v>
      </c>
      <c r="AS589" s="59">
        <v>3.3333333333333333E-2</v>
      </c>
      <c r="AT589" s="3">
        <v>1</v>
      </c>
      <c r="AU589" s="3">
        <v>6</v>
      </c>
      <c r="AV589" s="52">
        <v>94.4</v>
      </c>
      <c r="AW589" s="52">
        <v>4.8</v>
      </c>
      <c r="AX589" s="52">
        <v>0.8</v>
      </c>
      <c r="AY589" s="70">
        <v>0</v>
      </c>
      <c r="AZ589" s="59">
        <v>0.11406844106463879</v>
      </c>
      <c r="BA589" s="59">
        <v>5.1330798479087454E-2</v>
      </c>
      <c r="BB589" s="77">
        <v>94.650343676484098</v>
      </c>
      <c r="BC589" s="49">
        <v>20.874751491053701</v>
      </c>
      <c r="BD589" s="49">
        <v>0</v>
      </c>
      <c r="BE589" s="49">
        <v>0</v>
      </c>
      <c r="BF589" s="49">
        <v>0</v>
      </c>
      <c r="BG589" s="49">
        <v>0</v>
      </c>
      <c r="BH589" s="49">
        <v>0</v>
      </c>
      <c r="BI589" s="49">
        <v>0</v>
      </c>
      <c r="BJ589" s="49">
        <v>18.7</v>
      </c>
      <c r="BK589" s="126">
        <v>11359</v>
      </c>
      <c r="BL589" s="126">
        <v>52172</v>
      </c>
      <c r="BM589" s="126">
        <v>47408</v>
      </c>
      <c r="BN589" s="126">
        <v>39491</v>
      </c>
      <c r="BO589" s="59">
        <v>0</v>
      </c>
      <c r="BP589" s="59">
        <v>0.34339999999999998</v>
      </c>
      <c r="BQ589" s="59">
        <v>0.14779999999999999</v>
      </c>
      <c r="BR589" s="59">
        <v>0</v>
      </c>
      <c r="BS589" s="59">
        <v>0</v>
      </c>
      <c r="BT589" s="49">
        <v>13</v>
      </c>
      <c r="BU589" s="59">
        <f t="shared" si="46"/>
        <v>0.49119999999999997</v>
      </c>
      <c r="BV589" s="59">
        <v>3.2800000000000003E-2</v>
      </c>
      <c r="BW589" s="59">
        <v>0</v>
      </c>
      <c r="BX589" s="59">
        <v>3.1099999999999999E-2</v>
      </c>
      <c r="BY589" s="59">
        <v>0</v>
      </c>
      <c r="BZ589" s="59">
        <v>0</v>
      </c>
      <c r="CA589" s="49">
        <v>11.9</v>
      </c>
      <c r="CB589" s="59">
        <f t="shared" si="47"/>
        <v>6.3899999999999998E-2</v>
      </c>
      <c r="CC589" s="59">
        <v>0.39560000000000001</v>
      </c>
      <c r="CD589" s="59">
        <v>0.39269999999999999</v>
      </c>
      <c r="CE589" s="59">
        <v>0.21179999999999999</v>
      </c>
      <c r="CF589" s="59">
        <v>0</v>
      </c>
      <c r="CG589" s="59">
        <v>0</v>
      </c>
      <c r="CH589" s="49">
        <v>11.5</v>
      </c>
      <c r="CI589" s="39" t="s">
        <v>404</v>
      </c>
      <c r="CJ589" s="18" t="s">
        <v>479</v>
      </c>
      <c r="CK589" s="20"/>
    </row>
    <row r="590" spans="1:89" x14ac:dyDescent="0.25">
      <c r="A590" s="18" t="s">
        <v>479</v>
      </c>
      <c r="B590" s="39" t="s">
        <v>403</v>
      </c>
      <c r="C590" s="39" t="s">
        <v>405</v>
      </c>
      <c r="D590" s="40">
        <v>33</v>
      </c>
      <c r="E590" s="40" t="s">
        <v>83</v>
      </c>
      <c r="F590" s="40">
        <v>33</v>
      </c>
      <c r="G590" s="162" t="s">
        <v>83</v>
      </c>
      <c r="H590" s="162" t="s">
        <v>83</v>
      </c>
      <c r="I590" s="163">
        <v>0</v>
      </c>
      <c r="J590" s="163">
        <v>10</v>
      </c>
      <c r="K590" s="163">
        <v>7</v>
      </c>
      <c r="L590" s="163">
        <v>4</v>
      </c>
      <c r="M590" s="163">
        <v>12</v>
      </c>
      <c r="N590" s="115">
        <v>3.49576271186441E-2</v>
      </c>
      <c r="O590" s="115">
        <v>3.49576271186441E-2</v>
      </c>
      <c r="P590" s="116" t="s">
        <v>83</v>
      </c>
      <c r="Q590" s="116" t="s">
        <v>83</v>
      </c>
      <c r="R590" s="115">
        <v>0</v>
      </c>
      <c r="S590" s="115">
        <v>3.35570469798658E-2</v>
      </c>
      <c r="T590" s="115">
        <v>3.0172413793103502E-2</v>
      </c>
      <c r="U590" s="115">
        <v>0.02</v>
      </c>
      <c r="V590" s="115">
        <v>5.63380281690141E-2</v>
      </c>
      <c r="W590" s="40">
        <v>863</v>
      </c>
      <c r="X590" s="40">
        <f t="shared" si="44"/>
        <v>863</v>
      </c>
      <c r="Y590" s="40">
        <f t="shared" si="45"/>
        <v>863</v>
      </c>
      <c r="Z590" s="105">
        <v>0.50173812282734598</v>
      </c>
      <c r="AA590" s="105">
        <v>0.49826187717265402</v>
      </c>
      <c r="AB590" s="106">
        <v>1.1587485515643105E-3</v>
      </c>
      <c r="AC590" s="106">
        <v>4.6349942062572421E-3</v>
      </c>
      <c r="AD590" s="106">
        <v>0.58053302433371956</v>
      </c>
      <c r="AE590" s="106">
        <v>1.1587485515643106E-2</v>
      </c>
      <c r="AF590" s="106">
        <v>0</v>
      </c>
      <c r="AG590" s="106">
        <v>0.39976825028968715</v>
      </c>
      <c r="AH590" s="106">
        <v>2.3174971031286211E-3</v>
      </c>
      <c r="AI590" s="106">
        <v>0.6002317497103129</v>
      </c>
      <c r="AJ590" s="105">
        <v>0.64542294322132099</v>
      </c>
      <c r="AK590" s="105">
        <v>3.4762456546929298E-3</v>
      </c>
      <c r="AL590" s="12">
        <v>0</v>
      </c>
      <c r="AM590" s="12">
        <v>0</v>
      </c>
      <c r="AN590" s="12">
        <v>1</v>
      </c>
      <c r="AO590" s="12">
        <v>276</v>
      </c>
      <c r="AP590" s="12">
        <v>213</v>
      </c>
      <c r="AQ590" s="12">
        <v>189</v>
      </c>
      <c r="AR590" s="12">
        <v>184</v>
      </c>
      <c r="AS590" s="59">
        <v>3.6101083032490976E-3</v>
      </c>
      <c r="AT590" s="3">
        <v>9</v>
      </c>
      <c r="AU590" s="3">
        <v>6</v>
      </c>
      <c r="AV590" s="52">
        <v>61.4</v>
      </c>
      <c r="AW590" s="52">
        <v>12.7</v>
      </c>
      <c r="AX590" s="52">
        <v>16.399999999999999</v>
      </c>
      <c r="AY590" s="71">
        <v>9.5</v>
      </c>
      <c r="AZ590" s="59">
        <v>2.813852813852814E-2</v>
      </c>
      <c r="BA590" s="59">
        <v>0.11580086580086581</v>
      </c>
      <c r="BB590" s="78">
        <v>91.494710811924705</v>
      </c>
      <c r="BC590" s="49">
        <v>30.086580086580099</v>
      </c>
      <c r="BD590" s="90" t="s">
        <v>83</v>
      </c>
      <c r="BE590" s="90" t="s">
        <v>83</v>
      </c>
      <c r="BF590" s="49">
        <v>4.7</v>
      </c>
      <c r="BG590" s="49">
        <v>2.6</v>
      </c>
      <c r="BH590" s="49">
        <v>0</v>
      </c>
      <c r="BI590" s="49">
        <v>4.7</v>
      </c>
      <c r="BJ590" s="49">
        <v>18.100000000000001</v>
      </c>
      <c r="BK590" s="126">
        <v>10196</v>
      </c>
      <c r="BL590" s="126">
        <v>55031</v>
      </c>
      <c r="BM590" s="126">
        <v>45507</v>
      </c>
      <c r="BN590" s="126">
        <v>43989</v>
      </c>
      <c r="BO590" s="59">
        <v>0</v>
      </c>
      <c r="BP590" s="59">
        <v>0.35899999999999999</v>
      </c>
      <c r="BQ590" s="59">
        <v>0.22770000000000001</v>
      </c>
      <c r="BR590" s="59">
        <v>0</v>
      </c>
      <c r="BS590" s="59">
        <v>0</v>
      </c>
      <c r="BT590" s="49">
        <v>15.8</v>
      </c>
      <c r="BU590" s="59">
        <f t="shared" si="46"/>
        <v>0.5867</v>
      </c>
      <c r="BV590" s="59">
        <v>3.2599999999999997E-2</v>
      </c>
      <c r="BW590" s="59">
        <v>0</v>
      </c>
      <c r="BX590" s="59">
        <v>3.2599999999999997E-2</v>
      </c>
      <c r="BY590" s="59">
        <v>0</v>
      </c>
      <c r="BZ590" s="59">
        <v>0</v>
      </c>
      <c r="CA590" s="49">
        <v>17</v>
      </c>
      <c r="CB590" s="59">
        <f t="shared" si="47"/>
        <v>6.5199999999999994E-2</v>
      </c>
      <c r="CC590" s="59">
        <v>0.33040000000000003</v>
      </c>
      <c r="CD590" s="59">
        <v>0.37659999999999999</v>
      </c>
      <c r="CE590" s="59">
        <v>0.29299999999999998</v>
      </c>
      <c r="CF590" s="59">
        <v>0</v>
      </c>
      <c r="CG590" s="59">
        <v>0</v>
      </c>
      <c r="CH590" s="49">
        <v>14.5</v>
      </c>
      <c r="CI590" s="39" t="s">
        <v>405</v>
      </c>
      <c r="CJ590" s="18" t="s">
        <v>479</v>
      </c>
      <c r="CK590" s="20"/>
    </row>
    <row r="591" spans="1:89" x14ac:dyDescent="0.25">
      <c r="A591" s="18" t="s">
        <v>479</v>
      </c>
      <c r="B591" s="39" t="s">
        <v>403</v>
      </c>
      <c r="C591" s="39" t="s">
        <v>406</v>
      </c>
      <c r="D591" s="40">
        <v>5</v>
      </c>
      <c r="E591" s="40">
        <v>0</v>
      </c>
      <c r="F591" s="40">
        <v>5</v>
      </c>
      <c r="G591" s="163">
        <v>0</v>
      </c>
      <c r="H591" s="163">
        <v>0</v>
      </c>
      <c r="I591" s="162" t="s">
        <v>83</v>
      </c>
      <c r="J591" s="163">
        <v>1</v>
      </c>
      <c r="K591" s="163">
        <v>2</v>
      </c>
      <c r="L591" s="163">
        <v>2</v>
      </c>
      <c r="M591" s="163">
        <v>0</v>
      </c>
      <c r="N591" s="115">
        <v>9.5785440613026795E-3</v>
      </c>
      <c r="O591" s="115">
        <v>1.54798761609907E-2</v>
      </c>
      <c r="P591" s="115">
        <v>0</v>
      </c>
      <c r="Q591" s="115">
        <v>0</v>
      </c>
      <c r="R591" s="116" t="s">
        <v>83</v>
      </c>
      <c r="S591" s="115">
        <v>9.9009900990098994E-3</v>
      </c>
      <c r="T591" s="115">
        <v>2.40963855421687E-2</v>
      </c>
      <c r="U591" s="115">
        <v>2.7777777777777801E-2</v>
      </c>
      <c r="V591" s="115">
        <v>0</v>
      </c>
      <c r="W591" s="40">
        <v>483</v>
      </c>
      <c r="X591" s="40">
        <f t="shared" si="44"/>
        <v>296</v>
      </c>
      <c r="Y591" s="40">
        <f t="shared" si="45"/>
        <v>483</v>
      </c>
      <c r="Z591" s="105">
        <v>0.51345755693581796</v>
      </c>
      <c r="AA591" s="105">
        <v>0.48654244306418198</v>
      </c>
      <c r="AB591" s="106">
        <v>0</v>
      </c>
      <c r="AC591" s="106">
        <v>4.140786749482402E-3</v>
      </c>
      <c r="AD591" s="106">
        <v>0.29813664596273293</v>
      </c>
      <c r="AE591" s="106">
        <v>2.6915113871635612E-2</v>
      </c>
      <c r="AF591" s="106">
        <v>0</v>
      </c>
      <c r="AG591" s="106">
        <v>0.65424430641821951</v>
      </c>
      <c r="AH591" s="106">
        <v>1.6563146997929608E-2</v>
      </c>
      <c r="AI591" s="106">
        <v>0.34575569358178054</v>
      </c>
      <c r="AJ591" s="105">
        <v>0.58178053830227738</v>
      </c>
      <c r="AK591" s="105">
        <v>1.2422360248447201E-2</v>
      </c>
      <c r="AL591" s="12">
        <v>85</v>
      </c>
      <c r="AM591" s="12">
        <v>102</v>
      </c>
      <c r="AN591" s="12">
        <v>0</v>
      </c>
      <c r="AO591" s="12">
        <v>90</v>
      </c>
      <c r="AP591" s="12">
        <v>76</v>
      </c>
      <c r="AQ591" s="12">
        <v>65</v>
      </c>
      <c r="AR591" s="12">
        <v>65</v>
      </c>
      <c r="AS591" s="59">
        <v>0</v>
      </c>
      <c r="AT591" s="3">
        <v>7</v>
      </c>
      <c r="AU591" s="3">
        <v>6</v>
      </c>
      <c r="AV591" s="52">
        <v>63</v>
      </c>
      <c r="AW591" s="52">
        <v>11.1</v>
      </c>
      <c r="AX591" s="52">
        <v>19.2</v>
      </c>
      <c r="AY591" s="71">
        <v>6.7</v>
      </c>
      <c r="AZ591" s="59">
        <v>0.16441005802707931</v>
      </c>
      <c r="BA591" s="59">
        <v>9.8646034816247577E-2</v>
      </c>
      <c r="BB591" s="77">
        <v>93.592853051225504</v>
      </c>
      <c r="BC591" s="49">
        <v>8.4942084942084897</v>
      </c>
      <c r="BD591" s="49">
        <v>2.4</v>
      </c>
      <c r="BE591" s="49">
        <v>0</v>
      </c>
      <c r="BF591" s="49">
        <v>1.1000000000000001</v>
      </c>
      <c r="BG591" s="49">
        <v>1.3</v>
      </c>
      <c r="BH591" s="49">
        <v>1.6</v>
      </c>
      <c r="BI591" s="49">
        <v>1.5</v>
      </c>
      <c r="BJ591" s="49">
        <v>19.899999999999999</v>
      </c>
      <c r="BK591" s="126">
        <v>8927</v>
      </c>
      <c r="BL591" s="126">
        <v>54848</v>
      </c>
      <c r="BM591" s="126">
        <v>42309</v>
      </c>
      <c r="BN591" s="126">
        <v>41792</v>
      </c>
      <c r="BO591" s="59">
        <v>0</v>
      </c>
      <c r="BP591" s="59">
        <v>0.32969999999999999</v>
      </c>
      <c r="BQ591" s="59">
        <v>0.18659999999999999</v>
      </c>
      <c r="BR591" s="59">
        <v>0</v>
      </c>
      <c r="BS591" s="59">
        <v>2.23E-2</v>
      </c>
      <c r="BT591" s="49">
        <v>15</v>
      </c>
      <c r="BU591" s="59">
        <f t="shared" si="46"/>
        <v>0.53859999999999997</v>
      </c>
      <c r="BV591" s="59">
        <v>4.4499999999999998E-2</v>
      </c>
      <c r="BW591" s="59">
        <v>0</v>
      </c>
      <c r="BX591" s="59">
        <v>1.7399999999999999E-2</v>
      </c>
      <c r="BY591" s="59">
        <v>0</v>
      </c>
      <c r="BZ591" s="59">
        <v>0</v>
      </c>
      <c r="CA591" s="49">
        <v>14.2</v>
      </c>
      <c r="CB591" s="59">
        <f t="shared" si="47"/>
        <v>6.1899999999999997E-2</v>
      </c>
      <c r="CC591" s="59">
        <v>0.37719999999999998</v>
      </c>
      <c r="CD591" s="59">
        <v>0.37419999999999998</v>
      </c>
      <c r="CE591" s="59">
        <v>0.2263</v>
      </c>
      <c r="CF591" s="59">
        <v>0</v>
      </c>
      <c r="CG591" s="59">
        <v>2.23E-2</v>
      </c>
      <c r="CH591" s="49">
        <v>15.2</v>
      </c>
      <c r="CI591" s="39" t="s">
        <v>406</v>
      </c>
      <c r="CJ591" s="18" t="s">
        <v>479</v>
      </c>
      <c r="CK591" s="20"/>
    </row>
    <row r="592" spans="1:89" x14ac:dyDescent="0.25">
      <c r="A592" s="18" t="s">
        <v>479</v>
      </c>
      <c r="B592" s="39" t="s">
        <v>403</v>
      </c>
      <c r="C592" s="39" t="s">
        <v>407</v>
      </c>
      <c r="D592" s="40">
        <v>20</v>
      </c>
      <c r="E592" s="40" t="s">
        <v>83</v>
      </c>
      <c r="F592" s="40">
        <v>20</v>
      </c>
      <c r="G592" s="162" t="s">
        <v>83</v>
      </c>
      <c r="H592" s="162" t="s">
        <v>83</v>
      </c>
      <c r="I592" s="163">
        <v>0</v>
      </c>
      <c r="J592" s="163">
        <v>4</v>
      </c>
      <c r="K592" s="163">
        <v>6</v>
      </c>
      <c r="L592" s="163">
        <v>6</v>
      </c>
      <c r="M592" s="163">
        <v>4</v>
      </c>
      <c r="N592" s="115">
        <v>3.1645569620253201E-2</v>
      </c>
      <c r="O592" s="115">
        <v>3.1645569620253201E-2</v>
      </c>
      <c r="P592" s="116" t="s">
        <v>83</v>
      </c>
      <c r="Q592" s="116" t="s">
        <v>83</v>
      </c>
      <c r="R592" s="115">
        <v>0</v>
      </c>
      <c r="S592" s="115">
        <v>2.2988505747126398E-2</v>
      </c>
      <c r="T592" s="115">
        <v>3.59281437125748E-2</v>
      </c>
      <c r="U592" s="115">
        <v>3.9735099337748297E-2</v>
      </c>
      <c r="V592" s="115">
        <v>3.3333333333333298E-2</v>
      </c>
      <c r="W592" s="40">
        <v>577</v>
      </c>
      <c r="X592" s="40">
        <f t="shared" si="44"/>
        <v>577</v>
      </c>
      <c r="Y592" s="40">
        <f t="shared" si="45"/>
        <v>577</v>
      </c>
      <c r="Z592" s="105">
        <v>0.46100519930675898</v>
      </c>
      <c r="AA592" s="105">
        <v>0.53899480069324102</v>
      </c>
      <c r="AB592" s="106">
        <v>0</v>
      </c>
      <c r="AC592" s="106">
        <v>3.4662045060658577E-3</v>
      </c>
      <c r="AD592" s="106">
        <v>0.39341421143847488</v>
      </c>
      <c r="AE592" s="106">
        <v>6.9324090121317154E-3</v>
      </c>
      <c r="AF592" s="106">
        <v>0</v>
      </c>
      <c r="AG592" s="106">
        <v>0.59098786828422878</v>
      </c>
      <c r="AH592" s="106">
        <v>5.1993067590987872E-3</v>
      </c>
      <c r="AI592" s="106">
        <v>0.40901213171577122</v>
      </c>
      <c r="AJ592" s="105">
        <v>0.59272097053726169</v>
      </c>
      <c r="AK592" s="105">
        <v>0</v>
      </c>
      <c r="AL592" s="12">
        <v>0</v>
      </c>
      <c r="AM592" s="12">
        <v>0</v>
      </c>
      <c r="AN592" s="12">
        <v>20</v>
      </c>
      <c r="AO592" s="12">
        <v>161</v>
      </c>
      <c r="AP592" s="12">
        <v>151</v>
      </c>
      <c r="AQ592" s="12">
        <v>132</v>
      </c>
      <c r="AR592" s="12">
        <v>113</v>
      </c>
      <c r="AS592" s="59">
        <v>0.11049723756906077</v>
      </c>
      <c r="AT592" s="3">
        <v>9</v>
      </c>
      <c r="AU592" s="3">
        <v>6</v>
      </c>
      <c r="AV592" s="52">
        <v>57.4</v>
      </c>
      <c r="AW592" s="52">
        <v>17.600000000000001</v>
      </c>
      <c r="AX592" s="52">
        <v>23.8</v>
      </c>
      <c r="AY592" s="71">
        <v>1.2</v>
      </c>
      <c r="AZ592" s="59">
        <v>0.16316639741518579</v>
      </c>
      <c r="BA592" s="59">
        <v>0.16962843295638125</v>
      </c>
      <c r="BB592" s="78">
        <v>91.568010207283194</v>
      </c>
      <c r="BC592" s="49">
        <v>32.419354838709701</v>
      </c>
      <c r="BD592" s="90" t="s">
        <v>83</v>
      </c>
      <c r="BE592" s="90" t="s">
        <v>83</v>
      </c>
      <c r="BF592" s="49">
        <v>0.6</v>
      </c>
      <c r="BG592" s="49">
        <v>3.8</v>
      </c>
      <c r="BH592" s="49">
        <v>3.3</v>
      </c>
      <c r="BI592" s="49">
        <v>3.8</v>
      </c>
      <c r="BJ592" s="49">
        <v>19.3</v>
      </c>
      <c r="BK592" s="126">
        <v>10076</v>
      </c>
      <c r="BL592" s="126">
        <v>54155</v>
      </c>
      <c r="BM592" s="126">
        <v>47733</v>
      </c>
      <c r="BN592" s="126">
        <v>42370</v>
      </c>
      <c r="BO592" s="59">
        <v>0</v>
      </c>
      <c r="BP592" s="59">
        <v>0.31709999999999999</v>
      </c>
      <c r="BQ592" s="59">
        <v>0.25069999999999998</v>
      </c>
      <c r="BR592" s="59">
        <v>0</v>
      </c>
      <c r="BS592" s="59">
        <v>0</v>
      </c>
      <c r="BT592" s="49">
        <v>12.3</v>
      </c>
      <c r="BU592" s="59">
        <f t="shared" si="46"/>
        <v>0.56779999999999997</v>
      </c>
      <c r="BV592" s="59">
        <v>3.3599999999999998E-2</v>
      </c>
      <c r="BW592" s="59">
        <v>0</v>
      </c>
      <c r="BX592" s="59">
        <v>3.3599999999999998E-2</v>
      </c>
      <c r="BY592" s="59">
        <v>0</v>
      </c>
      <c r="BZ592" s="59">
        <v>0</v>
      </c>
      <c r="CA592" s="49">
        <v>13.8</v>
      </c>
      <c r="CB592" s="59">
        <f t="shared" si="47"/>
        <v>6.7199999999999996E-2</v>
      </c>
      <c r="CC592" s="59">
        <v>0.3483</v>
      </c>
      <c r="CD592" s="59">
        <v>0.33389999999999997</v>
      </c>
      <c r="CE592" s="59">
        <v>0.31780000000000003</v>
      </c>
      <c r="CF592" s="59">
        <v>0</v>
      </c>
      <c r="CG592" s="59">
        <v>0</v>
      </c>
      <c r="CH592" s="49">
        <v>11.1</v>
      </c>
      <c r="CI592" s="39" t="s">
        <v>407</v>
      </c>
      <c r="CJ592" s="18" t="s">
        <v>479</v>
      </c>
      <c r="CK592" s="20"/>
    </row>
    <row r="593" spans="1:99" x14ac:dyDescent="0.25">
      <c r="A593" s="18" t="s">
        <v>479</v>
      </c>
      <c r="B593" s="39" t="s">
        <v>408</v>
      </c>
      <c r="C593" s="39" t="s">
        <v>409</v>
      </c>
      <c r="D593" s="40">
        <v>17</v>
      </c>
      <c r="E593" s="40" t="s">
        <v>83</v>
      </c>
      <c r="F593" s="40">
        <v>17</v>
      </c>
      <c r="G593" s="162" t="s">
        <v>83</v>
      </c>
      <c r="H593" s="162" t="s">
        <v>83</v>
      </c>
      <c r="I593" s="163">
        <v>0</v>
      </c>
      <c r="J593" s="163">
        <v>4</v>
      </c>
      <c r="K593" s="163">
        <v>5</v>
      </c>
      <c r="L593" s="163">
        <v>6</v>
      </c>
      <c r="M593" s="163">
        <v>2</v>
      </c>
      <c r="N593" s="115">
        <v>2.7331189710610899E-2</v>
      </c>
      <c r="O593" s="115">
        <v>2.7331189710610899E-2</v>
      </c>
      <c r="P593" s="116" t="s">
        <v>83</v>
      </c>
      <c r="Q593" s="116" t="s">
        <v>83</v>
      </c>
      <c r="R593" s="115">
        <v>0</v>
      </c>
      <c r="S593" s="115">
        <v>2.1276595744680899E-2</v>
      </c>
      <c r="T593" s="115">
        <v>3.8461538461538498E-2</v>
      </c>
      <c r="U593" s="115">
        <v>4.08163265306122E-2</v>
      </c>
      <c r="V593" s="115">
        <v>1.3986013986014E-2</v>
      </c>
      <c r="W593" s="40">
        <v>595</v>
      </c>
      <c r="X593" s="40">
        <f t="shared" si="44"/>
        <v>595</v>
      </c>
      <c r="Y593" s="40">
        <f t="shared" si="45"/>
        <v>595</v>
      </c>
      <c r="Z593" s="105">
        <v>0.45882352941176502</v>
      </c>
      <c r="AA593" s="105">
        <v>0.54117647058823504</v>
      </c>
      <c r="AB593" s="106">
        <v>3.3613445378151263E-3</v>
      </c>
      <c r="AC593" s="106">
        <v>1.6806722689075631E-3</v>
      </c>
      <c r="AD593" s="106">
        <v>0.36134453781512604</v>
      </c>
      <c r="AE593" s="106">
        <v>2.689075630252101E-2</v>
      </c>
      <c r="AF593" s="106">
        <v>0</v>
      </c>
      <c r="AG593" s="106">
        <v>0.60504201680672265</v>
      </c>
      <c r="AH593" s="106">
        <v>1.6806722689075631E-3</v>
      </c>
      <c r="AI593" s="106">
        <v>0.3949579831932773</v>
      </c>
      <c r="AJ593" s="105">
        <v>0.44201680672268906</v>
      </c>
      <c r="AK593" s="105">
        <v>1.1764705882352899E-2</v>
      </c>
      <c r="AL593" s="12">
        <v>0</v>
      </c>
      <c r="AM593" s="12">
        <v>0</v>
      </c>
      <c r="AN593" s="12">
        <v>13</v>
      </c>
      <c r="AO593" s="12">
        <v>177</v>
      </c>
      <c r="AP593" s="12">
        <v>126</v>
      </c>
      <c r="AQ593" s="12">
        <v>142</v>
      </c>
      <c r="AR593" s="12">
        <v>137</v>
      </c>
      <c r="AS593" s="59">
        <v>6.8421052631578952E-2</v>
      </c>
      <c r="AT593" s="3">
        <v>9</v>
      </c>
      <c r="AU593" s="3">
        <v>6</v>
      </c>
      <c r="AV593" s="52">
        <v>71.5</v>
      </c>
      <c r="AW593" s="52">
        <v>22.2</v>
      </c>
      <c r="AX593" s="52">
        <v>6.3</v>
      </c>
      <c r="AY593" s="70">
        <v>0</v>
      </c>
      <c r="AZ593" s="59">
        <v>0.11688311688311688</v>
      </c>
      <c r="BA593" s="59">
        <v>2.1103896103896104E-2</v>
      </c>
      <c r="BB593" s="77">
        <v>94.701571085081895</v>
      </c>
      <c r="BC593" s="49">
        <v>22.8896103896104</v>
      </c>
      <c r="BD593" s="90" t="s">
        <v>83</v>
      </c>
      <c r="BE593" s="90" t="s">
        <v>83</v>
      </c>
      <c r="BF593" s="49">
        <v>7.2</v>
      </c>
      <c r="BG593" s="49">
        <v>6.8</v>
      </c>
      <c r="BH593" s="49">
        <v>0</v>
      </c>
      <c r="BI593" s="49">
        <v>1.6</v>
      </c>
      <c r="BJ593" s="49">
        <v>21.1</v>
      </c>
      <c r="BK593" s="126">
        <v>12710</v>
      </c>
      <c r="BL593" s="126">
        <v>51918</v>
      </c>
      <c r="BM593" s="126">
        <v>52592</v>
      </c>
      <c r="BN593" s="126">
        <v>45155</v>
      </c>
      <c r="BO593" s="59">
        <v>0</v>
      </c>
      <c r="BP593" s="59">
        <v>0.49</v>
      </c>
      <c r="BQ593" s="59">
        <v>0.18099999999999999</v>
      </c>
      <c r="BR593" s="59">
        <v>0</v>
      </c>
      <c r="BS593" s="59">
        <v>6.8999999999999999E-3</v>
      </c>
      <c r="BT593" s="49">
        <v>14.3</v>
      </c>
      <c r="BU593" s="59">
        <f t="shared" si="46"/>
        <v>0.67790000000000006</v>
      </c>
      <c r="BV593" s="59">
        <v>2.93E-2</v>
      </c>
      <c r="BW593" s="59">
        <v>0</v>
      </c>
      <c r="BX593" s="59">
        <v>4.3900000000000002E-2</v>
      </c>
      <c r="BY593" s="59">
        <v>0</v>
      </c>
      <c r="BZ593" s="59">
        <v>0</v>
      </c>
      <c r="CA593" s="49">
        <v>22</v>
      </c>
      <c r="CB593" s="59">
        <f t="shared" si="47"/>
        <v>7.3200000000000001E-2</v>
      </c>
      <c r="CC593" s="59">
        <v>0.2049</v>
      </c>
      <c r="CD593" s="59">
        <v>0.53390000000000004</v>
      </c>
      <c r="CE593" s="59">
        <v>0.25419999999999998</v>
      </c>
      <c r="CF593" s="59">
        <v>0</v>
      </c>
      <c r="CG593" s="59">
        <v>6.8999999999999999E-3</v>
      </c>
      <c r="CH593" s="49">
        <v>13.9</v>
      </c>
      <c r="CI593" s="39" t="s">
        <v>409</v>
      </c>
      <c r="CJ593" s="18" t="s">
        <v>479</v>
      </c>
      <c r="CK593" s="20"/>
    </row>
    <row r="594" spans="1:99" x14ac:dyDescent="0.25">
      <c r="A594" s="18" t="s">
        <v>479</v>
      </c>
      <c r="B594" s="39" t="s">
        <v>408</v>
      </c>
      <c r="C594" s="39" t="s">
        <v>410</v>
      </c>
      <c r="D594" s="40">
        <v>9</v>
      </c>
      <c r="E594" s="40" t="s">
        <v>83</v>
      </c>
      <c r="F594" s="40">
        <v>9</v>
      </c>
      <c r="G594" s="162" t="s">
        <v>83</v>
      </c>
      <c r="H594" s="162" t="s">
        <v>83</v>
      </c>
      <c r="I594" s="163">
        <v>0</v>
      </c>
      <c r="J594" s="163">
        <v>1</v>
      </c>
      <c r="K594" s="163">
        <v>4</v>
      </c>
      <c r="L594" s="163">
        <v>3</v>
      </c>
      <c r="M594" s="163">
        <v>1</v>
      </c>
      <c r="N594" s="115">
        <v>1.9108280254777101E-2</v>
      </c>
      <c r="O594" s="115">
        <v>1.9108280254777101E-2</v>
      </c>
      <c r="P594" s="116" t="s">
        <v>83</v>
      </c>
      <c r="Q594" s="116" t="s">
        <v>83</v>
      </c>
      <c r="R594" s="115">
        <v>0</v>
      </c>
      <c r="S594" s="115">
        <v>8.1300813008130107E-3</v>
      </c>
      <c r="T594" s="115">
        <v>2.7586206896551699E-2</v>
      </c>
      <c r="U594" s="115">
        <v>3.1914893617021302E-2</v>
      </c>
      <c r="V594" s="115">
        <v>9.3457943925233603E-3</v>
      </c>
      <c r="W594" s="40">
        <v>422</v>
      </c>
      <c r="X594" s="40">
        <f t="shared" si="44"/>
        <v>422</v>
      </c>
      <c r="Y594" s="40">
        <f t="shared" si="45"/>
        <v>422</v>
      </c>
      <c r="Z594" s="105">
        <v>0.48341232227488201</v>
      </c>
      <c r="AA594" s="105">
        <v>0.51658767772511804</v>
      </c>
      <c r="AB594" s="106">
        <v>0</v>
      </c>
      <c r="AC594" s="106">
        <v>0</v>
      </c>
      <c r="AD594" s="106">
        <v>0.74407582938388628</v>
      </c>
      <c r="AE594" s="106">
        <v>4.2654028436018961E-2</v>
      </c>
      <c r="AF594" s="106">
        <v>0</v>
      </c>
      <c r="AG594" s="106">
        <v>0.2109004739336493</v>
      </c>
      <c r="AH594" s="106">
        <v>2.3696682464454978E-3</v>
      </c>
      <c r="AI594" s="106">
        <v>0.7890995260663507</v>
      </c>
      <c r="AJ594" s="105">
        <v>0.77488151658767768</v>
      </c>
      <c r="AK594" s="105">
        <v>2.8436018957346001E-2</v>
      </c>
      <c r="AL594" s="12">
        <v>0</v>
      </c>
      <c r="AM594" s="12">
        <v>0</v>
      </c>
      <c r="AN594" s="12">
        <v>1</v>
      </c>
      <c r="AO594" s="12">
        <v>106</v>
      </c>
      <c r="AP594" s="12">
        <v>134</v>
      </c>
      <c r="AQ594" s="12">
        <v>88</v>
      </c>
      <c r="AR594" s="12">
        <v>93</v>
      </c>
      <c r="AS594" s="59">
        <v>9.3457943925233638E-3</v>
      </c>
      <c r="AT594" s="3">
        <v>9</v>
      </c>
      <c r="AU594" s="3">
        <v>6</v>
      </c>
      <c r="AV594" s="52">
        <v>77.3</v>
      </c>
      <c r="AW594" s="52">
        <v>16.2</v>
      </c>
      <c r="AX594" s="52">
        <v>6.2</v>
      </c>
      <c r="AY594" s="71">
        <v>0.4</v>
      </c>
      <c r="AZ594" s="59">
        <v>0.35546038543897218</v>
      </c>
      <c r="BA594" s="59">
        <v>2.1413276231263382E-2</v>
      </c>
      <c r="BB594" s="78">
        <v>93.867488443759598</v>
      </c>
      <c r="BC594" s="49">
        <v>21.627408993576001</v>
      </c>
      <c r="BD594" s="90" t="s">
        <v>83</v>
      </c>
      <c r="BE594" s="90" t="s">
        <v>83</v>
      </c>
      <c r="BF594" s="49">
        <v>25.2</v>
      </c>
      <c r="BG594" s="49">
        <v>17.600000000000001</v>
      </c>
      <c r="BH594" s="49">
        <v>4.9000000000000004</v>
      </c>
      <c r="BI594" s="49">
        <v>4</v>
      </c>
      <c r="BJ594" s="49">
        <v>17.5</v>
      </c>
      <c r="BK594" s="126">
        <v>15328</v>
      </c>
      <c r="BL594" s="126">
        <v>48556</v>
      </c>
      <c r="BM594" s="126">
        <v>50278</v>
      </c>
      <c r="BN594" s="126">
        <v>41574</v>
      </c>
      <c r="BO594" s="59">
        <v>0</v>
      </c>
      <c r="BP594" s="59">
        <v>0.39789999999999998</v>
      </c>
      <c r="BQ594" s="59">
        <v>0.22270000000000001</v>
      </c>
      <c r="BR594" s="59">
        <v>1.41E-2</v>
      </c>
      <c r="BS594" s="59">
        <v>0</v>
      </c>
      <c r="BT594" s="49">
        <v>8.1</v>
      </c>
      <c r="BU594" s="59">
        <f t="shared" si="46"/>
        <v>0.63470000000000004</v>
      </c>
      <c r="BV594" s="59">
        <v>2.8299999999999999E-2</v>
      </c>
      <c r="BW594" s="59">
        <v>0</v>
      </c>
      <c r="BX594" s="59">
        <v>4.24E-2</v>
      </c>
      <c r="BY594" s="59">
        <v>0</v>
      </c>
      <c r="BZ594" s="59">
        <v>0</v>
      </c>
      <c r="CA594" s="49">
        <v>15</v>
      </c>
      <c r="CB594" s="59">
        <f t="shared" si="47"/>
        <v>7.0699999999999999E-2</v>
      </c>
      <c r="CC594" s="59">
        <v>0.25219999999999998</v>
      </c>
      <c r="CD594" s="59">
        <v>0.42609999999999998</v>
      </c>
      <c r="CE594" s="59">
        <v>0.29339999999999999</v>
      </c>
      <c r="CF594" s="59">
        <v>1.41E-2</v>
      </c>
      <c r="CG594" s="59">
        <v>1.41E-2</v>
      </c>
      <c r="CH594" s="49">
        <v>9.1</v>
      </c>
      <c r="CI594" s="39" t="s">
        <v>410</v>
      </c>
      <c r="CJ594" s="18" t="s">
        <v>479</v>
      </c>
      <c r="CK594" s="20"/>
    </row>
    <row r="595" spans="1:99" x14ac:dyDescent="0.25">
      <c r="A595" s="18" t="s">
        <v>479</v>
      </c>
      <c r="B595" s="39" t="s">
        <v>411</v>
      </c>
      <c r="C595" s="39" t="s">
        <v>412</v>
      </c>
      <c r="D595" s="40">
        <v>1</v>
      </c>
      <c r="E595" s="40">
        <v>0</v>
      </c>
      <c r="F595" s="40">
        <v>1</v>
      </c>
      <c r="G595" s="163">
        <v>0</v>
      </c>
      <c r="H595" s="163">
        <v>0</v>
      </c>
      <c r="I595" s="162" t="s">
        <v>83</v>
      </c>
      <c r="J595" s="163">
        <v>0</v>
      </c>
      <c r="K595" s="163">
        <v>1</v>
      </c>
      <c r="L595" s="163">
        <v>0</v>
      </c>
      <c r="M595" s="163">
        <v>0</v>
      </c>
      <c r="N595" s="115">
        <v>8.1300813008130107E-3</v>
      </c>
      <c r="O595" s="115">
        <v>1.20481927710843E-2</v>
      </c>
      <c r="P595" s="115">
        <v>0</v>
      </c>
      <c r="Q595" s="115">
        <v>0</v>
      </c>
      <c r="R595" s="116" t="s">
        <v>83</v>
      </c>
      <c r="S595" s="115">
        <v>0</v>
      </c>
      <c r="T595" s="115">
        <v>4.7619047619047603E-2</v>
      </c>
      <c r="U595" s="115">
        <v>0</v>
      </c>
      <c r="V595" s="115">
        <v>0</v>
      </c>
      <c r="W595" s="40">
        <v>293</v>
      </c>
      <c r="X595" s="40">
        <f t="shared" si="44"/>
        <v>68</v>
      </c>
      <c r="Y595" s="40">
        <f t="shared" si="45"/>
        <v>104</v>
      </c>
      <c r="Z595" s="105">
        <v>0.46757679180887401</v>
      </c>
      <c r="AA595" s="105">
        <v>0.53242320819112599</v>
      </c>
      <c r="AB595" s="106">
        <v>0</v>
      </c>
      <c r="AC595" s="106">
        <v>0</v>
      </c>
      <c r="AD595" s="106">
        <v>0.36177474402730375</v>
      </c>
      <c r="AE595" s="106">
        <v>3.0716723549488054E-2</v>
      </c>
      <c r="AF595" s="106">
        <v>0</v>
      </c>
      <c r="AG595" s="106">
        <v>0.60409556313993173</v>
      </c>
      <c r="AH595" s="106">
        <v>3.4129692832764505E-3</v>
      </c>
      <c r="AI595" s="106">
        <v>0.39590443686006827</v>
      </c>
      <c r="AJ595" s="105">
        <v>0.86689419795221845</v>
      </c>
      <c r="AK595" s="105">
        <v>2.0477815699658699E-2</v>
      </c>
      <c r="AL595" s="12">
        <v>14</v>
      </c>
      <c r="AM595" s="12">
        <v>22</v>
      </c>
      <c r="AN595" s="12">
        <v>0</v>
      </c>
      <c r="AO595" s="12">
        <v>19</v>
      </c>
      <c r="AP595" s="12">
        <v>15</v>
      </c>
      <c r="AQ595" s="12">
        <v>20</v>
      </c>
      <c r="AR595" s="12">
        <v>14</v>
      </c>
      <c r="AS595" s="59">
        <v>0</v>
      </c>
      <c r="AT595" s="3">
        <v>1</v>
      </c>
      <c r="AU595" s="3">
        <v>6</v>
      </c>
      <c r="AV595" s="52">
        <v>77</v>
      </c>
      <c r="AW595" s="52">
        <v>19.399999999999999</v>
      </c>
      <c r="AX595" s="52">
        <v>3.6</v>
      </c>
      <c r="AY595" s="70">
        <v>0</v>
      </c>
      <c r="AZ595" s="59">
        <v>2.932551319648094E-2</v>
      </c>
      <c r="BA595" s="59">
        <v>2.6392961876832845E-2</v>
      </c>
      <c r="BB595" s="77">
        <v>93.323594482729405</v>
      </c>
      <c r="BC595" s="49">
        <v>24.764890282131699</v>
      </c>
      <c r="BD595" s="49">
        <v>0</v>
      </c>
      <c r="BE595" s="49">
        <v>0</v>
      </c>
      <c r="BF595" s="49">
        <v>0</v>
      </c>
      <c r="BG595" s="49">
        <v>0</v>
      </c>
      <c r="BH595" s="49">
        <v>0</v>
      </c>
      <c r="BI595" s="49">
        <v>0</v>
      </c>
      <c r="BJ595" s="49">
        <v>16.399999999999999</v>
      </c>
      <c r="BK595" s="126">
        <v>11016</v>
      </c>
      <c r="BL595" s="126">
        <v>48864</v>
      </c>
      <c r="BM595" s="126">
        <v>48385</v>
      </c>
      <c r="BN595" s="126">
        <v>38741</v>
      </c>
      <c r="BO595" s="59">
        <v>0</v>
      </c>
      <c r="BP595" s="59">
        <v>0.30659999999999998</v>
      </c>
      <c r="BQ595" s="59">
        <v>0.27339999999999998</v>
      </c>
      <c r="BR595" s="59">
        <v>0</v>
      </c>
      <c r="BS595" s="59">
        <v>0</v>
      </c>
      <c r="BT595" s="49">
        <v>13.5</v>
      </c>
      <c r="BU595" s="59">
        <f t="shared" si="46"/>
        <v>0.57999999999999996</v>
      </c>
      <c r="BV595" s="59">
        <v>2.7300000000000001E-2</v>
      </c>
      <c r="BW595" s="59">
        <v>0</v>
      </c>
      <c r="BX595" s="59">
        <v>2.6599999999999999E-2</v>
      </c>
      <c r="BY595" s="59">
        <v>0</v>
      </c>
      <c r="BZ595" s="59">
        <v>0</v>
      </c>
      <c r="CA595" s="49">
        <v>15.3</v>
      </c>
      <c r="CB595" s="59">
        <f t="shared" si="47"/>
        <v>5.3900000000000003E-2</v>
      </c>
      <c r="CC595" s="59">
        <v>0.39350000000000002</v>
      </c>
      <c r="CD595" s="59">
        <v>0.30659999999999998</v>
      </c>
      <c r="CE595" s="59">
        <v>0.2999</v>
      </c>
      <c r="CF595" s="59">
        <v>0</v>
      </c>
      <c r="CG595" s="59">
        <v>0</v>
      </c>
      <c r="CH595" s="49">
        <v>13.9</v>
      </c>
      <c r="CI595" s="39" t="s">
        <v>412</v>
      </c>
      <c r="CJ595" s="18" t="s">
        <v>479</v>
      </c>
      <c r="CK595" s="20"/>
    </row>
    <row r="596" spans="1:99" x14ac:dyDescent="0.25">
      <c r="A596" s="18" t="s">
        <v>479</v>
      </c>
      <c r="B596" s="39" t="s">
        <v>411</v>
      </c>
      <c r="C596" s="39" t="s">
        <v>413</v>
      </c>
      <c r="D596" s="40">
        <v>5</v>
      </c>
      <c r="E596" s="40">
        <v>1</v>
      </c>
      <c r="F596" s="40">
        <v>4</v>
      </c>
      <c r="G596" s="163">
        <v>0</v>
      </c>
      <c r="H596" s="163">
        <v>1</v>
      </c>
      <c r="I596" s="162" t="s">
        <v>83</v>
      </c>
      <c r="J596" s="163">
        <v>1</v>
      </c>
      <c r="K596" s="163">
        <v>1</v>
      </c>
      <c r="L596" s="163">
        <v>2</v>
      </c>
      <c r="M596" s="163">
        <v>0</v>
      </c>
      <c r="N596" s="115">
        <v>1.72413793103448E-2</v>
      </c>
      <c r="O596" s="115">
        <v>2.39520958083832E-2</v>
      </c>
      <c r="P596" s="115">
        <v>0</v>
      </c>
      <c r="Q596" s="115">
        <v>1.63934426229508E-2</v>
      </c>
      <c r="R596" s="116" t="s">
        <v>83</v>
      </c>
      <c r="S596" s="115">
        <v>2.2222222222222199E-2</v>
      </c>
      <c r="T596" s="115">
        <v>1.9230769230769201E-2</v>
      </c>
      <c r="U596" s="115">
        <v>5.8823529411764698E-2</v>
      </c>
      <c r="V596" s="115">
        <v>0</v>
      </c>
      <c r="W596" s="40">
        <v>576</v>
      </c>
      <c r="X596" s="40">
        <f t="shared" si="44"/>
        <v>154</v>
      </c>
      <c r="Y596" s="40">
        <f t="shared" si="45"/>
        <v>255</v>
      </c>
      <c r="Z596" s="105">
        <v>0.46354166666666702</v>
      </c>
      <c r="AA596" s="105">
        <v>0.53645833333333304</v>
      </c>
      <c r="AB596" s="106">
        <v>0</v>
      </c>
      <c r="AC596" s="106">
        <v>0</v>
      </c>
      <c r="AD596" s="106">
        <v>9.5486111111111105E-2</v>
      </c>
      <c r="AE596" s="106">
        <v>3.6458333333333336E-2</v>
      </c>
      <c r="AF596" s="106">
        <v>0</v>
      </c>
      <c r="AG596" s="106">
        <v>0.86284722222222221</v>
      </c>
      <c r="AH596" s="106">
        <v>5.208333333333333E-3</v>
      </c>
      <c r="AI596" s="106">
        <v>0.13715277777777779</v>
      </c>
      <c r="AJ596" s="105">
        <v>0.75173611111111116</v>
      </c>
      <c r="AK596" s="105">
        <v>1.2152777777777801E-2</v>
      </c>
      <c r="AL596" s="12">
        <v>52</v>
      </c>
      <c r="AM596" s="12">
        <v>49</v>
      </c>
      <c r="AN596" s="12">
        <v>0</v>
      </c>
      <c r="AO596" s="12">
        <v>41</v>
      </c>
      <c r="AP596" s="12">
        <v>47</v>
      </c>
      <c r="AQ596" s="12">
        <v>31</v>
      </c>
      <c r="AR596" s="12">
        <v>35</v>
      </c>
      <c r="AS596" s="59">
        <v>0</v>
      </c>
      <c r="AT596" s="3">
        <v>1</v>
      </c>
      <c r="AU596" s="3">
        <v>6</v>
      </c>
      <c r="AV596" s="52">
        <v>75.5</v>
      </c>
      <c r="AW596" s="52">
        <v>17</v>
      </c>
      <c r="AX596" s="52">
        <v>5.0999999999999996</v>
      </c>
      <c r="AY596" s="71">
        <v>2.4</v>
      </c>
      <c r="AZ596" s="59">
        <v>7.4581430745814303E-2</v>
      </c>
      <c r="BA596" s="59">
        <v>9.1324200913242004E-3</v>
      </c>
      <c r="BB596" s="78">
        <v>94.443735985802505</v>
      </c>
      <c r="BC596" s="49">
        <v>25.796178343948998</v>
      </c>
      <c r="BD596" s="49">
        <v>1.9</v>
      </c>
      <c r="BE596" s="49">
        <v>0</v>
      </c>
      <c r="BF596" s="49">
        <v>0</v>
      </c>
      <c r="BG596" s="49">
        <v>2.7</v>
      </c>
      <c r="BH596" s="49">
        <v>0</v>
      </c>
      <c r="BI596" s="49">
        <v>8.8000000000000007</v>
      </c>
      <c r="BJ596" s="49">
        <v>21.6</v>
      </c>
      <c r="BK596" s="126">
        <v>10349</v>
      </c>
      <c r="BL596" s="126">
        <v>49321</v>
      </c>
      <c r="BM596" s="126">
        <v>45199</v>
      </c>
      <c r="BN596" s="126">
        <v>36455</v>
      </c>
      <c r="BO596" s="59">
        <v>0</v>
      </c>
      <c r="BP596" s="59">
        <v>0.24390000000000001</v>
      </c>
      <c r="BQ596" s="59">
        <v>0.2374</v>
      </c>
      <c r="BR596" s="59">
        <v>1.41E-2</v>
      </c>
      <c r="BS596" s="59">
        <v>0</v>
      </c>
      <c r="BT596" s="49">
        <v>16.2</v>
      </c>
      <c r="BU596" s="59">
        <f t="shared" si="46"/>
        <v>0.49540000000000001</v>
      </c>
      <c r="BV596" s="59">
        <v>2.81E-2</v>
      </c>
      <c r="BW596" s="59">
        <v>0</v>
      </c>
      <c r="BX596" s="59">
        <v>2.81E-2</v>
      </c>
      <c r="BY596" s="59">
        <v>0</v>
      </c>
      <c r="BZ596" s="59">
        <v>0</v>
      </c>
      <c r="CA596" s="49">
        <v>22.2</v>
      </c>
      <c r="CB596" s="59">
        <f t="shared" si="47"/>
        <v>5.62E-2</v>
      </c>
      <c r="CC596" s="59">
        <v>0.40529999999999999</v>
      </c>
      <c r="CD596" s="59">
        <v>0.30099999999999999</v>
      </c>
      <c r="CE596" s="59">
        <v>0.27960000000000002</v>
      </c>
      <c r="CF596" s="59">
        <v>1.41E-2</v>
      </c>
      <c r="CG596" s="59">
        <v>0</v>
      </c>
      <c r="CH596" s="49">
        <v>14.9</v>
      </c>
      <c r="CI596" s="39" t="s">
        <v>413</v>
      </c>
      <c r="CJ596" s="18" t="s">
        <v>479</v>
      </c>
      <c r="CK596" s="20"/>
    </row>
    <row r="597" spans="1:99" x14ac:dyDescent="0.25">
      <c r="A597" s="18" t="s">
        <v>479</v>
      </c>
      <c r="B597" s="39" t="s">
        <v>411</v>
      </c>
      <c r="C597" s="39" t="s">
        <v>414</v>
      </c>
      <c r="D597" s="40">
        <v>2</v>
      </c>
      <c r="E597" s="40">
        <v>0</v>
      </c>
      <c r="F597" s="40">
        <v>2</v>
      </c>
      <c r="G597" s="163">
        <v>0</v>
      </c>
      <c r="H597" s="163">
        <v>0</v>
      </c>
      <c r="I597" s="162" t="s">
        <v>83</v>
      </c>
      <c r="J597" s="163">
        <v>1</v>
      </c>
      <c r="K597" s="163">
        <v>0</v>
      </c>
      <c r="L597" s="163">
        <v>1</v>
      </c>
      <c r="M597" s="163">
        <v>0</v>
      </c>
      <c r="N597" s="115">
        <v>1.3698630136986301E-2</v>
      </c>
      <c r="O597" s="115">
        <v>2.27272727272727E-2</v>
      </c>
      <c r="P597" s="115">
        <v>0</v>
      </c>
      <c r="Q597" s="115">
        <v>0</v>
      </c>
      <c r="R597" s="116" t="s">
        <v>83</v>
      </c>
      <c r="S597" s="115">
        <v>3.4482758620689703E-2</v>
      </c>
      <c r="T597" s="115">
        <v>0</v>
      </c>
      <c r="U597" s="115">
        <v>4.5454545454545497E-2</v>
      </c>
      <c r="V597" s="115">
        <v>0</v>
      </c>
      <c r="W597" s="40">
        <v>339</v>
      </c>
      <c r="X597" s="40">
        <f t="shared" si="44"/>
        <v>78</v>
      </c>
      <c r="Y597" s="40">
        <f t="shared" si="45"/>
        <v>132</v>
      </c>
      <c r="Z597" s="105">
        <v>0.474926253687316</v>
      </c>
      <c r="AA597" s="105">
        <v>0.525073746312684</v>
      </c>
      <c r="AB597" s="106">
        <v>0</v>
      </c>
      <c r="AC597" s="106">
        <v>0</v>
      </c>
      <c r="AD597" s="106">
        <v>0.14454277286135694</v>
      </c>
      <c r="AE597" s="106">
        <v>1.4749262536873156E-2</v>
      </c>
      <c r="AF597" s="106">
        <v>0</v>
      </c>
      <c r="AG597" s="106">
        <v>0.82595870206489674</v>
      </c>
      <c r="AH597" s="106">
        <v>1.4749262536873156E-2</v>
      </c>
      <c r="AI597" s="106">
        <v>0.17404129793510326</v>
      </c>
      <c r="AJ597" s="105">
        <v>0.6696165191740413</v>
      </c>
      <c r="AK597" s="105">
        <v>8.8495575221238902E-3</v>
      </c>
      <c r="AL597" s="12">
        <v>30</v>
      </c>
      <c r="AM597" s="12">
        <v>24</v>
      </c>
      <c r="AN597" s="12">
        <v>0</v>
      </c>
      <c r="AO597" s="12">
        <v>25</v>
      </c>
      <c r="AP597" s="12">
        <v>18</v>
      </c>
      <c r="AQ597" s="12">
        <v>20</v>
      </c>
      <c r="AR597" s="12">
        <v>15</v>
      </c>
      <c r="AS597" s="59">
        <v>0</v>
      </c>
      <c r="AT597" s="3">
        <v>1</v>
      </c>
      <c r="AU597" s="3">
        <v>6</v>
      </c>
      <c r="AV597" s="52">
        <v>86.4</v>
      </c>
      <c r="AW597" s="52">
        <v>9.1</v>
      </c>
      <c r="AX597" s="52">
        <v>4.5</v>
      </c>
      <c r="AY597" s="70">
        <v>0</v>
      </c>
      <c r="AZ597" s="59">
        <v>1.8087855297157621E-2</v>
      </c>
      <c r="BA597" s="59">
        <v>2.8423772609819122E-2</v>
      </c>
      <c r="BB597" s="77">
        <v>95.047083394401298</v>
      </c>
      <c r="BC597" s="49">
        <v>18.508287292817698</v>
      </c>
      <c r="BD597" s="49">
        <v>0</v>
      </c>
      <c r="BE597" s="49">
        <v>0</v>
      </c>
      <c r="BF597" s="49">
        <v>4.2</v>
      </c>
      <c r="BG597" s="49">
        <v>6.7</v>
      </c>
      <c r="BH597" s="49">
        <v>5.3</v>
      </c>
      <c r="BI597" s="49">
        <v>0</v>
      </c>
      <c r="BJ597" s="49">
        <v>19.600000000000001</v>
      </c>
      <c r="BK597" s="126">
        <v>10565</v>
      </c>
      <c r="BL597" s="126">
        <v>48572</v>
      </c>
      <c r="BM597" s="126">
        <v>46432</v>
      </c>
      <c r="BN597" s="126">
        <v>38401</v>
      </c>
      <c r="BO597" s="59">
        <v>0</v>
      </c>
      <c r="BP597" s="59">
        <v>0.39250000000000002</v>
      </c>
      <c r="BQ597" s="59">
        <v>0.17080000000000001</v>
      </c>
      <c r="BR597" s="59">
        <v>0</v>
      </c>
      <c r="BS597" s="59">
        <v>0</v>
      </c>
      <c r="BT597" s="49">
        <v>15.3</v>
      </c>
      <c r="BU597" s="59">
        <f t="shared" si="46"/>
        <v>0.56330000000000002</v>
      </c>
      <c r="BV597" s="59">
        <v>2.46E-2</v>
      </c>
      <c r="BW597" s="59">
        <v>0</v>
      </c>
      <c r="BX597" s="59">
        <v>2.3900000000000001E-2</v>
      </c>
      <c r="BY597" s="59">
        <v>0</v>
      </c>
      <c r="BZ597" s="59">
        <v>0</v>
      </c>
      <c r="CA597" s="49">
        <v>22.7</v>
      </c>
      <c r="CB597" s="59">
        <f t="shared" si="47"/>
        <v>4.8500000000000001E-2</v>
      </c>
      <c r="CC597" s="59">
        <v>0.33910000000000001</v>
      </c>
      <c r="CD597" s="59">
        <v>0.46629999999999999</v>
      </c>
      <c r="CE597" s="59">
        <v>0.1946</v>
      </c>
      <c r="CF597" s="59">
        <v>0</v>
      </c>
      <c r="CG597" s="59">
        <v>0</v>
      </c>
      <c r="CH597" s="49">
        <v>14.1</v>
      </c>
      <c r="CI597" s="39" t="s">
        <v>414</v>
      </c>
      <c r="CJ597" s="18" t="s">
        <v>479</v>
      </c>
      <c r="CK597" s="20"/>
    </row>
    <row r="598" spans="1:99" x14ac:dyDescent="0.25">
      <c r="A598" s="18" t="s">
        <v>479</v>
      </c>
      <c r="B598" s="39" t="s">
        <v>411</v>
      </c>
      <c r="C598" s="39" t="s">
        <v>415</v>
      </c>
      <c r="D598" s="40">
        <v>5</v>
      </c>
      <c r="E598" s="40">
        <v>1</v>
      </c>
      <c r="F598" s="40">
        <v>4</v>
      </c>
      <c r="G598" s="163">
        <v>0</v>
      </c>
      <c r="H598" s="163">
        <v>1</v>
      </c>
      <c r="I598" s="162" t="s">
        <v>83</v>
      </c>
      <c r="J598" s="163">
        <v>0</v>
      </c>
      <c r="K598" s="163">
        <v>3</v>
      </c>
      <c r="L598" s="163">
        <v>1</v>
      </c>
      <c r="M598" s="163">
        <v>0</v>
      </c>
      <c r="N598" s="115">
        <v>1.1933174224343699E-2</v>
      </c>
      <c r="O598" s="115">
        <v>1.63934426229508E-2</v>
      </c>
      <c r="P598" s="115">
        <v>0</v>
      </c>
      <c r="Q598" s="115">
        <v>1.1235955056179799E-2</v>
      </c>
      <c r="R598" s="116" t="s">
        <v>83</v>
      </c>
      <c r="S598" s="115">
        <v>0</v>
      </c>
      <c r="T598" s="115">
        <v>5.1724137931034503E-2</v>
      </c>
      <c r="U598" s="115">
        <v>1.6666666666666701E-2</v>
      </c>
      <c r="V598" s="115">
        <v>0</v>
      </c>
      <c r="W598" s="40">
        <v>457</v>
      </c>
      <c r="X598" s="40">
        <f t="shared" si="44"/>
        <v>229</v>
      </c>
      <c r="Y598" s="40">
        <f t="shared" si="45"/>
        <v>386</v>
      </c>
      <c r="Z598" s="105">
        <v>0.448577680525164</v>
      </c>
      <c r="AA598" s="105">
        <v>0.551422319474836</v>
      </c>
      <c r="AB598" s="106">
        <v>0</v>
      </c>
      <c r="AC598" s="106">
        <v>4.3763676148796497E-3</v>
      </c>
      <c r="AD598" s="106">
        <v>0.19912472647702406</v>
      </c>
      <c r="AE598" s="106">
        <v>2.1881838074398249E-2</v>
      </c>
      <c r="AF598" s="106">
        <v>0</v>
      </c>
      <c r="AG598" s="106">
        <v>0.7724288840262582</v>
      </c>
      <c r="AH598" s="106">
        <v>2.1881838074398249E-3</v>
      </c>
      <c r="AI598" s="106">
        <v>0.2275711159737418</v>
      </c>
      <c r="AJ598" s="105">
        <v>0.64551422319474838</v>
      </c>
      <c r="AK598" s="105">
        <v>6.5645514223194703E-3</v>
      </c>
      <c r="AL598" s="12">
        <v>78</v>
      </c>
      <c r="AM598" s="12">
        <v>79</v>
      </c>
      <c r="AN598" s="12">
        <v>0</v>
      </c>
      <c r="AO598" s="12">
        <v>70</v>
      </c>
      <c r="AP598" s="12">
        <v>50</v>
      </c>
      <c r="AQ598" s="12">
        <v>57</v>
      </c>
      <c r="AR598" s="12">
        <v>52</v>
      </c>
      <c r="AS598" s="59">
        <v>0</v>
      </c>
      <c r="AT598" s="3">
        <v>6</v>
      </c>
      <c r="AU598" s="3">
        <v>6</v>
      </c>
      <c r="AV598" s="52">
        <v>60.2</v>
      </c>
      <c r="AW598" s="52">
        <v>29.4</v>
      </c>
      <c r="AX598" s="52">
        <v>9.1</v>
      </c>
      <c r="AY598" s="71">
        <v>1.3</v>
      </c>
      <c r="AZ598" s="59">
        <v>0.1750503018108652</v>
      </c>
      <c r="BA598" s="59">
        <v>4.0241448692152921E-3</v>
      </c>
      <c r="BB598" s="78">
        <v>95.869469645497801</v>
      </c>
      <c r="BC598" s="49">
        <v>19.517102615694199</v>
      </c>
      <c r="BD598" s="49">
        <v>2.8</v>
      </c>
      <c r="BE598" s="49">
        <v>1.3</v>
      </c>
      <c r="BF598" s="49">
        <v>0</v>
      </c>
      <c r="BG598" s="49">
        <v>4.0999999999999996</v>
      </c>
      <c r="BH598" s="49">
        <v>0</v>
      </c>
      <c r="BI598" s="49">
        <v>0</v>
      </c>
      <c r="BJ598" s="49">
        <v>20.9</v>
      </c>
      <c r="BK598" s="126">
        <v>9320</v>
      </c>
      <c r="BL598" s="126">
        <v>49694</v>
      </c>
      <c r="BM598" s="126">
        <v>36924</v>
      </c>
      <c r="BN598" s="126">
        <v>37443</v>
      </c>
      <c r="BO598" s="59">
        <v>0</v>
      </c>
      <c r="BP598" s="59">
        <v>0.3785</v>
      </c>
      <c r="BQ598" s="59">
        <v>0.12759999999999999</v>
      </c>
      <c r="BR598" s="59">
        <v>0</v>
      </c>
      <c r="BS598" s="59">
        <v>0</v>
      </c>
      <c r="BT598" s="49">
        <v>12.3</v>
      </c>
      <c r="BU598" s="59">
        <f t="shared" si="46"/>
        <v>0.50609999999999999</v>
      </c>
      <c r="BV598" s="59">
        <v>4.2999999999999997E-2</v>
      </c>
      <c r="BW598" s="59">
        <v>0</v>
      </c>
      <c r="BX598" s="59">
        <v>4.36E-2</v>
      </c>
      <c r="BY598" s="59">
        <v>0</v>
      </c>
      <c r="BZ598" s="59">
        <v>0</v>
      </c>
      <c r="CA598" s="49">
        <v>27.5</v>
      </c>
      <c r="CB598" s="59">
        <f t="shared" si="47"/>
        <v>8.6599999999999996E-2</v>
      </c>
      <c r="CC598" s="59">
        <v>0.40110000000000001</v>
      </c>
      <c r="CD598" s="59">
        <v>0.42149999999999999</v>
      </c>
      <c r="CE598" s="59">
        <v>0.1774</v>
      </c>
      <c r="CF598" s="59">
        <v>0</v>
      </c>
      <c r="CG598" s="59">
        <v>0</v>
      </c>
      <c r="CH598" s="49">
        <v>13.8</v>
      </c>
      <c r="CI598" s="39" t="s">
        <v>415</v>
      </c>
      <c r="CJ598" s="18" t="s">
        <v>479</v>
      </c>
      <c r="CK598" s="20"/>
    </row>
    <row r="599" spans="1:99" x14ac:dyDescent="0.25">
      <c r="A599" s="18" t="s">
        <v>479</v>
      </c>
      <c r="B599" s="39" t="s">
        <v>416</v>
      </c>
      <c r="C599" s="39" t="s">
        <v>417</v>
      </c>
      <c r="D599" s="40">
        <v>17</v>
      </c>
      <c r="E599" s="40" t="s">
        <v>83</v>
      </c>
      <c r="F599" s="40">
        <v>17</v>
      </c>
      <c r="G599" s="162" t="s">
        <v>83</v>
      </c>
      <c r="H599" s="162" t="s">
        <v>83</v>
      </c>
      <c r="I599" s="163">
        <v>0</v>
      </c>
      <c r="J599" s="163">
        <v>3</v>
      </c>
      <c r="K599" s="163">
        <v>3</v>
      </c>
      <c r="L599" s="163">
        <v>4</v>
      </c>
      <c r="M599" s="163">
        <v>7</v>
      </c>
      <c r="N599" s="115">
        <v>2.61136712749616E-2</v>
      </c>
      <c r="O599" s="115">
        <v>2.61136712749616E-2</v>
      </c>
      <c r="P599" s="116" t="s">
        <v>83</v>
      </c>
      <c r="Q599" s="116" t="s">
        <v>83</v>
      </c>
      <c r="R599" s="115">
        <v>0</v>
      </c>
      <c r="S599" s="115">
        <v>1.84049079754601E-2</v>
      </c>
      <c r="T599" s="115">
        <v>1.60427807486631E-2</v>
      </c>
      <c r="U599" s="115">
        <v>2.54777070063694E-2</v>
      </c>
      <c r="V599" s="115">
        <v>5.1851851851851899E-2</v>
      </c>
      <c r="W599" s="40">
        <v>622</v>
      </c>
      <c r="X599" s="40">
        <f t="shared" si="44"/>
        <v>622</v>
      </c>
      <c r="Y599" s="40">
        <f t="shared" si="45"/>
        <v>622</v>
      </c>
      <c r="Z599" s="105">
        <v>0.48070739549839198</v>
      </c>
      <c r="AA599" s="105">
        <v>0.51929260450160797</v>
      </c>
      <c r="AB599" s="106">
        <v>0</v>
      </c>
      <c r="AC599" s="106">
        <v>3.2154340836012861E-3</v>
      </c>
      <c r="AD599" s="106">
        <v>0.3987138263665595</v>
      </c>
      <c r="AE599" s="106">
        <v>1.2861736334405145E-2</v>
      </c>
      <c r="AF599" s="106">
        <v>0</v>
      </c>
      <c r="AG599" s="106">
        <v>0.58520900321543412</v>
      </c>
      <c r="AH599" s="106">
        <v>0</v>
      </c>
      <c r="AI599" s="106">
        <v>0.41479099678456594</v>
      </c>
      <c r="AJ599" s="105">
        <v>0.45980707395498394</v>
      </c>
      <c r="AK599" s="105">
        <v>6.4308681672025697E-3</v>
      </c>
      <c r="AL599" s="12">
        <v>0</v>
      </c>
      <c r="AM599" s="12">
        <v>0</v>
      </c>
      <c r="AN599" s="12">
        <v>9</v>
      </c>
      <c r="AO599" s="12">
        <v>156</v>
      </c>
      <c r="AP599" s="12">
        <v>181</v>
      </c>
      <c r="AQ599" s="12">
        <v>146</v>
      </c>
      <c r="AR599" s="12">
        <v>130</v>
      </c>
      <c r="AS599" s="59">
        <v>5.4545454545454543E-2</v>
      </c>
      <c r="AT599" s="3">
        <v>9</v>
      </c>
      <c r="AU599" s="3">
        <v>6</v>
      </c>
      <c r="AV599" s="52">
        <v>64.2</v>
      </c>
      <c r="AW599" s="52">
        <v>27.6</v>
      </c>
      <c r="AX599" s="52">
        <v>8</v>
      </c>
      <c r="AY599" s="71">
        <v>0.3</v>
      </c>
      <c r="AZ599" s="59">
        <v>5.4095826893353939E-2</v>
      </c>
      <c r="BA599" s="59">
        <v>0.17619783616692428</v>
      </c>
      <c r="BB599" s="77">
        <v>94.550074476474194</v>
      </c>
      <c r="BC599" s="49">
        <v>1.39103554868624</v>
      </c>
      <c r="BD599" s="90" t="s">
        <v>83</v>
      </c>
      <c r="BE599" s="90" t="s">
        <v>83</v>
      </c>
      <c r="BF599" s="49">
        <v>0.7</v>
      </c>
      <c r="BG599" s="49">
        <v>1.2</v>
      </c>
      <c r="BH599" s="49">
        <v>0.7</v>
      </c>
      <c r="BI599" s="49">
        <v>0.8</v>
      </c>
      <c r="BJ599" s="49">
        <v>21.5</v>
      </c>
      <c r="BK599" s="126">
        <v>14540</v>
      </c>
      <c r="BL599" s="126">
        <v>55366</v>
      </c>
      <c r="BM599" s="126">
        <v>55655</v>
      </c>
      <c r="BN599" s="126">
        <v>44000</v>
      </c>
      <c r="BO599" s="59">
        <v>0</v>
      </c>
      <c r="BP599" s="59">
        <v>0.22209999999999999</v>
      </c>
      <c r="BQ599" s="59">
        <v>0.2442</v>
      </c>
      <c r="BR599" s="59">
        <v>0</v>
      </c>
      <c r="BS599" s="59">
        <v>9.9000000000000008E-3</v>
      </c>
      <c r="BT599" s="49">
        <v>14.4</v>
      </c>
      <c r="BU599" s="59">
        <f t="shared" si="46"/>
        <v>0.47620000000000001</v>
      </c>
      <c r="BV599" s="59">
        <v>1.9800000000000002E-2</v>
      </c>
      <c r="BW599" s="59">
        <v>9.9000000000000008E-3</v>
      </c>
      <c r="BX599" s="59">
        <v>5.1799999999999999E-2</v>
      </c>
      <c r="BY599" s="59">
        <v>0</v>
      </c>
      <c r="BZ599" s="59">
        <v>0</v>
      </c>
      <c r="CA599" s="49">
        <v>19.8</v>
      </c>
      <c r="CB599" s="59">
        <f t="shared" si="47"/>
        <v>8.1500000000000003E-2</v>
      </c>
      <c r="CC599" s="59">
        <v>0.36380000000000001</v>
      </c>
      <c r="CD599" s="59">
        <v>0.27039999999999997</v>
      </c>
      <c r="CE599" s="59">
        <v>0.35589999999999999</v>
      </c>
      <c r="CF599" s="59">
        <v>0</v>
      </c>
      <c r="CG599" s="59">
        <v>9.9000000000000008E-3</v>
      </c>
      <c r="CH599" s="49">
        <v>14.6</v>
      </c>
      <c r="CI599" s="39" t="s">
        <v>417</v>
      </c>
      <c r="CJ599" s="18" t="s">
        <v>479</v>
      </c>
      <c r="CK599" s="20"/>
    </row>
    <row r="600" spans="1:99" x14ac:dyDescent="0.25">
      <c r="A600" s="18" t="s">
        <v>479</v>
      </c>
      <c r="B600" s="39" t="s">
        <v>418</v>
      </c>
      <c r="C600" s="39" t="s">
        <v>419</v>
      </c>
      <c r="D600" s="40">
        <v>0</v>
      </c>
      <c r="E600" s="40">
        <v>0</v>
      </c>
      <c r="F600" s="40">
        <v>0</v>
      </c>
      <c r="G600" s="163">
        <v>0</v>
      </c>
      <c r="H600" s="163">
        <v>0</v>
      </c>
      <c r="I600" s="163">
        <v>0</v>
      </c>
      <c r="J600" s="163">
        <v>0</v>
      </c>
      <c r="K600" s="163">
        <v>0</v>
      </c>
      <c r="L600" s="163">
        <v>0</v>
      </c>
      <c r="M600" s="163">
        <v>0</v>
      </c>
      <c r="N600" s="115">
        <v>0</v>
      </c>
      <c r="O600" s="115">
        <v>0</v>
      </c>
      <c r="P600" s="115">
        <v>0</v>
      </c>
      <c r="Q600" s="115">
        <v>0</v>
      </c>
      <c r="R600" s="115">
        <v>0</v>
      </c>
      <c r="S600" s="115">
        <v>0</v>
      </c>
      <c r="T600" s="115">
        <v>0</v>
      </c>
      <c r="U600" s="115">
        <v>0</v>
      </c>
      <c r="V600" s="115">
        <v>0</v>
      </c>
      <c r="W600" s="40">
        <v>243</v>
      </c>
      <c r="X600" s="40">
        <f t="shared" si="44"/>
        <v>73</v>
      </c>
      <c r="Y600" s="40">
        <f t="shared" si="45"/>
        <v>100</v>
      </c>
      <c r="Z600" s="105">
        <v>0.52674897119341602</v>
      </c>
      <c r="AA600" s="105">
        <v>0.47325102880658398</v>
      </c>
      <c r="AB600" s="106">
        <v>0</v>
      </c>
      <c r="AC600" s="106">
        <v>0</v>
      </c>
      <c r="AD600" s="106">
        <v>0.50205761316872433</v>
      </c>
      <c r="AE600" s="106">
        <v>3.7037037037037035E-2</v>
      </c>
      <c r="AF600" s="106">
        <v>0</v>
      </c>
      <c r="AG600" s="106">
        <v>0.45267489711934156</v>
      </c>
      <c r="AH600" s="106">
        <v>8.23045267489712E-3</v>
      </c>
      <c r="AI600" s="106">
        <v>0.54732510288065839</v>
      </c>
      <c r="AJ600" s="105">
        <v>0.79835390946502061</v>
      </c>
      <c r="AK600" s="105">
        <v>0</v>
      </c>
      <c r="AL600" s="12">
        <v>12</v>
      </c>
      <c r="AM600" s="12">
        <v>15</v>
      </c>
      <c r="AN600" s="12">
        <v>2</v>
      </c>
      <c r="AO600" s="12">
        <v>19</v>
      </c>
      <c r="AP600" s="12">
        <v>15</v>
      </c>
      <c r="AQ600" s="12">
        <v>21</v>
      </c>
      <c r="AR600" s="12">
        <v>16</v>
      </c>
      <c r="AS600" s="59">
        <v>9.5238095238095233E-2</v>
      </c>
      <c r="AT600" s="3">
        <v>1</v>
      </c>
      <c r="AU600" s="3">
        <v>6</v>
      </c>
      <c r="AV600" s="52">
        <v>92.3</v>
      </c>
      <c r="AW600" s="52">
        <v>2.6</v>
      </c>
      <c r="AX600" s="52">
        <v>5.0999999999999996</v>
      </c>
      <c r="AY600" s="70">
        <v>0</v>
      </c>
      <c r="AZ600" s="59">
        <v>0.16666666666666666</v>
      </c>
      <c r="BA600" s="59">
        <v>8.8888888888888892E-2</v>
      </c>
      <c r="BB600" s="78">
        <v>94.774520368099701</v>
      </c>
      <c r="BC600" s="49">
        <v>29.5275590551181</v>
      </c>
      <c r="BD600" s="49">
        <v>0</v>
      </c>
      <c r="BE600" s="49">
        <v>0</v>
      </c>
      <c r="BF600" s="49">
        <v>0</v>
      </c>
      <c r="BG600" s="49">
        <v>0</v>
      </c>
      <c r="BH600" s="49">
        <v>0</v>
      </c>
      <c r="BI600" s="49">
        <v>0</v>
      </c>
      <c r="BJ600" s="49">
        <v>19.2</v>
      </c>
      <c r="BK600" s="126">
        <v>12423</v>
      </c>
      <c r="BL600" s="126">
        <v>48324</v>
      </c>
      <c r="BM600" s="126">
        <v>48466</v>
      </c>
      <c r="BN600" s="126">
        <v>33588</v>
      </c>
      <c r="BO600" s="59">
        <v>0</v>
      </c>
      <c r="BP600" s="59">
        <v>0.28199999999999997</v>
      </c>
      <c r="BQ600" s="59">
        <v>0.14099999999999999</v>
      </c>
      <c r="BR600" s="59">
        <v>0</v>
      </c>
      <c r="BS600" s="59">
        <v>0</v>
      </c>
      <c r="BT600" s="49">
        <v>14.5</v>
      </c>
      <c r="BU600" s="59">
        <f t="shared" si="46"/>
        <v>0.42299999999999993</v>
      </c>
      <c r="BV600" s="59">
        <v>2.35E-2</v>
      </c>
      <c r="BW600" s="59">
        <v>0</v>
      </c>
      <c r="BX600" s="59">
        <v>4.7E-2</v>
      </c>
      <c r="BY600" s="59">
        <v>0</v>
      </c>
      <c r="BZ600" s="59">
        <v>0</v>
      </c>
      <c r="CA600" s="49">
        <v>11.7</v>
      </c>
      <c r="CB600" s="59">
        <f t="shared" si="47"/>
        <v>7.0500000000000007E-2</v>
      </c>
      <c r="CC600" s="59">
        <v>0.48299999999999998</v>
      </c>
      <c r="CD600" s="59">
        <v>0.30549999999999999</v>
      </c>
      <c r="CE600" s="59">
        <v>0.21149999999999999</v>
      </c>
      <c r="CF600" s="59">
        <v>0</v>
      </c>
      <c r="CG600" s="59">
        <v>0</v>
      </c>
      <c r="CH600" s="49">
        <v>13.1</v>
      </c>
      <c r="CI600" s="39" t="s">
        <v>419</v>
      </c>
      <c r="CJ600" s="18" t="s">
        <v>479</v>
      </c>
      <c r="CK600" s="20"/>
    </row>
    <row r="601" spans="1:99" x14ac:dyDescent="0.25">
      <c r="A601" s="18" t="s">
        <v>479</v>
      </c>
      <c r="B601" s="39" t="s">
        <v>418</v>
      </c>
      <c r="C601" s="39" t="s">
        <v>420</v>
      </c>
      <c r="D601" s="40">
        <v>1</v>
      </c>
      <c r="E601" s="40">
        <v>0</v>
      </c>
      <c r="F601" s="40">
        <v>1</v>
      </c>
      <c r="G601" s="163">
        <v>0</v>
      </c>
      <c r="H601" s="163">
        <v>0</v>
      </c>
      <c r="I601" s="163">
        <v>0</v>
      </c>
      <c r="J601" s="163">
        <v>0</v>
      </c>
      <c r="K601" s="163">
        <v>0</v>
      </c>
      <c r="L601" s="163">
        <v>0</v>
      </c>
      <c r="M601" s="163">
        <v>1</v>
      </c>
      <c r="N601" s="115">
        <v>6.5359477124183E-3</v>
      </c>
      <c r="O601" s="115">
        <v>9.6153846153846194E-3</v>
      </c>
      <c r="P601" s="115">
        <v>0</v>
      </c>
      <c r="Q601" s="115">
        <v>0</v>
      </c>
      <c r="R601" s="115">
        <v>0</v>
      </c>
      <c r="S601" s="115">
        <v>0</v>
      </c>
      <c r="T601" s="115">
        <v>0</v>
      </c>
      <c r="U601" s="115">
        <v>0</v>
      </c>
      <c r="V601" s="115">
        <v>4.5454545454545497E-2</v>
      </c>
      <c r="W601" s="40">
        <v>289</v>
      </c>
      <c r="X601" s="40">
        <f t="shared" si="44"/>
        <v>97</v>
      </c>
      <c r="Y601" s="40">
        <f t="shared" si="45"/>
        <v>140</v>
      </c>
      <c r="Z601" s="105">
        <v>0.52249134948096898</v>
      </c>
      <c r="AA601" s="105">
        <v>0.47750865051903102</v>
      </c>
      <c r="AB601" s="106">
        <v>0</v>
      </c>
      <c r="AC601" s="106">
        <v>0</v>
      </c>
      <c r="AD601" s="106">
        <v>0.12802768166089964</v>
      </c>
      <c r="AE601" s="106">
        <v>4.1522491349480967E-2</v>
      </c>
      <c r="AF601" s="106">
        <v>0</v>
      </c>
      <c r="AG601" s="106">
        <v>0.82006920415224915</v>
      </c>
      <c r="AH601" s="106">
        <v>1.0380622837370242E-2</v>
      </c>
      <c r="AI601" s="106">
        <v>0.17993079584775087</v>
      </c>
      <c r="AJ601" s="105">
        <v>0.58823529411764708</v>
      </c>
      <c r="AK601" s="105">
        <v>0</v>
      </c>
      <c r="AL601" s="12">
        <v>23</v>
      </c>
      <c r="AM601" s="12">
        <v>20</v>
      </c>
      <c r="AN601" s="12">
        <v>2</v>
      </c>
      <c r="AO601" s="12">
        <v>19</v>
      </c>
      <c r="AP601" s="12">
        <v>34</v>
      </c>
      <c r="AQ601" s="12">
        <v>21</v>
      </c>
      <c r="AR601" s="12">
        <v>21</v>
      </c>
      <c r="AS601" s="59">
        <v>9.5238095238095233E-2</v>
      </c>
      <c r="AT601" s="3">
        <v>1</v>
      </c>
      <c r="AU601" s="3">
        <v>6</v>
      </c>
      <c r="AV601" s="52">
        <v>77.7</v>
      </c>
      <c r="AW601" s="52">
        <v>20.3</v>
      </c>
      <c r="AX601" s="52">
        <v>2</v>
      </c>
      <c r="AY601" s="70">
        <v>0</v>
      </c>
      <c r="AZ601" s="59">
        <v>0</v>
      </c>
      <c r="BA601" s="59">
        <v>3.4482758620689655E-2</v>
      </c>
      <c r="BB601" s="77">
        <v>93.540493498515403</v>
      </c>
      <c r="BC601" s="49">
        <v>38</v>
      </c>
      <c r="BD601" s="49">
        <v>0</v>
      </c>
      <c r="BE601" s="49">
        <v>0</v>
      </c>
      <c r="BF601" s="49">
        <v>0</v>
      </c>
      <c r="BG601" s="49">
        <v>0</v>
      </c>
      <c r="BH601" s="49">
        <v>0</v>
      </c>
      <c r="BI601" s="49">
        <v>0</v>
      </c>
      <c r="BJ601" s="49">
        <v>18.8</v>
      </c>
      <c r="BK601" s="126">
        <v>11106</v>
      </c>
      <c r="BL601" s="126">
        <v>47485</v>
      </c>
      <c r="BM601" s="126">
        <v>51224</v>
      </c>
      <c r="BN601" s="126">
        <v>33599</v>
      </c>
      <c r="BO601" s="59">
        <v>0</v>
      </c>
      <c r="BP601" s="59">
        <v>0.37240000000000001</v>
      </c>
      <c r="BQ601" s="59">
        <v>7.0000000000000007E-2</v>
      </c>
      <c r="BR601" s="59">
        <v>0</v>
      </c>
      <c r="BS601" s="59">
        <v>0</v>
      </c>
      <c r="BT601" s="49">
        <v>15</v>
      </c>
      <c r="BU601" s="59">
        <f t="shared" si="46"/>
        <v>0.44240000000000002</v>
      </c>
      <c r="BV601" s="59">
        <v>2.3300000000000001E-2</v>
      </c>
      <c r="BW601" s="59">
        <v>0</v>
      </c>
      <c r="BX601" s="59">
        <v>2.1399999999999999E-2</v>
      </c>
      <c r="BY601" s="59">
        <v>2.3300000000000001E-2</v>
      </c>
      <c r="BZ601" s="59">
        <v>0</v>
      </c>
      <c r="CA601" s="49">
        <v>17.2</v>
      </c>
      <c r="CB601" s="59">
        <f t="shared" si="47"/>
        <v>6.8000000000000005E-2</v>
      </c>
      <c r="CC601" s="59">
        <v>0.4642</v>
      </c>
      <c r="CD601" s="59">
        <v>0.3957</v>
      </c>
      <c r="CE601" s="59">
        <v>0.1167</v>
      </c>
      <c r="CF601" s="59">
        <v>2.3300000000000001E-2</v>
      </c>
      <c r="CG601" s="59">
        <v>0</v>
      </c>
      <c r="CH601" s="49">
        <v>13.3</v>
      </c>
      <c r="CI601" s="39" t="s">
        <v>420</v>
      </c>
      <c r="CJ601" s="18" t="s">
        <v>479</v>
      </c>
      <c r="CK601" s="20"/>
    </row>
    <row r="602" spans="1:99" x14ac:dyDescent="0.25">
      <c r="A602" s="18" t="s">
        <v>479</v>
      </c>
      <c r="B602" s="39" t="s">
        <v>418</v>
      </c>
      <c r="C602" s="39" t="s">
        <v>421</v>
      </c>
      <c r="D602" s="40">
        <v>4</v>
      </c>
      <c r="E602" s="40">
        <v>0</v>
      </c>
      <c r="F602" s="40">
        <v>4</v>
      </c>
      <c r="G602" s="163">
        <v>0</v>
      </c>
      <c r="H602" s="163">
        <v>0</v>
      </c>
      <c r="I602" s="163">
        <v>1</v>
      </c>
      <c r="J602" s="163">
        <v>0</v>
      </c>
      <c r="K602" s="163">
        <v>1</v>
      </c>
      <c r="L602" s="163">
        <v>2</v>
      </c>
      <c r="M602" s="163">
        <v>0</v>
      </c>
      <c r="N602" s="115">
        <v>2.39520958083832E-2</v>
      </c>
      <c r="O602" s="115">
        <v>3.6363636363636397E-2</v>
      </c>
      <c r="P602" s="115">
        <v>0</v>
      </c>
      <c r="Q602" s="115">
        <v>0</v>
      </c>
      <c r="R602" s="115">
        <v>0.5</v>
      </c>
      <c r="S602" s="115">
        <v>0</v>
      </c>
      <c r="T602" s="115">
        <v>3.7037037037037E-2</v>
      </c>
      <c r="U602" s="115">
        <v>6.8965517241379296E-2</v>
      </c>
      <c r="V602" s="115">
        <v>0</v>
      </c>
      <c r="W602" s="40">
        <v>347</v>
      </c>
      <c r="X602" s="40">
        <f t="shared" si="44"/>
        <v>108</v>
      </c>
      <c r="Y602" s="40">
        <f t="shared" si="45"/>
        <v>159</v>
      </c>
      <c r="Z602" s="105">
        <v>0.51008645533141195</v>
      </c>
      <c r="AA602" s="105">
        <v>0.489913544668588</v>
      </c>
      <c r="AB602" s="106">
        <v>5.763688760806916E-3</v>
      </c>
      <c r="AC602" s="106">
        <v>2.881844380403458E-3</v>
      </c>
      <c r="AD602" s="106">
        <v>7.2046109510086456E-2</v>
      </c>
      <c r="AE602" s="106">
        <v>5.763688760806916E-3</v>
      </c>
      <c r="AF602" s="106">
        <v>0</v>
      </c>
      <c r="AG602" s="106">
        <v>0.90489913544668588</v>
      </c>
      <c r="AH602" s="106">
        <v>8.6455331412103754E-3</v>
      </c>
      <c r="AI602" s="106">
        <v>9.5100864553314124E-2</v>
      </c>
      <c r="AJ602" s="105">
        <v>0.73487031700288186</v>
      </c>
      <c r="AK602" s="105">
        <v>0</v>
      </c>
      <c r="AL602" s="12">
        <v>28</v>
      </c>
      <c r="AM602" s="12">
        <v>23</v>
      </c>
      <c r="AN602" s="12">
        <v>2</v>
      </c>
      <c r="AO602" s="12">
        <v>31</v>
      </c>
      <c r="AP602" s="12">
        <v>26</v>
      </c>
      <c r="AQ602" s="12">
        <v>28</v>
      </c>
      <c r="AR602" s="12">
        <v>21</v>
      </c>
      <c r="AS602" s="59">
        <v>6.0606060606060608E-2</v>
      </c>
      <c r="AT602" s="3">
        <v>1</v>
      </c>
      <c r="AU602" s="3">
        <v>6</v>
      </c>
      <c r="AV602" s="52">
        <v>69.7</v>
      </c>
      <c r="AW602" s="52">
        <v>18.899999999999999</v>
      </c>
      <c r="AX602" s="52">
        <v>11.4</v>
      </c>
      <c r="AY602" s="70">
        <v>0</v>
      </c>
      <c r="AZ602" s="59">
        <v>1.876675603217158E-2</v>
      </c>
      <c r="BA602" s="59">
        <v>5.6300268096514748E-2</v>
      </c>
      <c r="BB602" s="78">
        <v>92.779305515227094</v>
      </c>
      <c r="BC602" s="49">
        <v>43.589743589743598</v>
      </c>
      <c r="BD602" s="49">
        <v>10.3</v>
      </c>
      <c r="BE602" s="49">
        <v>4.2</v>
      </c>
      <c r="BF602" s="49">
        <v>3.2</v>
      </c>
      <c r="BG602" s="49">
        <v>4</v>
      </c>
      <c r="BH602" s="49">
        <v>0</v>
      </c>
      <c r="BI602" s="49">
        <v>0</v>
      </c>
      <c r="BJ602" s="49">
        <v>20</v>
      </c>
      <c r="BK602" s="126">
        <v>10248</v>
      </c>
      <c r="BL602" s="126">
        <v>47279</v>
      </c>
      <c r="BM602" s="126">
        <v>20592</v>
      </c>
      <c r="BN602" s="126">
        <v>32661</v>
      </c>
      <c r="BO602" s="59">
        <v>0</v>
      </c>
      <c r="BP602" s="59">
        <v>0.41610000000000003</v>
      </c>
      <c r="BQ602" s="59">
        <v>2.1499999999999998E-2</v>
      </c>
      <c r="BR602" s="59">
        <v>0</v>
      </c>
      <c r="BS602" s="59">
        <v>0</v>
      </c>
      <c r="BT602" s="49">
        <v>13.7</v>
      </c>
      <c r="BU602" s="59">
        <f t="shared" si="46"/>
        <v>0.43760000000000004</v>
      </c>
      <c r="BV602" s="59">
        <v>2.18E-2</v>
      </c>
      <c r="BW602" s="59">
        <v>0</v>
      </c>
      <c r="BX602" s="59">
        <v>4.3499999999999997E-2</v>
      </c>
      <c r="BY602" s="59">
        <v>0</v>
      </c>
      <c r="BZ602" s="59">
        <v>0</v>
      </c>
      <c r="CA602" s="49">
        <v>28.7</v>
      </c>
      <c r="CB602" s="59">
        <f t="shared" si="47"/>
        <v>6.5299999999999997E-2</v>
      </c>
      <c r="CC602" s="59">
        <v>0.4551</v>
      </c>
      <c r="CD602" s="59">
        <v>0.43630000000000002</v>
      </c>
      <c r="CE602" s="59">
        <v>0.1086</v>
      </c>
      <c r="CF602" s="59">
        <v>0</v>
      </c>
      <c r="CG602" s="59">
        <v>0</v>
      </c>
      <c r="CH602" s="49">
        <v>14.1</v>
      </c>
      <c r="CI602" s="39" t="s">
        <v>421</v>
      </c>
      <c r="CJ602" s="18" t="s">
        <v>479</v>
      </c>
      <c r="CK602" s="20"/>
    </row>
    <row r="603" spans="1:99" ht="15.75" thickBot="1" x14ac:dyDescent="0.3">
      <c r="A603" s="18" t="s">
        <v>479</v>
      </c>
      <c r="B603" s="39" t="s">
        <v>418</v>
      </c>
      <c r="C603" s="39" t="s">
        <v>422</v>
      </c>
      <c r="D603" s="40">
        <v>13</v>
      </c>
      <c r="E603" s="40" t="s">
        <v>83</v>
      </c>
      <c r="F603" s="40">
        <v>13</v>
      </c>
      <c r="G603" s="162" t="s">
        <v>83</v>
      </c>
      <c r="H603" s="162" t="s">
        <v>83</v>
      </c>
      <c r="I603" s="163">
        <v>2</v>
      </c>
      <c r="J603" s="163">
        <v>3</v>
      </c>
      <c r="K603" s="163">
        <v>1</v>
      </c>
      <c r="L603" s="163">
        <v>6</v>
      </c>
      <c r="M603" s="163">
        <v>1</v>
      </c>
      <c r="N603" s="115">
        <v>2.78372591006424E-2</v>
      </c>
      <c r="O603" s="115">
        <v>2.78372591006424E-2</v>
      </c>
      <c r="P603" s="116" t="s">
        <v>83</v>
      </c>
      <c r="Q603" s="116" t="s">
        <v>83</v>
      </c>
      <c r="R603" s="115">
        <v>0.18181818181818199</v>
      </c>
      <c r="S603" s="115">
        <v>2.5862068965517199E-2</v>
      </c>
      <c r="T603" s="115">
        <v>8.7719298245613996E-3</v>
      </c>
      <c r="U603" s="115">
        <v>4.9586776859504099E-2</v>
      </c>
      <c r="V603" s="115">
        <v>9.5238095238095195E-3</v>
      </c>
      <c r="W603" s="40">
        <v>435</v>
      </c>
      <c r="X603" s="40">
        <f t="shared" si="44"/>
        <v>435</v>
      </c>
      <c r="Y603" s="40">
        <f t="shared" si="45"/>
        <v>435</v>
      </c>
      <c r="Z603" s="105">
        <v>0.52873563218390796</v>
      </c>
      <c r="AA603" s="105">
        <v>0.47126436781609199</v>
      </c>
      <c r="AB603" s="106">
        <v>4.5977011494252873E-3</v>
      </c>
      <c r="AC603" s="106">
        <v>6.8965517241379309E-3</v>
      </c>
      <c r="AD603" s="106">
        <v>0.46206896551724136</v>
      </c>
      <c r="AE603" s="106">
        <v>1.6091954022988506E-2</v>
      </c>
      <c r="AF603" s="106">
        <v>0</v>
      </c>
      <c r="AG603" s="106">
        <v>0.50804597701149423</v>
      </c>
      <c r="AH603" s="106">
        <v>2.2988505747126436E-3</v>
      </c>
      <c r="AI603" s="106">
        <v>0.49195402298850577</v>
      </c>
      <c r="AJ603" s="105">
        <v>0.64137931034482754</v>
      </c>
      <c r="AK603" s="105">
        <v>2.2988505747126402E-3</v>
      </c>
      <c r="AL603" s="12">
        <v>0</v>
      </c>
      <c r="AM603" s="12">
        <v>0</v>
      </c>
      <c r="AN603" s="12">
        <v>13</v>
      </c>
      <c r="AO603" s="12">
        <v>104</v>
      </c>
      <c r="AP603" s="12">
        <v>109</v>
      </c>
      <c r="AQ603" s="12">
        <v>113</v>
      </c>
      <c r="AR603" s="12">
        <v>96</v>
      </c>
      <c r="AS603" s="59">
        <v>0.1111111111111111</v>
      </c>
      <c r="AT603" s="3">
        <v>9</v>
      </c>
      <c r="AU603" s="3">
        <v>6</v>
      </c>
      <c r="AV603" s="52">
        <v>57.5</v>
      </c>
      <c r="AW603" s="52">
        <v>23.7</v>
      </c>
      <c r="AX603" s="52">
        <v>18.3</v>
      </c>
      <c r="AY603" s="71">
        <v>0.5</v>
      </c>
      <c r="AZ603" s="59">
        <v>0.37149028077753782</v>
      </c>
      <c r="BA603" s="59">
        <v>0.13606911447084233</v>
      </c>
      <c r="BB603" s="77">
        <v>90.922554723318598</v>
      </c>
      <c r="BC603" s="49">
        <v>31.101511879049699</v>
      </c>
      <c r="BD603" s="90" t="s">
        <v>83</v>
      </c>
      <c r="BE603" s="90" t="s">
        <v>83</v>
      </c>
      <c r="BF603" s="49">
        <v>0</v>
      </c>
      <c r="BG603" s="49">
        <v>2.1</v>
      </c>
      <c r="BH603" s="49">
        <v>1.9</v>
      </c>
      <c r="BI603" s="49">
        <v>2</v>
      </c>
      <c r="BJ603" s="49">
        <v>18.100000000000001</v>
      </c>
      <c r="BK603" s="126">
        <v>10148</v>
      </c>
      <c r="BL603" s="126">
        <v>48150</v>
      </c>
      <c r="BM603" s="126">
        <v>33910</v>
      </c>
      <c r="BN603" s="126">
        <v>39495</v>
      </c>
      <c r="BO603" s="59">
        <v>0</v>
      </c>
      <c r="BP603" s="59">
        <v>0.45689999999999997</v>
      </c>
      <c r="BQ603" s="59">
        <v>0.17319999999999999</v>
      </c>
      <c r="BR603" s="59">
        <v>0</v>
      </c>
      <c r="BS603" s="59">
        <v>0</v>
      </c>
      <c r="BT603" s="49">
        <v>14</v>
      </c>
      <c r="BU603" s="59">
        <f t="shared" si="46"/>
        <v>0.63009999999999999</v>
      </c>
      <c r="BV603" s="59">
        <v>4.3499999999999997E-2</v>
      </c>
      <c r="BW603" s="59">
        <v>0</v>
      </c>
      <c r="BX603" s="59">
        <v>2.0400000000000001E-2</v>
      </c>
      <c r="BY603" s="59">
        <v>0</v>
      </c>
      <c r="BZ603" s="59">
        <v>2.1700000000000001E-2</v>
      </c>
      <c r="CA603" s="49">
        <v>28.3</v>
      </c>
      <c r="CB603" s="59">
        <f t="shared" si="47"/>
        <v>8.5599999999999996E-2</v>
      </c>
      <c r="CC603" s="59">
        <v>0.28299999999999997</v>
      </c>
      <c r="CD603" s="59">
        <v>0.47860000000000003</v>
      </c>
      <c r="CE603" s="59">
        <v>0.19500000000000001</v>
      </c>
      <c r="CF603" s="59">
        <v>0</v>
      </c>
      <c r="CG603" s="59">
        <v>4.3499999999999997E-2</v>
      </c>
      <c r="CH603" s="49">
        <v>14.9</v>
      </c>
      <c r="CI603" s="39" t="s">
        <v>422</v>
      </c>
      <c r="CJ603" s="18" t="s">
        <v>479</v>
      </c>
      <c r="CK603" s="20"/>
    </row>
    <row r="604" spans="1:99" s="1" customFormat="1" ht="21" customHeight="1" x14ac:dyDescent="0.25">
      <c r="A604" s="21" t="s">
        <v>0</v>
      </c>
      <c r="B604" s="22" t="s">
        <v>1</v>
      </c>
      <c r="C604" s="22" t="s">
        <v>2</v>
      </c>
      <c r="D604" s="9" t="s">
        <v>3</v>
      </c>
      <c r="E604" s="9" t="s">
        <v>4</v>
      </c>
      <c r="F604" s="9" t="s">
        <v>5</v>
      </c>
      <c r="G604" s="161" t="s">
        <v>565</v>
      </c>
      <c r="H604" s="161" t="s">
        <v>566</v>
      </c>
      <c r="I604" s="161" t="s">
        <v>567</v>
      </c>
      <c r="J604" s="161" t="s">
        <v>568</v>
      </c>
      <c r="K604" s="161" t="s">
        <v>569</v>
      </c>
      <c r="L604" s="161" t="s">
        <v>570</v>
      </c>
      <c r="M604" s="161" t="s">
        <v>571</v>
      </c>
      <c r="N604" s="120" t="s">
        <v>6</v>
      </c>
      <c r="O604" s="120" t="s">
        <v>7</v>
      </c>
      <c r="P604" s="120" t="s">
        <v>8</v>
      </c>
      <c r="Q604" s="120" t="s">
        <v>9</v>
      </c>
      <c r="R604" s="120" t="s">
        <v>10</v>
      </c>
      <c r="S604" s="120" t="s">
        <v>11</v>
      </c>
      <c r="T604" s="120" t="s">
        <v>12</v>
      </c>
      <c r="U604" s="120" t="s">
        <v>13</v>
      </c>
      <c r="V604" s="120" t="s">
        <v>14</v>
      </c>
      <c r="W604" s="41" t="s">
        <v>15</v>
      </c>
      <c r="X604" s="41" t="s">
        <v>16</v>
      </c>
      <c r="Y604" s="41" t="s">
        <v>17</v>
      </c>
      <c r="Z604" s="107" t="s">
        <v>18</v>
      </c>
      <c r="AA604" s="107" t="s">
        <v>19</v>
      </c>
      <c r="AB604" s="95" t="s">
        <v>20</v>
      </c>
      <c r="AC604" s="95" t="s">
        <v>21</v>
      </c>
      <c r="AD604" s="95" t="s">
        <v>22</v>
      </c>
      <c r="AE604" s="95" t="s">
        <v>23</v>
      </c>
      <c r="AF604" s="95" t="s">
        <v>24</v>
      </c>
      <c r="AG604" s="95" t="s">
        <v>25</v>
      </c>
      <c r="AH604" s="95" t="s">
        <v>26</v>
      </c>
      <c r="AI604" s="95" t="s">
        <v>27</v>
      </c>
      <c r="AJ604" s="95" t="s">
        <v>28</v>
      </c>
      <c r="AK604" s="107" t="s">
        <v>29</v>
      </c>
      <c r="AL604" s="42" t="s">
        <v>30</v>
      </c>
      <c r="AM604" s="42" t="s">
        <v>31</v>
      </c>
      <c r="AN604" s="42" t="s">
        <v>32</v>
      </c>
      <c r="AO604" s="42" t="s">
        <v>33</v>
      </c>
      <c r="AP604" s="42" t="s">
        <v>34</v>
      </c>
      <c r="AQ604" s="42" t="s">
        <v>35</v>
      </c>
      <c r="AR604" s="42" t="s">
        <v>36</v>
      </c>
      <c r="AS604" s="100" t="s">
        <v>37</v>
      </c>
      <c r="AT604" s="41" t="s">
        <v>38</v>
      </c>
      <c r="AU604" s="23" t="s">
        <v>39</v>
      </c>
      <c r="AV604" s="51" t="s">
        <v>40</v>
      </c>
      <c r="AW604" s="51" t="s">
        <v>41</v>
      </c>
      <c r="AX604" s="51" t="s">
        <v>42</v>
      </c>
      <c r="AY604" s="66" t="s">
        <v>43</v>
      </c>
      <c r="AZ604" s="58" t="s">
        <v>44</v>
      </c>
      <c r="BA604" s="58" t="s">
        <v>45</v>
      </c>
      <c r="BB604" s="75" t="s">
        <v>46</v>
      </c>
      <c r="BC604" s="83" t="s">
        <v>47</v>
      </c>
      <c r="BD604" s="89" t="s">
        <v>48</v>
      </c>
      <c r="BE604" s="89" t="s">
        <v>49</v>
      </c>
      <c r="BF604" s="89" t="s">
        <v>50</v>
      </c>
      <c r="BG604" s="89" t="s">
        <v>51</v>
      </c>
      <c r="BH604" s="89" t="s">
        <v>52</v>
      </c>
      <c r="BI604" s="89" t="s">
        <v>53</v>
      </c>
      <c r="BJ604" s="86" t="s">
        <v>54</v>
      </c>
      <c r="BK604" s="123" t="s">
        <v>55</v>
      </c>
      <c r="BL604" s="123" t="s">
        <v>56</v>
      </c>
      <c r="BM604" s="123" t="s">
        <v>57</v>
      </c>
      <c r="BN604" s="123" t="s">
        <v>58</v>
      </c>
      <c r="BO604" s="131" t="s">
        <v>59</v>
      </c>
      <c r="BP604" s="131" t="s">
        <v>60</v>
      </c>
      <c r="BQ604" s="131" t="s">
        <v>61</v>
      </c>
      <c r="BR604" s="131" t="s">
        <v>62</v>
      </c>
      <c r="BS604" s="131" t="s">
        <v>63</v>
      </c>
      <c r="BT604" s="131" t="s">
        <v>64</v>
      </c>
      <c r="BU604" s="131" t="s">
        <v>65</v>
      </c>
      <c r="BV604" s="132" t="s">
        <v>66</v>
      </c>
      <c r="BW604" s="132" t="s">
        <v>67</v>
      </c>
      <c r="BX604" s="132" t="s">
        <v>68</v>
      </c>
      <c r="BY604" s="132" t="s">
        <v>69</v>
      </c>
      <c r="BZ604" s="132" t="s">
        <v>70</v>
      </c>
      <c r="CA604" s="132" t="s">
        <v>71</v>
      </c>
      <c r="CB604" s="132" t="s">
        <v>72</v>
      </c>
      <c r="CC604" s="123" t="s">
        <v>73</v>
      </c>
      <c r="CD604" s="123" t="s">
        <v>74</v>
      </c>
      <c r="CE604" s="123" t="s">
        <v>75</v>
      </c>
      <c r="CF604" s="123" t="s">
        <v>76</v>
      </c>
      <c r="CG604" s="123" t="s">
        <v>77</v>
      </c>
      <c r="CH604" s="123" t="s">
        <v>78</v>
      </c>
      <c r="CI604" s="22" t="s">
        <v>2</v>
      </c>
      <c r="CJ604" s="21" t="s">
        <v>0</v>
      </c>
      <c r="CK604" s="24" t="s">
        <v>79</v>
      </c>
      <c r="CL604"/>
      <c r="CM604"/>
      <c r="CN604"/>
      <c r="CO604"/>
      <c r="CP604"/>
      <c r="CQ604"/>
      <c r="CU604"/>
    </row>
    <row r="605" spans="1:99" x14ac:dyDescent="0.25">
      <c r="A605" s="18" t="s">
        <v>479</v>
      </c>
      <c r="B605" s="39" t="s">
        <v>483</v>
      </c>
      <c r="C605" s="39" t="s">
        <v>424</v>
      </c>
      <c r="D605" s="40">
        <v>19</v>
      </c>
      <c r="E605" s="40" t="s">
        <v>83</v>
      </c>
      <c r="F605" s="40">
        <v>19</v>
      </c>
      <c r="G605" s="162" t="s">
        <v>83</v>
      </c>
      <c r="H605" s="162" t="s">
        <v>83</v>
      </c>
      <c r="I605" s="163">
        <v>3</v>
      </c>
      <c r="J605" s="163">
        <v>5</v>
      </c>
      <c r="K605" s="163">
        <v>5</v>
      </c>
      <c r="L605" s="163">
        <v>2</v>
      </c>
      <c r="M605" s="163">
        <v>4</v>
      </c>
      <c r="N605" s="115">
        <v>3.18791946308725E-2</v>
      </c>
      <c r="O605" s="115">
        <v>3.18791946308725E-2</v>
      </c>
      <c r="P605" s="116" t="s">
        <v>83</v>
      </c>
      <c r="Q605" s="116" t="s">
        <v>83</v>
      </c>
      <c r="R605" s="115">
        <v>6.1224489795918401E-2</v>
      </c>
      <c r="S605" s="115">
        <v>2.5125628140703501E-2</v>
      </c>
      <c r="T605" s="115">
        <v>3.9370078740157501E-2</v>
      </c>
      <c r="U605" s="115">
        <v>1.8181818181818198E-2</v>
      </c>
      <c r="V605" s="115">
        <v>3.6036036036036001E-2</v>
      </c>
      <c r="W605" s="40">
        <v>527</v>
      </c>
      <c r="X605" s="40">
        <f t="shared" ref="X605:X638" si="48">SUM(AN605:AR605)</f>
        <v>527</v>
      </c>
      <c r="Y605" s="40">
        <f t="shared" ref="Y605:Y638" si="49">SUM(AL605:AR605)</f>
        <v>527</v>
      </c>
      <c r="Z605" s="105">
        <v>0.52371916508538896</v>
      </c>
      <c r="AA605" s="105">
        <v>0.47628083491461098</v>
      </c>
      <c r="AB605" s="106">
        <v>0</v>
      </c>
      <c r="AC605" s="106">
        <v>0</v>
      </c>
      <c r="AD605" s="106">
        <v>0.99620493358633777</v>
      </c>
      <c r="AE605" s="106">
        <v>1.8975332068311196E-3</v>
      </c>
      <c r="AF605" s="106">
        <v>0</v>
      </c>
      <c r="AG605" s="106">
        <v>1.8975332068311196E-3</v>
      </c>
      <c r="AH605" s="106">
        <v>0</v>
      </c>
      <c r="AI605" s="106">
        <v>0.99810246679316883</v>
      </c>
      <c r="AJ605" s="105">
        <v>0.92979127134724859</v>
      </c>
      <c r="AK605" s="105">
        <v>0</v>
      </c>
      <c r="AL605" s="12">
        <v>0</v>
      </c>
      <c r="AM605" s="12">
        <v>0</v>
      </c>
      <c r="AN605" s="12">
        <v>45</v>
      </c>
      <c r="AO605" s="12">
        <v>168</v>
      </c>
      <c r="AP605" s="12">
        <v>108</v>
      </c>
      <c r="AQ605" s="12">
        <v>106</v>
      </c>
      <c r="AR605" s="12">
        <v>100</v>
      </c>
      <c r="AS605" s="59">
        <v>0.21126760563380281</v>
      </c>
      <c r="AT605" s="3">
        <v>9</v>
      </c>
      <c r="AU605" s="3">
        <v>6</v>
      </c>
      <c r="AV605" s="52">
        <v>55.2</v>
      </c>
      <c r="AW605" s="52">
        <v>29.8</v>
      </c>
      <c r="AX605" s="52">
        <v>14.9</v>
      </c>
      <c r="AY605" s="70">
        <v>0</v>
      </c>
      <c r="AZ605" s="59">
        <v>5.254237288135593E-2</v>
      </c>
      <c r="BA605" s="59">
        <v>0.29491525423728815</v>
      </c>
      <c r="BB605" s="78">
        <v>89.656450100158594</v>
      </c>
      <c r="BC605" s="49">
        <v>59.831932773109202</v>
      </c>
      <c r="BD605" s="90" t="s">
        <v>83</v>
      </c>
      <c r="BE605" s="90" t="s">
        <v>83</v>
      </c>
      <c r="BF605" s="49">
        <v>32</v>
      </c>
      <c r="BG605" s="49">
        <v>18.100000000000001</v>
      </c>
      <c r="BH605" s="49">
        <v>4.2</v>
      </c>
      <c r="BI605" s="49">
        <v>2.9</v>
      </c>
      <c r="BJ605" s="49">
        <v>16.8</v>
      </c>
      <c r="BK605" s="126">
        <v>14047</v>
      </c>
      <c r="BL605" s="126">
        <v>54546</v>
      </c>
      <c r="BM605" s="126">
        <v>54606</v>
      </c>
      <c r="BN605" s="126">
        <v>40898</v>
      </c>
      <c r="BO605" s="59">
        <v>0</v>
      </c>
      <c r="BP605" s="59">
        <v>0.24709999999999999</v>
      </c>
      <c r="BQ605" s="59">
        <v>0.19359999999999999</v>
      </c>
      <c r="BR605" s="59">
        <v>0</v>
      </c>
      <c r="BS605" s="59">
        <v>1.29E-2</v>
      </c>
      <c r="BT605" s="49">
        <v>13</v>
      </c>
      <c r="BU605" s="59">
        <f t="shared" si="46"/>
        <v>0.4536</v>
      </c>
      <c r="BV605" s="59">
        <v>3.8699999999999998E-2</v>
      </c>
      <c r="BW605" s="59">
        <v>1.26E-2</v>
      </c>
      <c r="BX605" s="59">
        <v>3.6499999999999998E-2</v>
      </c>
      <c r="BY605" s="59">
        <v>0</v>
      </c>
      <c r="BZ605" s="59">
        <v>0</v>
      </c>
      <c r="CA605" s="49">
        <v>19.600000000000001</v>
      </c>
      <c r="CB605" s="59">
        <f t="shared" si="47"/>
        <v>8.7799999999999989E-2</v>
      </c>
      <c r="CC605" s="59">
        <v>0.37</v>
      </c>
      <c r="CD605" s="59">
        <v>0.32050000000000001</v>
      </c>
      <c r="CE605" s="59">
        <v>0.29189999999999999</v>
      </c>
      <c r="CF605" s="59">
        <v>4.5999999999999999E-3</v>
      </c>
      <c r="CG605" s="59">
        <v>1.29E-2</v>
      </c>
      <c r="CH605" s="49">
        <v>13.5</v>
      </c>
      <c r="CI605" s="39" t="s">
        <v>424</v>
      </c>
      <c r="CJ605" s="18" t="s">
        <v>479</v>
      </c>
      <c r="CK605" s="20"/>
    </row>
    <row r="606" spans="1:99" x14ac:dyDescent="0.25">
      <c r="A606" s="18" t="s">
        <v>479</v>
      </c>
      <c r="B606" s="39" t="s">
        <v>483</v>
      </c>
      <c r="C606" s="39" t="s">
        <v>425</v>
      </c>
      <c r="D606" s="40">
        <v>19</v>
      </c>
      <c r="E606" s="40" t="s">
        <v>83</v>
      </c>
      <c r="F606" s="40">
        <v>19</v>
      </c>
      <c r="G606" s="162" t="s">
        <v>83</v>
      </c>
      <c r="H606" s="162" t="s">
        <v>83</v>
      </c>
      <c r="I606" s="163">
        <v>0</v>
      </c>
      <c r="J606" s="163">
        <v>9</v>
      </c>
      <c r="K606" s="163">
        <v>5</v>
      </c>
      <c r="L606" s="163">
        <v>2</v>
      </c>
      <c r="M606" s="163">
        <v>3</v>
      </c>
      <c r="N606" s="115">
        <v>1.8269230769230801E-2</v>
      </c>
      <c r="O606" s="115">
        <v>1.8269230769230801E-2</v>
      </c>
      <c r="P606" s="116" t="s">
        <v>83</v>
      </c>
      <c r="Q606" s="116" t="s">
        <v>83</v>
      </c>
      <c r="R606" s="115">
        <v>0</v>
      </c>
      <c r="S606" s="115">
        <v>3.2608695652173898E-2</v>
      </c>
      <c r="T606" s="115">
        <v>1.85185185185185E-2</v>
      </c>
      <c r="U606" s="115">
        <v>8.4388185654008397E-3</v>
      </c>
      <c r="V606" s="115">
        <v>1.4851485148514899E-2</v>
      </c>
      <c r="W606" s="40">
        <v>972</v>
      </c>
      <c r="X606" s="40">
        <f t="shared" si="48"/>
        <v>972</v>
      </c>
      <c r="Y606" s="40">
        <f t="shared" si="49"/>
        <v>972</v>
      </c>
      <c r="Z606" s="105">
        <v>0.48148148148148101</v>
      </c>
      <c r="AA606" s="105">
        <v>0.51851851851851805</v>
      </c>
      <c r="AB606" s="106">
        <v>2.05761316872428E-3</v>
      </c>
      <c r="AC606" s="106">
        <v>2.9835390946502057E-2</v>
      </c>
      <c r="AD606" s="106">
        <v>0.61008230452674894</v>
      </c>
      <c r="AE606" s="106">
        <v>1.4403292181069959E-2</v>
      </c>
      <c r="AF606" s="106">
        <v>1.02880658436214E-3</v>
      </c>
      <c r="AG606" s="106">
        <v>0.33436213991769548</v>
      </c>
      <c r="AH606" s="106">
        <v>8.23045267489712E-3</v>
      </c>
      <c r="AI606" s="106">
        <v>0.66563786008230452</v>
      </c>
      <c r="AJ606" s="105">
        <v>0.53600823045267487</v>
      </c>
      <c r="AK606" s="105">
        <v>5.1440329218106996E-3</v>
      </c>
      <c r="AL606" s="12">
        <v>0</v>
      </c>
      <c r="AM606" s="12">
        <v>0</v>
      </c>
      <c r="AN606" s="12">
        <v>50</v>
      </c>
      <c r="AO606" s="12">
        <v>252</v>
      </c>
      <c r="AP606" s="12">
        <v>262</v>
      </c>
      <c r="AQ606" s="12">
        <v>212</v>
      </c>
      <c r="AR606" s="12">
        <v>196</v>
      </c>
      <c r="AS606" s="59">
        <v>0.16556291390728478</v>
      </c>
      <c r="AT606" s="3">
        <v>9</v>
      </c>
      <c r="AU606" s="3">
        <v>6</v>
      </c>
      <c r="AV606" s="52">
        <v>70.3</v>
      </c>
      <c r="AW606" s="52">
        <v>20.2</v>
      </c>
      <c r="AX606" s="52">
        <v>9.4</v>
      </c>
      <c r="AY606" s="70">
        <v>0</v>
      </c>
      <c r="AZ606" s="59">
        <v>0</v>
      </c>
      <c r="BA606" s="59">
        <v>7.0667957405614712E-2</v>
      </c>
      <c r="BB606" s="77">
        <v>95.654543868829606</v>
      </c>
      <c r="BC606" s="49">
        <v>12.56038647343</v>
      </c>
      <c r="BD606" s="90" t="s">
        <v>83</v>
      </c>
      <c r="BE606" s="90" t="s">
        <v>83</v>
      </c>
      <c r="BF606" s="49">
        <v>6.1</v>
      </c>
      <c r="BG606" s="49">
        <v>1.3</v>
      </c>
      <c r="BH606" s="49">
        <v>0.5</v>
      </c>
      <c r="BI606" s="49">
        <v>1.5</v>
      </c>
      <c r="BJ606" s="49">
        <v>20.8</v>
      </c>
      <c r="BK606" s="126">
        <v>12129</v>
      </c>
      <c r="BL606" s="126">
        <v>56603</v>
      </c>
      <c r="BM606" s="126">
        <v>50827</v>
      </c>
      <c r="BN606" s="126">
        <v>46892</v>
      </c>
      <c r="BO606" s="59">
        <v>9.1999999999999998E-3</v>
      </c>
      <c r="BP606" s="59">
        <v>0.29389999999999999</v>
      </c>
      <c r="BQ606" s="59">
        <v>0.27629999999999999</v>
      </c>
      <c r="BR606" s="59">
        <v>0</v>
      </c>
      <c r="BS606" s="59">
        <v>9.1999999999999998E-3</v>
      </c>
      <c r="BT606" s="49">
        <v>16.899999999999999</v>
      </c>
      <c r="BU606" s="59">
        <f t="shared" si="46"/>
        <v>0.5885999999999999</v>
      </c>
      <c r="BV606" s="59">
        <v>3.4700000000000002E-2</v>
      </c>
      <c r="BW606" s="59">
        <v>1.54E-2</v>
      </c>
      <c r="BX606" s="59">
        <v>1.78E-2</v>
      </c>
      <c r="BY606" s="59">
        <v>0</v>
      </c>
      <c r="BZ606" s="59">
        <v>9.1999999999999998E-3</v>
      </c>
      <c r="CA606" s="49">
        <v>21.9</v>
      </c>
      <c r="CB606" s="59">
        <f t="shared" si="47"/>
        <v>7.7100000000000002E-2</v>
      </c>
      <c r="CC606" s="59">
        <v>0.27200000000000002</v>
      </c>
      <c r="CD606" s="59">
        <v>0.35210000000000002</v>
      </c>
      <c r="CE606" s="59">
        <v>0.35520000000000002</v>
      </c>
      <c r="CF606" s="59">
        <v>2.3E-3</v>
      </c>
      <c r="CG606" s="59">
        <v>1.8499999999999999E-2</v>
      </c>
      <c r="CH606" s="49">
        <v>16.7</v>
      </c>
      <c r="CI606" s="39" t="s">
        <v>425</v>
      </c>
      <c r="CJ606" s="18" t="s">
        <v>479</v>
      </c>
      <c r="CK606" s="20"/>
    </row>
    <row r="607" spans="1:99" x14ac:dyDescent="0.25">
      <c r="A607" s="18" t="s">
        <v>479</v>
      </c>
      <c r="B607" s="39" t="s">
        <v>483</v>
      </c>
      <c r="C607" s="39" t="s">
        <v>426</v>
      </c>
      <c r="D607" s="40">
        <v>25</v>
      </c>
      <c r="E607" s="40" t="s">
        <v>83</v>
      </c>
      <c r="F607" s="40">
        <v>25</v>
      </c>
      <c r="G607" s="162" t="s">
        <v>83</v>
      </c>
      <c r="H607" s="162" t="s">
        <v>83</v>
      </c>
      <c r="I607" s="163">
        <v>4</v>
      </c>
      <c r="J607" s="163">
        <v>9</v>
      </c>
      <c r="K607" s="163">
        <v>6</v>
      </c>
      <c r="L607" s="163">
        <v>2</v>
      </c>
      <c r="M607" s="163">
        <v>4</v>
      </c>
      <c r="N607" s="115">
        <v>3.4965034965035002E-2</v>
      </c>
      <c r="O607" s="115">
        <v>3.4965034965035002E-2</v>
      </c>
      <c r="P607" s="116" t="s">
        <v>83</v>
      </c>
      <c r="Q607" s="116" t="s">
        <v>83</v>
      </c>
      <c r="R607" s="115">
        <v>7.2727272727272696E-2</v>
      </c>
      <c r="S607" s="115">
        <v>4.1860465116279097E-2</v>
      </c>
      <c r="T607" s="115">
        <v>3.7267080745341602E-2</v>
      </c>
      <c r="U607" s="115">
        <v>1.4598540145985399E-2</v>
      </c>
      <c r="V607" s="115">
        <v>2.7210884353741499E-2</v>
      </c>
      <c r="W607" s="40">
        <v>620</v>
      </c>
      <c r="X607" s="40">
        <f t="shared" si="48"/>
        <v>620</v>
      </c>
      <c r="Y607" s="40">
        <f t="shared" si="49"/>
        <v>620</v>
      </c>
      <c r="Z607" s="105">
        <v>0.52580645161290296</v>
      </c>
      <c r="AA607" s="105">
        <v>0.47419354838709699</v>
      </c>
      <c r="AB607" s="106">
        <v>0</v>
      </c>
      <c r="AC607" s="106">
        <v>1.6129032258064516E-3</v>
      </c>
      <c r="AD607" s="106">
        <v>0.98709677419354835</v>
      </c>
      <c r="AE607" s="106">
        <v>1.6129032258064516E-3</v>
      </c>
      <c r="AF607" s="106">
        <v>0</v>
      </c>
      <c r="AG607" s="106">
        <v>4.8387096774193551E-3</v>
      </c>
      <c r="AH607" s="106">
        <v>4.8387096774193551E-3</v>
      </c>
      <c r="AI607" s="106">
        <v>0.99516129032258061</v>
      </c>
      <c r="AJ607" s="105">
        <v>0.90161290322580645</v>
      </c>
      <c r="AK607" s="105">
        <v>0</v>
      </c>
      <c r="AL607" s="12">
        <v>0</v>
      </c>
      <c r="AM607" s="12">
        <v>0</v>
      </c>
      <c r="AN607" s="12">
        <v>44</v>
      </c>
      <c r="AO607" s="12">
        <v>187</v>
      </c>
      <c r="AP607" s="12">
        <v>144</v>
      </c>
      <c r="AQ607" s="12">
        <v>118</v>
      </c>
      <c r="AR607" s="12">
        <v>127</v>
      </c>
      <c r="AS607" s="59">
        <v>0.19047619047619047</v>
      </c>
      <c r="AT607" s="3">
        <v>9</v>
      </c>
      <c r="AU607" s="3">
        <v>6</v>
      </c>
      <c r="AV607" s="52">
        <v>75.900000000000006</v>
      </c>
      <c r="AW607" s="52">
        <v>14.6</v>
      </c>
      <c r="AX607" s="52">
        <v>8.4</v>
      </c>
      <c r="AY607" s="71">
        <v>1.1000000000000001</v>
      </c>
      <c r="AZ607" s="59">
        <v>5.9743954480796585E-2</v>
      </c>
      <c r="BA607" s="59">
        <v>0.17923186344238975</v>
      </c>
      <c r="BB607" s="78">
        <v>90.892506797921001</v>
      </c>
      <c r="BC607" s="49">
        <v>46.883852691218102</v>
      </c>
      <c r="BD607" s="90" t="s">
        <v>83</v>
      </c>
      <c r="BE607" s="90" t="s">
        <v>83</v>
      </c>
      <c r="BF607" s="49">
        <v>33.1</v>
      </c>
      <c r="BG607" s="49">
        <v>13.3</v>
      </c>
      <c r="BH607" s="49">
        <v>2.5</v>
      </c>
      <c r="BI607" s="49">
        <v>9.1</v>
      </c>
      <c r="BJ607" s="49">
        <v>17.600000000000001</v>
      </c>
      <c r="BK607" s="126">
        <v>14649</v>
      </c>
      <c r="BL607" s="126">
        <v>57039</v>
      </c>
      <c r="BM607" s="126">
        <v>62010</v>
      </c>
      <c r="BN607" s="126">
        <v>43792</v>
      </c>
      <c r="BO607" s="59">
        <v>8.8000000000000005E-3</v>
      </c>
      <c r="BP607" s="59">
        <v>0.21729999999999999</v>
      </c>
      <c r="BQ607" s="59">
        <v>0.25130000000000002</v>
      </c>
      <c r="BR607" s="59">
        <v>0</v>
      </c>
      <c r="BS607" s="59">
        <v>1.4E-3</v>
      </c>
      <c r="BT607" s="49">
        <v>16.3</v>
      </c>
      <c r="BU607" s="59">
        <f t="shared" si="46"/>
        <v>0.47880000000000006</v>
      </c>
      <c r="BV607" s="59">
        <v>2.9600000000000001E-2</v>
      </c>
      <c r="BW607" s="59">
        <v>8.8999999999999999E-3</v>
      </c>
      <c r="BX607" s="59">
        <v>3.7999999999999999E-2</v>
      </c>
      <c r="BY607" s="59">
        <v>0</v>
      </c>
      <c r="BZ607" s="59">
        <v>0</v>
      </c>
      <c r="CA607" s="49">
        <v>22.5</v>
      </c>
      <c r="CB607" s="59">
        <f t="shared" si="47"/>
        <v>7.6499999999999999E-2</v>
      </c>
      <c r="CC607" s="59">
        <v>0.35520000000000002</v>
      </c>
      <c r="CD607" s="59">
        <v>0.32629999999999998</v>
      </c>
      <c r="CE607" s="59">
        <v>0.31240000000000001</v>
      </c>
      <c r="CF607" s="59">
        <v>4.7999999999999996E-3</v>
      </c>
      <c r="CG607" s="59">
        <v>1.4E-3</v>
      </c>
      <c r="CH607" s="49">
        <v>15.5</v>
      </c>
      <c r="CI607" s="39" t="s">
        <v>426</v>
      </c>
      <c r="CJ607" s="18" t="s">
        <v>479</v>
      </c>
      <c r="CK607" s="20"/>
    </row>
    <row r="608" spans="1:99" x14ac:dyDescent="0.25">
      <c r="A608" s="18" t="s">
        <v>479</v>
      </c>
      <c r="B608" s="39" t="s">
        <v>484</v>
      </c>
      <c r="C608" s="39" t="s">
        <v>428</v>
      </c>
      <c r="D608" s="40">
        <v>33</v>
      </c>
      <c r="E608" s="40">
        <v>3</v>
      </c>
      <c r="F608" s="40">
        <v>30</v>
      </c>
      <c r="G608" s="163">
        <v>1</v>
      </c>
      <c r="H608" s="163">
        <v>2</v>
      </c>
      <c r="I608" s="163">
        <v>1</v>
      </c>
      <c r="J608" s="163">
        <v>11</v>
      </c>
      <c r="K608" s="163">
        <v>11</v>
      </c>
      <c r="L608" s="163">
        <v>1</v>
      </c>
      <c r="M608" s="163">
        <v>6</v>
      </c>
      <c r="N608" s="115">
        <v>3.8461538461538498E-2</v>
      </c>
      <c r="O608" s="115">
        <v>5.5762081784386602E-2</v>
      </c>
      <c r="P608" s="115">
        <v>6.13496932515337E-3</v>
      </c>
      <c r="Q608" s="115">
        <v>1.27388535031847E-2</v>
      </c>
      <c r="R608" s="115">
        <v>0.14285714285714299</v>
      </c>
      <c r="S608" s="115">
        <v>6.3218390804597693E-2</v>
      </c>
      <c r="T608" s="115">
        <v>8.3333333333333301E-2</v>
      </c>
      <c r="U608" s="115">
        <v>1.03092783505155E-2</v>
      </c>
      <c r="V608" s="115">
        <v>4.6875E-2</v>
      </c>
      <c r="W608" s="40">
        <v>850</v>
      </c>
      <c r="X608" s="40">
        <f t="shared" si="48"/>
        <v>455</v>
      </c>
      <c r="Y608" s="40">
        <f t="shared" si="49"/>
        <v>738</v>
      </c>
      <c r="Z608" s="105">
        <v>0.5</v>
      </c>
      <c r="AA608" s="105">
        <v>0.5</v>
      </c>
      <c r="AB608" s="106">
        <v>0</v>
      </c>
      <c r="AC608" s="106">
        <v>9.4117647058823521E-3</v>
      </c>
      <c r="AD608" s="106">
        <v>0.75647058823529412</v>
      </c>
      <c r="AE608" s="106">
        <v>1.7647058823529412E-2</v>
      </c>
      <c r="AF608" s="106">
        <v>0</v>
      </c>
      <c r="AG608" s="106">
        <v>0.21411764705882352</v>
      </c>
      <c r="AH608" s="106">
        <v>2.352941176470588E-3</v>
      </c>
      <c r="AI608" s="106">
        <v>0.78588235294117648</v>
      </c>
      <c r="AJ608" s="105">
        <v>0.89647058823529413</v>
      </c>
      <c r="AK608" s="105">
        <v>2.11764705882353E-2</v>
      </c>
      <c r="AL608" s="12">
        <v>140</v>
      </c>
      <c r="AM608" s="12">
        <v>143</v>
      </c>
      <c r="AN608" s="12">
        <v>5</v>
      </c>
      <c r="AO608" s="12">
        <v>136</v>
      </c>
      <c r="AP608" s="12">
        <v>112</v>
      </c>
      <c r="AQ608" s="12">
        <v>90</v>
      </c>
      <c r="AR608" s="12">
        <v>112</v>
      </c>
      <c r="AS608" s="59">
        <v>3.5460992907801421E-2</v>
      </c>
      <c r="AT608" s="3">
        <v>6</v>
      </c>
      <c r="AU608" s="3">
        <v>6</v>
      </c>
      <c r="AV608" s="52">
        <v>55.7</v>
      </c>
      <c r="AW608" s="52">
        <v>22</v>
      </c>
      <c r="AX608" s="52">
        <v>20.2</v>
      </c>
      <c r="AY608" s="71">
        <v>2.1</v>
      </c>
      <c r="AZ608" s="59">
        <v>0.38414634146341464</v>
      </c>
      <c r="BA608" s="59">
        <v>0.21443089430894308</v>
      </c>
      <c r="BB608" s="78">
        <v>92.404200423314293</v>
      </c>
      <c r="BC608" s="49">
        <v>43.509127789046701</v>
      </c>
      <c r="BD608" s="49">
        <v>2.8</v>
      </c>
      <c r="BE608" s="49">
        <v>2.2000000000000002</v>
      </c>
      <c r="BF608" s="49">
        <v>8</v>
      </c>
      <c r="BG608" s="49">
        <v>9.1999999999999993</v>
      </c>
      <c r="BH608" s="49">
        <v>1.2</v>
      </c>
      <c r="BI608" s="49">
        <v>6</v>
      </c>
      <c r="BJ608" s="49">
        <v>16.600000000000001</v>
      </c>
      <c r="BK608" s="126">
        <v>14203</v>
      </c>
      <c r="BL608" s="126">
        <v>49966</v>
      </c>
      <c r="BM608" s="126">
        <v>62418</v>
      </c>
      <c r="BN608" s="126">
        <v>46064</v>
      </c>
      <c r="BO608" s="59">
        <v>0</v>
      </c>
      <c r="BP608" s="59">
        <v>0.38879999999999998</v>
      </c>
      <c r="BQ608" s="59">
        <v>0.2054</v>
      </c>
      <c r="BR608" s="59">
        <v>0</v>
      </c>
      <c r="BS608" s="59">
        <v>0</v>
      </c>
      <c r="BT608" s="49">
        <v>14.4</v>
      </c>
      <c r="BU608" s="59">
        <f t="shared" si="46"/>
        <v>0.59419999999999995</v>
      </c>
      <c r="BV608" s="59">
        <v>2.3099999999999999E-2</v>
      </c>
      <c r="BW608" s="59">
        <v>0</v>
      </c>
      <c r="BX608" s="59">
        <v>3.04E-2</v>
      </c>
      <c r="BY608" s="59">
        <v>1.04E-2</v>
      </c>
      <c r="BZ608" s="59">
        <v>0</v>
      </c>
      <c r="CA608" s="49">
        <v>20.8</v>
      </c>
      <c r="CB608" s="59">
        <f t="shared" si="47"/>
        <v>6.3899999999999998E-2</v>
      </c>
      <c r="CC608" s="59">
        <v>0.27079999999999999</v>
      </c>
      <c r="CD608" s="59">
        <v>0.44040000000000001</v>
      </c>
      <c r="CE608" s="59">
        <v>0.27839999999999998</v>
      </c>
      <c r="CF608" s="59">
        <v>1.04E-2</v>
      </c>
      <c r="CG608" s="59">
        <v>0</v>
      </c>
      <c r="CH608" s="49">
        <v>14.2</v>
      </c>
      <c r="CI608" s="39" t="s">
        <v>428</v>
      </c>
      <c r="CJ608" s="18" t="s">
        <v>479</v>
      </c>
      <c r="CK608" s="20"/>
    </row>
    <row r="609" spans="1:89" x14ac:dyDescent="0.25">
      <c r="A609" s="18" t="s">
        <v>479</v>
      </c>
      <c r="B609" s="39" t="s">
        <v>485</v>
      </c>
      <c r="C609" s="39" t="s">
        <v>430</v>
      </c>
      <c r="D609" s="40">
        <v>20</v>
      </c>
      <c r="E609" s="40" t="s">
        <v>83</v>
      </c>
      <c r="F609" s="40">
        <v>20</v>
      </c>
      <c r="G609" s="162" t="s">
        <v>83</v>
      </c>
      <c r="H609" s="162" t="s">
        <v>83</v>
      </c>
      <c r="I609" s="163">
        <v>0</v>
      </c>
      <c r="J609" s="163">
        <v>4</v>
      </c>
      <c r="K609" s="163">
        <v>5</v>
      </c>
      <c r="L609" s="163">
        <v>6</v>
      </c>
      <c r="M609" s="163">
        <v>5</v>
      </c>
      <c r="N609" s="115">
        <v>1.21951219512195E-2</v>
      </c>
      <c r="O609" s="115">
        <v>1.21951219512195E-2</v>
      </c>
      <c r="P609" s="116" t="s">
        <v>83</v>
      </c>
      <c r="Q609" s="116" t="s">
        <v>83</v>
      </c>
      <c r="R609" s="115">
        <v>0</v>
      </c>
      <c r="S609" s="115">
        <v>8.7336244541484694E-3</v>
      </c>
      <c r="T609" s="115">
        <v>1.21951219512195E-2</v>
      </c>
      <c r="U609" s="115">
        <v>1.5665796344647501E-2</v>
      </c>
      <c r="V609" s="115">
        <v>1.31926121372032E-2</v>
      </c>
      <c r="W609" s="40">
        <v>1573</v>
      </c>
      <c r="X609" s="40">
        <f t="shared" si="48"/>
        <v>1573</v>
      </c>
      <c r="Y609" s="40">
        <f t="shared" si="49"/>
        <v>1573</v>
      </c>
      <c r="Z609" s="105">
        <v>0.47933884297520701</v>
      </c>
      <c r="AA609" s="105">
        <v>0.52066115702479299</v>
      </c>
      <c r="AB609" s="106">
        <v>0</v>
      </c>
      <c r="AC609" s="106">
        <v>1.2078830260648443E-2</v>
      </c>
      <c r="AD609" s="106">
        <v>0.49205340114431023</v>
      </c>
      <c r="AE609" s="106">
        <v>7.6287349014621739E-3</v>
      </c>
      <c r="AF609" s="106">
        <v>0</v>
      </c>
      <c r="AG609" s="106">
        <v>0.47806738715829628</v>
      </c>
      <c r="AH609" s="106">
        <v>1.0171646535282899E-2</v>
      </c>
      <c r="AI609" s="106">
        <v>0.52193261284170378</v>
      </c>
      <c r="AJ609" s="105">
        <v>0.39287984742530196</v>
      </c>
      <c r="AK609" s="105">
        <v>5.0858232676414504E-3</v>
      </c>
      <c r="AL609" s="12">
        <v>0</v>
      </c>
      <c r="AM609" s="12">
        <v>0</v>
      </c>
      <c r="AN609" s="12">
        <v>9</v>
      </c>
      <c r="AO609" s="12">
        <v>437</v>
      </c>
      <c r="AP609" s="12">
        <v>393</v>
      </c>
      <c r="AQ609" s="12">
        <v>380</v>
      </c>
      <c r="AR609" s="12">
        <v>354</v>
      </c>
      <c r="AS609" s="59">
        <v>2.0179372197309416E-2</v>
      </c>
      <c r="AT609" s="3">
        <v>9</v>
      </c>
      <c r="AU609" s="3">
        <v>6</v>
      </c>
      <c r="AV609" s="52">
        <v>61.3</v>
      </c>
      <c r="AW609" s="52">
        <v>16.600000000000001</v>
      </c>
      <c r="AX609" s="52">
        <v>21.7</v>
      </c>
      <c r="AY609" s="71">
        <v>0.4</v>
      </c>
      <c r="AZ609" s="59">
        <v>0.13525091799265607</v>
      </c>
      <c r="BA609" s="59">
        <v>6.1199510403916763E-4</v>
      </c>
      <c r="BB609" s="77">
        <v>95.739877272795994</v>
      </c>
      <c r="BC609" s="49">
        <v>29.798903107861101</v>
      </c>
      <c r="BD609" s="90" t="s">
        <v>83</v>
      </c>
      <c r="BE609" s="90" t="s">
        <v>83</v>
      </c>
      <c r="BF609" s="49">
        <v>13.4</v>
      </c>
      <c r="BG609" s="49">
        <v>5.6</v>
      </c>
      <c r="BH609" s="49">
        <v>0.6</v>
      </c>
      <c r="BI609" s="49">
        <v>1.4</v>
      </c>
      <c r="BJ609" s="49">
        <v>21.4</v>
      </c>
      <c r="BK609" s="126">
        <v>10271</v>
      </c>
      <c r="BL609" s="126">
        <v>55552</v>
      </c>
      <c r="BM609" s="126">
        <v>53422</v>
      </c>
      <c r="BN609" s="126">
        <v>49985</v>
      </c>
      <c r="BO609" s="59">
        <v>1.3599999999999999E-2</v>
      </c>
      <c r="BP609" s="59">
        <v>0.46350000000000002</v>
      </c>
      <c r="BQ609" s="59">
        <v>0.2059</v>
      </c>
      <c r="BR609" s="59">
        <v>0</v>
      </c>
      <c r="BS609" s="59">
        <v>1.3599999999999999E-2</v>
      </c>
      <c r="BT609" s="49">
        <v>13</v>
      </c>
      <c r="BU609" s="59">
        <f t="shared" si="46"/>
        <v>0.6966</v>
      </c>
      <c r="BV609" s="59">
        <v>3.32E-2</v>
      </c>
      <c r="BW609" s="59">
        <v>8.3000000000000001E-3</v>
      </c>
      <c r="BX609" s="59">
        <v>2.2800000000000001E-2</v>
      </c>
      <c r="BY609" s="59">
        <v>5.9999999999999995E-4</v>
      </c>
      <c r="BZ609" s="59">
        <v>0</v>
      </c>
      <c r="CA609" s="49">
        <v>11.2</v>
      </c>
      <c r="CB609" s="59">
        <f t="shared" si="47"/>
        <v>6.4899999999999999E-2</v>
      </c>
      <c r="CC609" s="59">
        <v>0.2019</v>
      </c>
      <c r="CD609" s="59">
        <v>0.49909999999999999</v>
      </c>
      <c r="CE609" s="59">
        <v>0.27800000000000002</v>
      </c>
      <c r="CF609" s="59">
        <v>7.4000000000000003E-3</v>
      </c>
      <c r="CG609" s="59">
        <v>1.3599999999999999E-2</v>
      </c>
      <c r="CH609" s="49">
        <v>10.9</v>
      </c>
      <c r="CI609" s="39" t="s">
        <v>430</v>
      </c>
      <c r="CJ609" s="18" t="s">
        <v>479</v>
      </c>
      <c r="CK609" s="20"/>
    </row>
    <row r="610" spans="1:89" x14ac:dyDescent="0.25">
      <c r="A610" s="18" t="s">
        <v>479</v>
      </c>
      <c r="B610" s="39" t="s">
        <v>486</v>
      </c>
      <c r="C610" s="39" t="s">
        <v>432</v>
      </c>
      <c r="D610" s="40">
        <v>57</v>
      </c>
      <c r="E610" s="40" t="s">
        <v>83</v>
      </c>
      <c r="F610" s="40">
        <v>57</v>
      </c>
      <c r="G610" s="162" t="s">
        <v>83</v>
      </c>
      <c r="H610" s="162" t="s">
        <v>83</v>
      </c>
      <c r="I610" s="163">
        <v>2</v>
      </c>
      <c r="J610" s="163">
        <v>20</v>
      </c>
      <c r="K610" s="163">
        <v>14</v>
      </c>
      <c r="L610" s="163">
        <v>11</v>
      </c>
      <c r="M610" s="163">
        <v>10</v>
      </c>
      <c r="N610" s="115">
        <v>9.2233009708737906E-2</v>
      </c>
      <c r="O610" s="115">
        <v>9.2233009708737906E-2</v>
      </c>
      <c r="P610" s="116" t="s">
        <v>83</v>
      </c>
      <c r="Q610" s="116" t="s">
        <v>83</v>
      </c>
      <c r="R610" s="115">
        <v>0.105263157894737</v>
      </c>
      <c r="S610" s="115">
        <v>0.10582010582010599</v>
      </c>
      <c r="T610" s="115">
        <v>8.5365853658536606E-2</v>
      </c>
      <c r="U610" s="115">
        <v>9.3220338983050793E-2</v>
      </c>
      <c r="V610" s="115">
        <v>7.8125E-2</v>
      </c>
      <c r="W610" s="40">
        <v>513</v>
      </c>
      <c r="X610" s="40">
        <f t="shared" si="48"/>
        <v>513</v>
      </c>
      <c r="Y610" s="40">
        <f t="shared" si="49"/>
        <v>513</v>
      </c>
      <c r="Z610" s="105">
        <v>0.45029239766081902</v>
      </c>
      <c r="AA610" s="105">
        <v>0.54970760233918103</v>
      </c>
      <c r="AB610" s="106">
        <v>0</v>
      </c>
      <c r="AC610" s="106">
        <v>1.9493177387914229E-3</v>
      </c>
      <c r="AD610" s="106">
        <v>0.95321637426900585</v>
      </c>
      <c r="AE610" s="106">
        <v>9.7465886939571145E-3</v>
      </c>
      <c r="AF610" s="106">
        <v>0</v>
      </c>
      <c r="AG610" s="106">
        <v>3.3138401559454189E-2</v>
      </c>
      <c r="AH610" s="106">
        <v>1.9493177387914229E-3</v>
      </c>
      <c r="AI610" s="106">
        <v>0.96686159844054576</v>
      </c>
      <c r="AJ610" s="105">
        <v>0.81871345029239762</v>
      </c>
      <c r="AK610" s="105">
        <v>0</v>
      </c>
      <c r="AL610" s="12">
        <v>0</v>
      </c>
      <c r="AM610" s="12">
        <v>0</v>
      </c>
      <c r="AN610" s="12">
        <v>18</v>
      </c>
      <c r="AO610" s="12">
        <v>146</v>
      </c>
      <c r="AP610" s="12">
        <v>133</v>
      </c>
      <c r="AQ610" s="12">
        <v>103</v>
      </c>
      <c r="AR610" s="12">
        <v>113</v>
      </c>
      <c r="AS610" s="59">
        <v>0.10975609756097561</v>
      </c>
      <c r="AT610" s="3">
        <v>9</v>
      </c>
      <c r="AU610" s="3">
        <v>6</v>
      </c>
      <c r="AV610" s="52">
        <v>51.6</v>
      </c>
      <c r="AW610" s="52">
        <v>24</v>
      </c>
      <c r="AX610" s="52">
        <v>23.6</v>
      </c>
      <c r="AY610" s="71">
        <v>0.9</v>
      </c>
      <c r="AZ610" s="59">
        <v>0.37061769616026713</v>
      </c>
      <c r="BA610" s="59">
        <v>1.6694490818030051E-3</v>
      </c>
      <c r="BB610" s="78">
        <v>93.426466037887195</v>
      </c>
      <c r="BC610" s="49">
        <v>48.419301164725503</v>
      </c>
      <c r="BD610" s="90" t="s">
        <v>83</v>
      </c>
      <c r="BE610" s="90" t="s">
        <v>83</v>
      </c>
      <c r="BF610" s="49">
        <v>7.3</v>
      </c>
      <c r="BG610" s="49">
        <v>7.5</v>
      </c>
      <c r="BH610" s="49">
        <v>2.2000000000000002</v>
      </c>
      <c r="BI610" s="49">
        <v>7.9</v>
      </c>
      <c r="BJ610" s="49">
        <v>17</v>
      </c>
      <c r="BK610" s="126">
        <v>11081</v>
      </c>
      <c r="BL610" s="126">
        <v>50639</v>
      </c>
      <c r="BM610" s="126">
        <v>61722</v>
      </c>
      <c r="BN610" s="126">
        <v>40130</v>
      </c>
      <c r="BO610" s="59">
        <v>3.4099999999999998E-2</v>
      </c>
      <c r="BP610" s="59">
        <v>0.23699999999999999</v>
      </c>
      <c r="BQ610" s="59">
        <v>0.2107</v>
      </c>
      <c r="BR610" s="59">
        <v>0</v>
      </c>
      <c r="BS610" s="59">
        <v>3.6400000000000002E-2</v>
      </c>
      <c r="BT610" s="49">
        <v>20.6</v>
      </c>
      <c r="BU610" s="59">
        <f t="shared" si="46"/>
        <v>0.51819999999999999</v>
      </c>
      <c r="BV610" s="59">
        <v>1.8200000000000001E-2</v>
      </c>
      <c r="BW610" s="59">
        <v>0</v>
      </c>
      <c r="BX610" s="59">
        <v>3.6400000000000002E-2</v>
      </c>
      <c r="BY610" s="59">
        <v>0</v>
      </c>
      <c r="BZ610" s="59">
        <v>1.8200000000000001E-2</v>
      </c>
      <c r="CA610" s="49">
        <v>22.3</v>
      </c>
      <c r="CB610" s="59">
        <f t="shared" si="47"/>
        <v>7.2800000000000004E-2</v>
      </c>
      <c r="CC610" s="59">
        <v>0.3523</v>
      </c>
      <c r="CD610" s="59">
        <v>0.30969999999999998</v>
      </c>
      <c r="CE610" s="59">
        <v>0.28339999999999999</v>
      </c>
      <c r="CF610" s="59">
        <v>0</v>
      </c>
      <c r="CG610" s="59">
        <v>5.4600000000000003E-2</v>
      </c>
      <c r="CH610" s="49">
        <v>16.100000000000001</v>
      </c>
      <c r="CI610" s="39" t="s">
        <v>432</v>
      </c>
      <c r="CJ610" s="18" t="s">
        <v>479</v>
      </c>
      <c r="CK610" s="20"/>
    </row>
    <row r="611" spans="1:89" x14ac:dyDescent="0.25">
      <c r="A611" s="18" t="s">
        <v>479</v>
      </c>
      <c r="B611" s="39" t="s">
        <v>487</v>
      </c>
      <c r="C611" s="39" t="s">
        <v>160</v>
      </c>
      <c r="D611" s="40">
        <v>27</v>
      </c>
      <c r="E611" s="40" t="s">
        <v>83</v>
      </c>
      <c r="F611" s="40">
        <v>27</v>
      </c>
      <c r="G611" s="162" t="s">
        <v>83</v>
      </c>
      <c r="H611" s="162" t="s">
        <v>83</v>
      </c>
      <c r="I611" s="163">
        <v>0</v>
      </c>
      <c r="J611" s="163">
        <v>9</v>
      </c>
      <c r="K611" s="163">
        <v>5</v>
      </c>
      <c r="L611" s="163">
        <v>7</v>
      </c>
      <c r="M611" s="163">
        <v>6</v>
      </c>
      <c r="N611" s="115">
        <v>1.88679245283019E-2</v>
      </c>
      <c r="O611" s="115">
        <v>1.88679245283019E-2</v>
      </c>
      <c r="P611" s="116" t="s">
        <v>83</v>
      </c>
      <c r="Q611" s="116" t="s">
        <v>83</v>
      </c>
      <c r="R611" s="115">
        <v>0</v>
      </c>
      <c r="S611" s="115">
        <v>2.2222222222222199E-2</v>
      </c>
      <c r="T611" s="115">
        <v>1.4326647564469899E-2</v>
      </c>
      <c r="U611" s="115">
        <v>1.94444444444444E-2</v>
      </c>
      <c r="V611" s="115">
        <v>1.91693290734824E-2</v>
      </c>
      <c r="W611" s="40">
        <v>1364</v>
      </c>
      <c r="X611" s="40">
        <f t="shared" si="48"/>
        <v>1364</v>
      </c>
      <c r="Y611" s="40">
        <f t="shared" si="49"/>
        <v>1364</v>
      </c>
      <c r="Z611" s="105">
        <v>0.48973607038123201</v>
      </c>
      <c r="AA611" s="105">
        <v>0.51026392961876799</v>
      </c>
      <c r="AB611" s="106">
        <v>4.3988269794721412E-3</v>
      </c>
      <c r="AC611" s="106">
        <v>9.5307917888563052E-3</v>
      </c>
      <c r="AD611" s="106">
        <v>0.21334310850439883</v>
      </c>
      <c r="AE611" s="106">
        <v>2.7859237536656891E-2</v>
      </c>
      <c r="AF611" s="106">
        <v>0</v>
      </c>
      <c r="AG611" s="106">
        <v>0.7404692082111437</v>
      </c>
      <c r="AH611" s="106">
        <v>4.3988269794721412E-3</v>
      </c>
      <c r="AI611" s="106">
        <v>0.2595307917888563</v>
      </c>
      <c r="AJ611" s="105">
        <v>0.41788856304985339</v>
      </c>
      <c r="AK611" s="105">
        <v>5.8651026392961903E-3</v>
      </c>
      <c r="AL611" s="12">
        <v>0</v>
      </c>
      <c r="AM611" s="12">
        <v>0</v>
      </c>
      <c r="AN611" s="12">
        <v>2</v>
      </c>
      <c r="AO611" s="12">
        <v>383</v>
      </c>
      <c r="AP611" s="12">
        <v>338</v>
      </c>
      <c r="AQ611" s="12">
        <v>350</v>
      </c>
      <c r="AR611" s="12">
        <v>291</v>
      </c>
      <c r="AS611" s="59">
        <v>5.1948051948051948E-3</v>
      </c>
      <c r="AT611" s="3">
        <v>9</v>
      </c>
      <c r="AU611" s="3">
        <v>6</v>
      </c>
      <c r="AV611" s="52">
        <v>49.9</v>
      </c>
      <c r="AW611" s="52">
        <v>29.5</v>
      </c>
      <c r="AX611" s="52">
        <v>20.2</v>
      </c>
      <c r="AY611" s="71">
        <v>0.4</v>
      </c>
      <c r="AZ611" s="59">
        <v>7.6379066478076379E-2</v>
      </c>
      <c r="BA611" s="59">
        <v>7.4964639321074958E-2</v>
      </c>
      <c r="BB611" s="77">
        <v>94.461399888064904</v>
      </c>
      <c r="BC611" s="49">
        <v>24.293785310734499</v>
      </c>
      <c r="BD611" s="90" t="s">
        <v>83</v>
      </c>
      <c r="BE611" s="90" t="s">
        <v>83</v>
      </c>
      <c r="BF611" s="49">
        <v>4.5999999999999996</v>
      </c>
      <c r="BG611" s="49">
        <v>2.2000000000000002</v>
      </c>
      <c r="BH611" s="49">
        <v>3.3</v>
      </c>
      <c r="BI611" s="49">
        <v>1</v>
      </c>
      <c r="BJ611" s="49">
        <v>21.2</v>
      </c>
      <c r="BK611" s="126">
        <v>9705</v>
      </c>
      <c r="BL611" s="126">
        <v>50401</v>
      </c>
      <c r="BM611" s="126">
        <v>55447</v>
      </c>
      <c r="BN611" s="126">
        <v>46479</v>
      </c>
      <c r="BO611" s="59">
        <v>7.9000000000000008E-3</v>
      </c>
      <c r="BP611" s="59">
        <v>0.39760000000000001</v>
      </c>
      <c r="BQ611" s="59">
        <v>0.28749999999999998</v>
      </c>
      <c r="BR611" s="59">
        <v>1.6000000000000001E-3</v>
      </c>
      <c r="BS611" s="59">
        <v>0</v>
      </c>
      <c r="BT611" s="49">
        <v>13.2</v>
      </c>
      <c r="BU611" s="59">
        <f t="shared" si="46"/>
        <v>0.69460000000000011</v>
      </c>
      <c r="BV611" s="59">
        <v>2.3699999999999999E-2</v>
      </c>
      <c r="BW611" s="59">
        <v>0</v>
      </c>
      <c r="BX611" s="59">
        <v>3.1600000000000003E-2</v>
      </c>
      <c r="BY611" s="59">
        <v>0</v>
      </c>
      <c r="BZ611" s="59">
        <v>0</v>
      </c>
      <c r="CA611" s="49">
        <v>22.3</v>
      </c>
      <c r="CB611" s="59">
        <f t="shared" si="47"/>
        <v>5.5300000000000002E-2</v>
      </c>
      <c r="CC611" s="59">
        <v>0.1817</v>
      </c>
      <c r="CD611" s="59">
        <v>0.43709999999999999</v>
      </c>
      <c r="CE611" s="59">
        <v>0.36649999999999999</v>
      </c>
      <c r="CF611" s="59">
        <v>1.47E-2</v>
      </c>
      <c r="CG611" s="59">
        <v>0</v>
      </c>
      <c r="CH611" s="49">
        <v>13.6</v>
      </c>
      <c r="CI611" s="39" t="s">
        <v>160</v>
      </c>
      <c r="CJ611" s="18" t="s">
        <v>479</v>
      </c>
      <c r="CK611" s="20"/>
    </row>
    <row r="612" spans="1:89" x14ac:dyDescent="0.25">
      <c r="A612" s="18" t="s">
        <v>479</v>
      </c>
      <c r="B612" s="39" t="s">
        <v>436</v>
      </c>
      <c r="C612" s="39" t="s">
        <v>436</v>
      </c>
      <c r="D612" s="40">
        <v>0</v>
      </c>
      <c r="E612" s="40" t="s">
        <v>83</v>
      </c>
      <c r="F612" s="40">
        <v>0</v>
      </c>
      <c r="G612" s="162" t="s">
        <v>83</v>
      </c>
      <c r="H612" s="162" t="s">
        <v>83</v>
      </c>
      <c r="I612" s="162" t="s">
        <v>83</v>
      </c>
      <c r="J612" s="162" t="s">
        <v>83</v>
      </c>
      <c r="K612" s="163">
        <v>0</v>
      </c>
      <c r="L612" s="163">
        <v>0</v>
      </c>
      <c r="M612" s="163">
        <v>0</v>
      </c>
      <c r="N612" s="115">
        <v>0</v>
      </c>
      <c r="O612" s="115">
        <v>0</v>
      </c>
      <c r="P612" s="116" t="s">
        <v>83</v>
      </c>
      <c r="Q612" s="116" t="s">
        <v>83</v>
      </c>
      <c r="R612" s="116" t="s">
        <v>83</v>
      </c>
      <c r="S612" s="116" t="s">
        <v>83</v>
      </c>
      <c r="T612" s="115">
        <v>0</v>
      </c>
      <c r="U612" s="115">
        <v>0</v>
      </c>
      <c r="V612" s="115">
        <v>0</v>
      </c>
      <c r="W612" s="40">
        <v>330</v>
      </c>
      <c r="X612" s="40">
        <f t="shared" si="48"/>
        <v>330</v>
      </c>
      <c r="Y612" s="40">
        <f t="shared" si="49"/>
        <v>330</v>
      </c>
      <c r="Z612" s="105">
        <v>0.62424242424242404</v>
      </c>
      <c r="AA612" s="105">
        <v>0.37575757575757601</v>
      </c>
      <c r="AB612" s="106">
        <v>1.5151515151515152E-2</v>
      </c>
      <c r="AC612" s="106">
        <v>0.11515151515151516</v>
      </c>
      <c r="AD612" s="106">
        <v>8.7878787878787876E-2</v>
      </c>
      <c r="AE612" s="106">
        <v>3.9393939393939391E-2</v>
      </c>
      <c r="AF612" s="106">
        <v>0</v>
      </c>
      <c r="AG612" s="106">
        <v>0.74242424242424243</v>
      </c>
      <c r="AH612" s="106">
        <v>0</v>
      </c>
      <c r="AI612" s="106">
        <v>0.25757575757575757</v>
      </c>
      <c r="AJ612" s="105">
        <v>0.24848484848484848</v>
      </c>
      <c r="AK612" s="105">
        <v>0</v>
      </c>
      <c r="AL612" s="12">
        <v>0</v>
      </c>
      <c r="AM612" s="12">
        <v>0</v>
      </c>
      <c r="AN612" s="12">
        <v>0</v>
      </c>
      <c r="AO612" s="12">
        <v>0</v>
      </c>
      <c r="AP612" s="12">
        <v>94</v>
      </c>
      <c r="AQ612" s="12">
        <v>124</v>
      </c>
      <c r="AR612" s="12">
        <v>112</v>
      </c>
      <c r="AS612" s="59" t="s">
        <v>83</v>
      </c>
      <c r="AT612" s="3">
        <v>10</v>
      </c>
      <c r="AU612" s="3">
        <v>9</v>
      </c>
      <c r="AV612" s="52">
        <v>98.7</v>
      </c>
      <c r="AW612" s="52">
        <v>1</v>
      </c>
      <c r="AX612" s="52">
        <v>0.3</v>
      </c>
      <c r="AY612" s="70">
        <v>0</v>
      </c>
      <c r="AZ612" s="59">
        <v>0</v>
      </c>
      <c r="BA612" s="59">
        <v>9.0634441087613302E-3</v>
      </c>
      <c r="BB612" s="77">
        <v>99.292486061069596</v>
      </c>
      <c r="BC612" s="49"/>
      <c r="BD612" s="90" t="s">
        <v>83</v>
      </c>
      <c r="BE612" s="90" t="s">
        <v>83</v>
      </c>
      <c r="BF612" s="90" t="s">
        <v>83</v>
      </c>
      <c r="BG612" s="49">
        <v>0</v>
      </c>
      <c r="BH612" s="49">
        <v>0</v>
      </c>
      <c r="BI612" s="49">
        <v>0</v>
      </c>
      <c r="BJ612" s="49">
        <v>29.8</v>
      </c>
      <c r="BK612" s="126">
        <v>27002</v>
      </c>
      <c r="BL612" s="126">
        <v>58705</v>
      </c>
      <c r="BM612" s="126">
        <v>71814</v>
      </c>
      <c r="BN612" s="126">
        <v>52688</v>
      </c>
      <c r="BO612" s="59">
        <v>0</v>
      </c>
      <c r="BP612" s="59">
        <v>0</v>
      </c>
      <c r="BQ612" s="59">
        <v>0.17030000000000001</v>
      </c>
      <c r="BR612" s="59">
        <v>0</v>
      </c>
      <c r="BS612" s="59">
        <v>0.2858</v>
      </c>
      <c r="BT612" s="49">
        <v>13.3</v>
      </c>
      <c r="BU612" s="59">
        <f t="shared" si="46"/>
        <v>0.45610000000000001</v>
      </c>
      <c r="BV612" s="59">
        <v>0</v>
      </c>
      <c r="BW612" s="59">
        <v>0</v>
      </c>
      <c r="BX612" s="59">
        <v>1.2200000000000001E-2</v>
      </c>
      <c r="BY612" s="59">
        <v>0</v>
      </c>
      <c r="BZ612" s="59">
        <v>1.2200000000000001E-2</v>
      </c>
      <c r="CA612" s="49">
        <v>1</v>
      </c>
      <c r="CB612" s="59">
        <f t="shared" si="47"/>
        <v>2.4400000000000002E-2</v>
      </c>
      <c r="CC612" s="59">
        <v>0.1474</v>
      </c>
      <c r="CD612" s="59">
        <v>0.2152</v>
      </c>
      <c r="CE612" s="59">
        <v>0.32729999999999998</v>
      </c>
      <c r="CF612" s="59">
        <v>0</v>
      </c>
      <c r="CG612" s="59">
        <v>0.31019999999999998</v>
      </c>
      <c r="CH612" s="49">
        <v>12.7</v>
      </c>
      <c r="CI612" s="39" t="s">
        <v>436</v>
      </c>
      <c r="CJ612" s="18" t="s">
        <v>479</v>
      </c>
      <c r="CK612" s="20"/>
    </row>
    <row r="613" spans="1:89" x14ac:dyDescent="0.25">
      <c r="A613" s="18" t="s">
        <v>479</v>
      </c>
      <c r="B613" s="39" t="s">
        <v>437</v>
      </c>
      <c r="C613" s="39" t="s">
        <v>437</v>
      </c>
      <c r="D613" s="40">
        <v>1</v>
      </c>
      <c r="E613" s="40">
        <v>1</v>
      </c>
      <c r="F613" s="40">
        <v>0</v>
      </c>
      <c r="G613" s="163">
        <v>0</v>
      </c>
      <c r="H613" s="163">
        <v>1</v>
      </c>
      <c r="I613" s="162" t="s">
        <v>83</v>
      </c>
      <c r="J613" s="163">
        <v>0</v>
      </c>
      <c r="K613" s="163">
        <v>0</v>
      </c>
      <c r="L613" s="163">
        <v>0</v>
      </c>
      <c r="M613" s="163">
        <v>0</v>
      </c>
      <c r="N613" s="115">
        <v>1.42045454545455E-3</v>
      </c>
      <c r="O613" s="115">
        <v>0</v>
      </c>
      <c r="P613" s="115">
        <v>0</v>
      </c>
      <c r="Q613" s="115">
        <v>8.3333333333333297E-3</v>
      </c>
      <c r="R613" s="116" t="s">
        <v>83</v>
      </c>
      <c r="S613" s="115">
        <v>0</v>
      </c>
      <c r="T613" s="115">
        <v>0</v>
      </c>
      <c r="U613" s="115">
        <v>0</v>
      </c>
      <c r="V613" s="115">
        <v>0</v>
      </c>
      <c r="W613" s="40">
        <v>1417</v>
      </c>
      <c r="X613" s="40">
        <f t="shared" si="48"/>
        <v>452</v>
      </c>
      <c r="Y613" s="40">
        <f t="shared" si="49"/>
        <v>678</v>
      </c>
      <c r="Z613" s="105">
        <v>0.51093860268172198</v>
      </c>
      <c r="AA613" s="105">
        <v>0.48906139731827802</v>
      </c>
      <c r="AB613" s="106">
        <v>7.0571630204657732E-4</v>
      </c>
      <c r="AC613" s="106">
        <v>4.4460127028934371E-2</v>
      </c>
      <c r="AD613" s="106">
        <v>0.10797459421312633</v>
      </c>
      <c r="AE613" s="106">
        <v>9.1743119266055051E-3</v>
      </c>
      <c r="AF613" s="106">
        <v>0</v>
      </c>
      <c r="AG613" s="106">
        <v>0.83768525052928722</v>
      </c>
      <c r="AH613" s="106">
        <v>0</v>
      </c>
      <c r="AI613" s="106">
        <v>0.16231474947071278</v>
      </c>
      <c r="AJ613" s="105">
        <v>5.1517290049400144E-2</v>
      </c>
      <c r="AK613" s="105">
        <v>0</v>
      </c>
      <c r="AL613" s="12">
        <v>114</v>
      </c>
      <c r="AM613" s="12">
        <v>112</v>
      </c>
      <c r="AN613" s="12">
        <v>0</v>
      </c>
      <c r="AO613" s="12">
        <v>113</v>
      </c>
      <c r="AP613" s="12">
        <v>114</v>
      </c>
      <c r="AQ613" s="12">
        <v>115</v>
      </c>
      <c r="AR613" s="12">
        <v>110</v>
      </c>
      <c r="AS613" s="59">
        <v>0</v>
      </c>
      <c r="AT613" s="3">
        <v>1</v>
      </c>
      <c r="AU613" s="3">
        <v>8</v>
      </c>
      <c r="AV613" s="52">
        <v>23.6</v>
      </c>
      <c r="AW613" s="52">
        <v>67.3</v>
      </c>
      <c r="AX613" s="52">
        <v>7.7</v>
      </c>
      <c r="AY613" s="71">
        <v>1.4</v>
      </c>
      <c r="AZ613" s="59">
        <v>7.5085324232081908E-3</v>
      </c>
      <c r="BA613" s="59">
        <v>7.5085324232081908E-3</v>
      </c>
      <c r="BB613" s="78">
        <v>97.478784872302597</v>
      </c>
      <c r="BC613" s="49">
        <v>6.8259385665528999E-2</v>
      </c>
      <c r="BD613" s="49">
        <v>0</v>
      </c>
      <c r="BE613" s="49">
        <v>0</v>
      </c>
      <c r="BF613" s="49">
        <v>0</v>
      </c>
      <c r="BG613" s="49">
        <v>0</v>
      </c>
      <c r="BH613" s="49">
        <v>0</v>
      </c>
      <c r="BI613" s="49">
        <v>0.9</v>
      </c>
      <c r="BJ613" s="49">
        <v>25</v>
      </c>
      <c r="BK613" s="126">
        <v>9132</v>
      </c>
      <c r="BL613" s="126">
        <v>62571</v>
      </c>
      <c r="BM613" s="126">
        <v>64505</v>
      </c>
      <c r="BN613" s="126">
        <v>61373</v>
      </c>
      <c r="BO613" s="59">
        <v>0</v>
      </c>
      <c r="BP613" s="59">
        <v>3.9600000000000003E-2</v>
      </c>
      <c r="BQ613" s="59">
        <v>0.59450000000000003</v>
      </c>
      <c r="BR613" s="59">
        <v>3.1699999999999999E-2</v>
      </c>
      <c r="BS613" s="59">
        <v>2.3800000000000002E-2</v>
      </c>
      <c r="BT613" s="49">
        <v>15.1</v>
      </c>
      <c r="BU613" s="59">
        <f t="shared" si="46"/>
        <v>0.68959999999999999</v>
      </c>
      <c r="BV613" s="59">
        <v>1.5900000000000001E-2</v>
      </c>
      <c r="BW613" s="59">
        <v>1.5900000000000001E-2</v>
      </c>
      <c r="BX613" s="59">
        <v>1.5900000000000001E-2</v>
      </c>
      <c r="BY613" s="59">
        <v>0</v>
      </c>
      <c r="BZ613" s="59">
        <v>0</v>
      </c>
      <c r="CA613" s="49">
        <v>23.8</v>
      </c>
      <c r="CB613" s="59">
        <f t="shared" si="47"/>
        <v>4.7700000000000006E-2</v>
      </c>
      <c r="CC613" s="59">
        <v>5.5500000000000001E-2</v>
      </c>
      <c r="CD613" s="59">
        <v>0.1595</v>
      </c>
      <c r="CE613" s="59">
        <v>0.70579999999999998</v>
      </c>
      <c r="CF613" s="59">
        <v>3.9600000000000003E-2</v>
      </c>
      <c r="CG613" s="59">
        <v>3.9600000000000003E-2</v>
      </c>
      <c r="CH613" s="49">
        <v>16.2</v>
      </c>
      <c r="CI613" s="39" t="s">
        <v>437</v>
      </c>
      <c r="CJ613" s="18" t="s">
        <v>479</v>
      </c>
      <c r="CK613" s="20"/>
    </row>
    <row r="614" spans="1:89" x14ac:dyDescent="0.25">
      <c r="A614" s="18" t="s">
        <v>479</v>
      </c>
      <c r="B614" s="39" t="s">
        <v>438</v>
      </c>
      <c r="C614" s="39" t="s">
        <v>438</v>
      </c>
      <c r="D614" s="40">
        <v>2</v>
      </c>
      <c r="E614" s="40">
        <v>0</v>
      </c>
      <c r="F614" s="40">
        <v>2</v>
      </c>
      <c r="G614" s="163">
        <v>0</v>
      </c>
      <c r="H614" s="163">
        <v>0</v>
      </c>
      <c r="I614" s="162" t="s">
        <v>83</v>
      </c>
      <c r="J614" s="163">
        <v>0</v>
      </c>
      <c r="K614" s="163">
        <v>0</v>
      </c>
      <c r="L614" s="163">
        <v>0</v>
      </c>
      <c r="M614" s="163">
        <v>2</v>
      </c>
      <c r="N614" s="115">
        <v>5.9880239520958096E-3</v>
      </c>
      <c r="O614" s="115">
        <v>8.0321285140562207E-3</v>
      </c>
      <c r="P614" s="115">
        <v>0</v>
      </c>
      <c r="Q614" s="115">
        <v>0</v>
      </c>
      <c r="R614" s="116" t="s">
        <v>83</v>
      </c>
      <c r="S614" s="115">
        <v>0</v>
      </c>
      <c r="T614" s="115">
        <v>0</v>
      </c>
      <c r="U614" s="115">
        <v>0</v>
      </c>
      <c r="V614" s="115">
        <v>2.8571428571428598E-2</v>
      </c>
      <c r="W614" s="40">
        <v>472</v>
      </c>
      <c r="X614" s="40">
        <f t="shared" si="48"/>
        <v>241</v>
      </c>
      <c r="Y614" s="40">
        <f t="shared" si="49"/>
        <v>325</v>
      </c>
      <c r="Z614" s="105">
        <v>0.41313559322033899</v>
      </c>
      <c r="AA614" s="105">
        <v>0.58686440677966101</v>
      </c>
      <c r="AB614" s="106">
        <v>0</v>
      </c>
      <c r="AC614" s="106">
        <v>0</v>
      </c>
      <c r="AD614" s="106">
        <v>0.99576271186440679</v>
      </c>
      <c r="AE614" s="106">
        <v>2.1186440677966102E-3</v>
      </c>
      <c r="AF614" s="106">
        <v>0</v>
      </c>
      <c r="AG614" s="106">
        <v>0</v>
      </c>
      <c r="AH614" s="106">
        <v>2.1186440677966102E-3</v>
      </c>
      <c r="AI614" s="106">
        <v>1</v>
      </c>
      <c r="AJ614" s="105">
        <v>0.6228813559322034</v>
      </c>
      <c r="AK614" s="105">
        <v>0</v>
      </c>
      <c r="AL614" s="12">
        <v>36</v>
      </c>
      <c r="AM614" s="12">
        <v>48</v>
      </c>
      <c r="AN614" s="12">
        <v>0</v>
      </c>
      <c r="AO614" s="12">
        <v>67</v>
      </c>
      <c r="AP614" s="12">
        <v>51</v>
      </c>
      <c r="AQ614" s="12">
        <v>54</v>
      </c>
      <c r="AR614" s="12">
        <v>69</v>
      </c>
      <c r="AS614" s="59">
        <v>0</v>
      </c>
      <c r="AT614" s="3">
        <v>1</v>
      </c>
      <c r="AU614" s="3">
        <v>8</v>
      </c>
      <c r="AV614" s="52">
        <v>76.8</v>
      </c>
      <c r="AW614" s="52">
        <v>13.9</v>
      </c>
      <c r="AX614" s="52">
        <v>6.6</v>
      </c>
      <c r="AY614" s="71">
        <v>2.7</v>
      </c>
      <c r="AZ614" s="59">
        <v>1.646090534979424E-2</v>
      </c>
      <c r="BA614" s="59">
        <v>4.1152263374485597E-2</v>
      </c>
      <c r="BB614" s="77">
        <v>98.4962406015038</v>
      </c>
      <c r="BC614" s="49">
        <v>32.327586206896598</v>
      </c>
      <c r="BD614" s="49">
        <v>0</v>
      </c>
      <c r="BE614" s="49">
        <v>0</v>
      </c>
      <c r="BF614" s="49">
        <v>0</v>
      </c>
      <c r="BG614" s="49">
        <v>0</v>
      </c>
      <c r="BH614" s="49">
        <v>0</v>
      </c>
      <c r="BI614" s="49">
        <v>0</v>
      </c>
      <c r="BJ614" s="49">
        <v>18.899999999999999</v>
      </c>
      <c r="BK614" s="126">
        <v>11732</v>
      </c>
      <c r="BL614" s="126">
        <v>49309</v>
      </c>
      <c r="BM614" s="126">
        <v>44274</v>
      </c>
      <c r="BN614" s="126">
        <v>48338</v>
      </c>
      <c r="BO614" s="59">
        <v>0</v>
      </c>
      <c r="BP614" s="59">
        <v>0.59260000000000002</v>
      </c>
      <c r="BQ614" s="59">
        <v>0.1852</v>
      </c>
      <c r="BR614" s="59">
        <v>0</v>
      </c>
      <c r="BS614" s="59">
        <v>0</v>
      </c>
      <c r="BT614" s="49">
        <v>10</v>
      </c>
      <c r="BU614" s="59">
        <f t="shared" si="46"/>
        <v>0.77780000000000005</v>
      </c>
      <c r="BV614" s="59">
        <v>0</v>
      </c>
      <c r="BW614" s="59">
        <v>5.5599999999999997E-2</v>
      </c>
      <c r="BX614" s="59">
        <v>3.6999999999999998E-2</v>
      </c>
      <c r="BY614" s="59">
        <v>0</v>
      </c>
      <c r="BZ614" s="59">
        <v>0</v>
      </c>
      <c r="CA614" s="49">
        <v>18.399999999999999</v>
      </c>
      <c r="CB614" s="59">
        <f t="shared" si="47"/>
        <v>9.2599999999999988E-2</v>
      </c>
      <c r="CC614" s="59">
        <v>1.8499999999999999E-2</v>
      </c>
      <c r="CD614" s="59">
        <v>0.70369999999999999</v>
      </c>
      <c r="CE614" s="59">
        <v>0.25929999999999997</v>
      </c>
      <c r="CF614" s="59">
        <v>0</v>
      </c>
      <c r="CG614" s="59">
        <v>1.8499999999999999E-2</v>
      </c>
      <c r="CH614" s="49">
        <v>11</v>
      </c>
      <c r="CI614" s="39" t="s">
        <v>438</v>
      </c>
      <c r="CJ614" s="18" t="s">
        <v>479</v>
      </c>
      <c r="CK614" s="20"/>
    </row>
    <row r="615" spans="1:89" x14ac:dyDescent="0.25">
      <c r="A615" s="18" t="s">
        <v>479</v>
      </c>
      <c r="B615" s="39" t="s">
        <v>441</v>
      </c>
      <c r="C615" s="39" t="s">
        <v>441</v>
      </c>
      <c r="D615" s="40">
        <v>0</v>
      </c>
      <c r="E615" s="40">
        <v>0</v>
      </c>
      <c r="F615" s="40">
        <v>0</v>
      </c>
      <c r="G615" s="163">
        <v>0</v>
      </c>
      <c r="H615" s="163">
        <v>0</v>
      </c>
      <c r="I615" s="162" t="s">
        <v>83</v>
      </c>
      <c r="J615" s="163">
        <v>0</v>
      </c>
      <c r="K615" s="163">
        <v>0</v>
      </c>
      <c r="L615" s="163">
        <v>0</v>
      </c>
      <c r="M615" s="163">
        <v>0</v>
      </c>
      <c r="N615" s="115">
        <v>0</v>
      </c>
      <c r="O615" s="115">
        <v>0</v>
      </c>
      <c r="P615" s="115">
        <v>0</v>
      </c>
      <c r="Q615" s="115">
        <v>0</v>
      </c>
      <c r="R615" s="116" t="s">
        <v>83</v>
      </c>
      <c r="S615" s="115">
        <v>0</v>
      </c>
      <c r="T615" s="115">
        <v>0</v>
      </c>
      <c r="U615" s="115">
        <v>0</v>
      </c>
      <c r="V615" s="115">
        <v>0</v>
      </c>
      <c r="W615" s="40">
        <v>734</v>
      </c>
      <c r="X615" s="40">
        <f t="shared" si="48"/>
        <v>240</v>
      </c>
      <c r="Y615" s="40">
        <f t="shared" si="49"/>
        <v>344</v>
      </c>
      <c r="Z615" s="105">
        <v>0.55449591280653998</v>
      </c>
      <c r="AA615" s="105">
        <v>0.44550408719346002</v>
      </c>
      <c r="AB615" s="106">
        <v>2.316076294277929E-2</v>
      </c>
      <c r="AC615" s="106">
        <v>2.0435967302452316E-2</v>
      </c>
      <c r="AD615" s="106">
        <v>0.24114441416893734</v>
      </c>
      <c r="AE615" s="106">
        <v>2.9972752043596729E-2</v>
      </c>
      <c r="AF615" s="106">
        <v>0</v>
      </c>
      <c r="AG615" s="106">
        <v>0.68119891008174382</v>
      </c>
      <c r="AH615" s="106">
        <v>4.0871934604904629E-3</v>
      </c>
      <c r="AI615" s="106">
        <v>0.31880108991825612</v>
      </c>
      <c r="AJ615" s="105">
        <v>0.44550408719346046</v>
      </c>
      <c r="AK615" s="105">
        <v>0</v>
      </c>
      <c r="AL615" s="12">
        <v>57</v>
      </c>
      <c r="AM615" s="12">
        <v>47</v>
      </c>
      <c r="AN615" s="12">
        <v>0</v>
      </c>
      <c r="AO615" s="12">
        <v>66</v>
      </c>
      <c r="AP615" s="12">
        <v>61</v>
      </c>
      <c r="AQ615" s="12">
        <v>61</v>
      </c>
      <c r="AR615" s="12">
        <v>52</v>
      </c>
      <c r="AS615" s="59">
        <v>0</v>
      </c>
      <c r="AT615" s="3">
        <v>1</v>
      </c>
      <c r="AU615" s="3">
        <v>2</v>
      </c>
      <c r="AV615" s="52">
        <v>52.1</v>
      </c>
      <c r="AW615" s="52">
        <v>13.7</v>
      </c>
      <c r="AX615" s="52">
        <v>32.5</v>
      </c>
      <c r="AY615" s="71">
        <v>1.7</v>
      </c>
      <c r="AZ615" s="59">
        <v>0</v>
      </c>
      <c r="BA615" s="59">
        <v>1.6194331983805668E-2</v>
      </c>
      <c r="BB615" s="78">
        <v>95.808647834768095</v>
      </c>
      <c r="BC615" s="49"/>
      <c r="BD615" s="49">
        <v>3.9</v>
      </c>
      <c r="BE615" s="49">
        <v>0</v>
      </c>
      <c r="BF615" s="49">
        <v>0</v>
      </c>
      <c r="BG615" s="49">
        <v>0</v>
      </c>
      <c r="BH615" s="49">
        <v>0</v>
      </c>
      <c r="BI615" s="49">
        <v>0</v>
      </c>
      <c r="BJ615" s="49">
        <v>23.1</v>
      </c>
      <c r="BK615" s="126">
        <v>7036</v>
      </c>
      <c r="BL615" s="126">
        <v>46048</v>
      </c>
      <c r="BM615" s="126">
        <v>42513</v>
      </c>
      <c r="BN615" s="126">
        <v>40950</v>
      </c>
      <c r="BO615" s="59">
        <v>1.61E-2</v>
      </c>
      <c r="BP615" s="59">
        <v>0.46150000000000002</v>
      </c>
      <c r="BQ615" s="59">
        <v>0.15179999999999999</v>
      </c>
      <c r="BR615" s="59">
        <v>0</v>
      </c>
      <c r="BS615" s="59">
        <v>0</v>
      </c>
      <c r="BT615" s="49">
        <v>12.8</v>
      </c>
      <c r="BU615" s="59">
        <f t="shared" si="46"/>
        <v>0.62939999999999996</v>
      </c>
      <c r="BV615" s="59">
        <v>4.4900000000000002E-2</v>
      </c>
      <c r="BW615" s="59">
        <v>1.61E-2</v>
      </c>
      <c r="BX615" s="59">
        <v>1.61E-2</v>
      </c>
      <c r="BY615" s="59">
        <v>0</v>
      </c>
      <c r="BZ615" s="59">
        <v>0</v>
      </c>
      <c r="CA615" s="49">
        <v>17.2</v>
      </c>
      <c r="CB615" s="59">
        <f t="shared" si="47"/>
        <v>7.7100000000000002E-2</v>
      </c>
      <c r="CC615" s="59">
        <v>0.30180000000000001</v>
      </c>
      <c r="CD615" s="59">
        <v>0.51429999999999998</v>
      </c>
      <c r="CE615" s="59">
        <v>0.18390000000000001</v>
      </c>
      <c r="CF615" s="59">
        <v>0</v>
      </c>
      <c r="CG615" s="59">
        <v>0</v>
      </c>
      <c r="CH615" s="49">
        <v>12.1</v>
      </c>
      <c r="CI615" s="39" t="s">
        <v>441</v>
      </c>
      <c r="CJ615" s="18" t="s">
        <v>479</v>
      </c>
      <c r="CK615" s="20"/>
    </row>
    <row r="616" spans="1:89" x14ac:dyDescent="0.25">
      <c r="A616" s="18" t="s">
        <v>479</v>
      </c>
      <c r="B616" s="39" t="s">
        <v>442</v>
      </c>
      <c r="C616" s="39" t="s">
        <v>442</v>
      </c>
      <c r="D616" s="40">
        <v>10</v>
      </c>
      <c r="E616" s="40" t="s">
        <v>83</v>
      </c>
      <c r="F616" s="40">
        <v>10</v>
      </c>
      <c r="G616" s="162" t="s">
        <v>83</v>
      </c>
      <c r="H616" s="162" t="s">
        <v>83</v>
      </c>
      <c r="I616" s="162" t="s">
        <v>83</v>
      </c>
      <c r="J616" s="163">
        <v>1</v>
      </c>
      <c r="K616" s="163">
        <v>5</v>
      </c>
      <c r="L616" s="163">
        <v>4</v>
      </c>
      <c r="M616" s="163">
        <v>0</v>
      </c>
      <c r="N616" s="115">
        <v>4.2194092827004197E-2</v>
      </c>
      <c r="O616" s="115">
        <v>4.2194092827004197E-2</v>
      </c>
      <c r="P616" s="116" t="s">
        <v>83</v>
      </c>
      <c r="Q616" s="116" t="s">
        <v>83</v>
      </c>
      <c r="R616" s="116" t="s">
        <v>83</v>
      </c>
      <c r="S616" s="115">
        <v>1.58730158730159E-2</v>
      </c>
      <c r="T616" s="115">
        <v>7.69230769230769E-2</v>
      </c>
      <c r="U616" s="115">
        <v>7.4074074074074098E-2</v>
      </c>
      <c r="V616" s="115">
        <v>0</v>
      </c>
      <c r="W616" s="40">
        <v>243</v>
      </c>
      <c r="X616" s="40">
        <f t="shared" si="48"/>
        <v>243</v>
      </c>
      <c r="Y616" s="40">
        <f t="shared" si="49"/>
        <v>243</v>
      </c>
      <c r="Z616" s="105">
        <v>0.72016460905349799</v>
      </c>
      <c r="AA616" s="105">
        <v>0.27983539094650201</v>
      </c>
      <c r="AB616" s="106">
        <v>8.23045267489712E-3</v>
      </c>
      <c r="AC616" s="106">
        <v>2.0576131687242798E-2</v>
      </c>
      <c r="AD616" s="106">
        <v>0.27983539094650206</v>
      </c>
      <c r="AE616" s="106">
        <v>8.6419753086419748E-2</v>
      </c>
      <c r="AF616" s="106">
        <v>4.11522633744856E-3</v>
      </c>
      <c r="AG616" s="106">
        <v>0.55967078189300412</v>
      </c>
      <c r="AH616" s="106">
        <v>4.1152263374485597E-2</v>
      </c>
      <c r="AI616" s="106">
        <v>0.44032921810699588</v>
      </c>
      <c r="AJ616" s="105">
        <v>0.35390946502057613</v>
      </c>
      <c r="AK616" s="105">
        <v>0</v>
      </c>
      <c r="AL616" s="12">
        <v>0</v>
      </c>
      <c r="AM616" s="12">
        <v>0</v>
      </c>
      <c r="AN616" s="12">
        <v>0</v>
      </c>
      <c r="AO616" s="12">
        <v>69</v>
      </c>
      <c r="AP616" s="12">
        <v>61</v>
      </c>
      <c r="AQ616" s="12">
        <v>55</v>
      </c>
      <c r="AR616" s="12">
        <v>58</v>
      </c>
      <c r="AS616" s="59">
        <v>0</v>
      </c>
      <c r="AT616" s="3">
        <v>9</v>
      </c>
      <c r="AU616" s="3">
        <v>9</v>
      </c>
      <c r="AV616" s="52">
        <v>48.2</v>
      </c>
      <c r="AW616" s="52">
        <v>10.199999999999999</v>
      </c>
      <c r="AX616" s="52">
        <v>36.5</v>
      </c>
      <c r="AY616" s="71">
        <v>5.0999999999999996</v>
      </c>
      <c r="AZ616" s="59">
        <v>0</v>
      </c>
      <c r="BA616" s="59">
        <v>4.4052863436123352E-3</v>
      </c>
      <c r="BB616" s="77">
        <v>99.971331769611695</v>
      </c>
      <c r="BC616" s="49"/>
      <c r="BD616" s="90" t="s">
        <v>83</v>
      </c>
      <c r="BE616" s="90" t="s">
        <v>83</v>
      </c>
      <c r="BF616" s="49">
        <v>0</v>
      </c>
      <c r="BG616" s="49">
        <v>0</v>
      </c>
      <c r="BH616" s="49">
        <v>0</v>
      </c>
      <c r="BI616" s="49">
        <v>0</v>
      </c>
      <c r="BJ616" s="49">
        <v>22.9</v>
      </c>
      <c r="BK616" s="126">
        <v>32558</v>
      </c>
      <c r="BL616" s="126">
        <v>53194</v>
      </c>
      <c r="BM616" s="126">
        <v>70466</v>
      </c>
      <c r="BN616" s="126">
        <v>55137</v>
      </c>
      <c r="BO616" s="59">
        <v>6.3500000000000001E-2</v>
      </c>
      <c r="BP616" s="59">
        <v>0.1464</v>
      </c>
      <c r="BQ616" s="59">
        <v>0.34460000000000002</v>
      </c>
      <c r="BR616" s="59">
        <v>0</v>
      </c>
      <c r="BS616" s="59">
        <v>0.14899999999999999</v>
      </c>
      <c r="BT616" s="49">
        <v>11.8</v>
      </c>
      <c r="BU616" s="59">
        <f t="shared" si="46"/>
        <v>0.70350000000000001</v>
      </c>
      <c r="BV616" s="59">
        <v>1.2999999999999999E-2</v>
      </c>
      <c r="BW616" s="59">
        <v>1.2999999999999999E-2</v>
      </c>
      <c r="BX616" s="59">
        <v>0</v>
      </c>
      <c r="BY616" s="59">
        <v>0</v>
      </c>
      <c r="BZ616" s="59">
        <v>0</v>
      </c>
      <c r="CA616" s="49">
        <v>19.5</v>
      </c>
      <c r="CB616" s="59">
        <f t="shared" si="47"/>
        <v>2.5999999999999999E-2</v>
      </c>
      <c r="CC616" s="59">
        <v>0.1658</v>
      </c>
      <c r="CD616" s="59">
        <v>0.2306</v>
      </c>
      <c r="CE616" s="59">
        <v>0.42859999999999998</v>
      </c>
      <c r="CF616" s="59">
        <v>1.2999999999999999E-2</v>
      </c>
      <c r="CG616" s="59">
        <v>0.16200000000000001</v>
      </c>
      <c r="CH616" s="49">
        <v>13</v>
      </c>
      <c r="CI616" s="39" t="s">
        <v>442</v>
      </c>
      <c r="CJ616" s="18" t="s">
        <v>479</v>
      </c>
      <c r="CK616" s="20"/>
    </row>
    <row r="617" spans="1:89" x14ac:dyDescent="0.25">
      <c r="A617" s="18" t="s">
        <v>479</v>
      </c>
      <c r="B617" s="39" t="s">
        <v>443</v>
      </c>
      <c r="C617" s="39" t="s">
        <v>443</v>
      </c>
      <c r="D617" s="40">
        <v>10</v>
      </c>
      <c r="E617" s="40">
        <v>2</v>
      </c>
      <c r="F617" s="40">
        <v>8</v>
      </c>
      <c r="G617" s="163">
        <v>1</v>
      </c>
      <c r="H617" s="163">
        <v>1</v>
      </c>
      <c r="I617" s="162" t="s">
        <v>83</v>
      </c>
      <c r="J617" s="163">
        <v>4</v>
      </c>
      <c r="K617" s="163">
        <v>1</v>
      </c>
      <c r="L617" s="163">
        <v>3</v>
      </c>
      <c r="M617" s="163">
        <v>0</v>
      </c>
      <c r="N617" s="115">
        <v>2.58397932816537E-2</v>
      </c>
      <c r="O617" s="115">
        <v>3.3898305084745797E-2</v>
      </c>
      <c r="P617" s="115">
        <v>1.3698630136986301E-2</v>
      </c>
      <c r="Q617" s="115">
        <v>1.2820512820512799E-2</v>
      </c>
      <c r="R617" s="116" t="s">
        <v>83</v>
      </c>
      <c r="S617" s="115">
        <v>6.15384615384615E-2</v>
      </c>
      <c r="T617" s="115">
        <v>1.4492753623188401E-2</v>
      </c>
      <c r="U617" s="115">
        <v>5.6603773584905703E-2</v>
      </c>
      <c r="V617" s="115">
        <v>0</v>
      </c>
      <c r="W617" s="40">
        <v>854</v>
      </c>
      <c r="X617" s="40">
        <f t="shared" si="48"/>
        <v>229</v>
      </c>
      <c r="Y617" s="40">
        <f t="shared" si="49"/>
        <v>374</v>
      </c>
      <c r="Z617" s="105">
        <v>0.47892271662763503</v>
      </c>
      <c r="AA617" s="105">
        <v>0.52107728337236503</v>
      </c>
      <c r="AB617" s="106">
        <v>0</v>
      </c>
      <c r="AC617" s="106">
        <v>5.8548009367681503E-3</v>
      </c>
      <c r="AD617" s="106">
        <v>0.29039812646370022</v>
      </c>
      <c r="AE617" s="106">
        <v>4.0983606557377046E-2</v>
      </c>
      <c r="AF617" s="106">
        <v>0</v>
      </c>
      <c r="AG617" s="106">
        <v>0.64988290398126469</v>
      </c>
      <c r="AH617" s="106">
        <v>1.288056206088993E-2</v>
      </c>
      <c r="AI617" s="106">
        <v>0.35011709601873536</v>
      </c>
      <c r="AJ617" s="105">
        <v>0.62295081967213117</v>
      </c>
      <c r="AK617" s="105">
        <v>0</v>
      </c>
      <c r="AL617" s="12">
        <v>70</v>
      </c>
      <c r="AM617" s="12">
        <v>75</v>
      </c>
      <c r="AN617" s="12">
        <v>0</v>
      </c>
      <c r="AO617" s="12">
        <v>60</v>
      </c>
      <c r="AP617" s="12">
        <v>69</v>
      </c>
      <c r="AQ617" s="12">
        <v>51</v>
      </c>
      <c r="AR617" s="12">
        <v>49</v>
      </c>
      <c r="AS617" s="59">
        <v>0</v>
      </c>
      <c r="AT617" s="3">
        <v>1</v>
      </c>
      <c r="AU617" s="3">
        <v>2</v>
      </c>
      <c r="AV617" s="52">
        <v>35.9</v>
      </c>
      <c r="AW617" s="52">
        <v>57.4</v>
      </c>
      <c r="AX617" s="52">
        <v>3.7</v>
      </c>
      <c r="AY617" s="71">
        <v>3</v>
      </c>
      <c r="AZ617" s="59">
        <v>3.4324942791762014E-2</v>
      </c>
      <c r="BA617" s="59">
        <v>4.462242562929062E-2</v>
      </c>
      <c r="BB617" s="78">
        <v>96.206348296903201</v>
      </c>
      <c r="BC617" s="49">
        <v>15.446224256292901</v>
      </c>
      <c r="BD617" s="49">
        <v>1.5</v>
      </c>
      <c r="BE617" s="49">
        <v>0</v>
      </c>
      <c r="BF617" s="49">
        <v>0</v>
      </c>
      <c r="BG617" s="49">
        <v>0</v>
      </c>
      <c r="BH617" s="49">
        <v>0</v>
      </c>
      <c r="BI617" s="91"/>
      <c r="BJ617" s="49">
        <v>20.100000000000001</v>
      </c>
      <c r="BK617" s="126">
        <v>9133</v>
      </c>
      <c r="BL617" s="126">
        <v>54015</v>
      </c>
      <c r="BM617" s="126">
        <v>81636</v>
      </c>
      <c r="BN617" s="126">
        <v>40050</v>
      </c>
      <c r="BO617" s="59">
        <v>0</v>
      </c>
      <c r="BP617" s="59">
        <v>0.28460000000000002</v>
      </c>
      <c r="BQ617" s="59">
        <v>0.18060000000000001</v>
      </c>
      <c r="BR617" s="59">
        <v>0</v>
      </c>
      <c r="BS617" s="59">
        <v>0</v>
      </c>
      <c r="BT617" s="49">
        <v>10</v>
      </c>
      <c r="BU617" s="59">
        <f t="shared" si="46"/>
        <v>0.46520000000000006</v>
      </c>
      <c r="BV617" s="59">
        <v>9.1000000000000004E-3</v>
      </c>
      <c r="BW617" s="59">
        <v>7.6E-3</v>
      </c>
      <c r="BX617" s="59">
        <v>2.7400000000000001E-2</v>
      </c>
      <c r="BY617" s="59">
        <v>0</v>
      </c>
      <c r="BZ617" s="59">
        <v>0</v>
      </c>
      <c r="CA617" s="49">
        <v>16.7</v>
      </c>
      <c r="CB617" s="59">
        <f t="shared" si="47"/>
        <v>4.41E-2</v>
      </c>
      <c r="CC617" s="59">
        <v>0.46329999999999999</v>
      </c>
      <c r="CD617" s="59">
        <v>0.3196</v>
      </c>
      <c r="CE617" s="59">
        <v>0.21709999999999999</v>
      </c>
      <c r="CF617" s="59">
        <v>0</v>
      </c>
      <c r="CG617" s="59">
        <v>0</v>
      </c>
      <c r="CH617" s="49">
        <v>9.3000000000000007</v>
      </c>
      <c r="CI617" s="39" t="s">
        <v>443</v>
      </c>
      <c r="CJ617" s="18" t="s">
        <v>479</v>
      </c>
      <c r="CK617" s="20"/>
    </row>
    <row r="618" spans="1:89" x14ac:dyDescent="0.25">
      <c r="A618" s="18" t="s">
        <v>479</v>
      </c>
      <c r="B618" s="39" t="s">
        <v>444</v>
      </c>
      <c r="C618" s="39" t="s">
        <v>444</v>
      </c>
      <c r="D618" s="40">
        <v>0</v>
      </c>
      <c r="E618" s="40">
        <v>0</v>
      </c>
      <c r="F618" s="40">
        <v>0</v>
      </c>
      <c r="G618" s="163">
        <v>0</v>
      </c>
      <c r="H618" s="163">
        <v>0</v>
      </c>
      <c r="I618" s="163">
        <v>0</v>
      </c>
      <c r="J618" s="163">
        <v>0</v>
      </c>
      <c r="K618" s="163">
        <v>0</v>
      </c>
      <c r="L618" s="163">
        <v>0</v>
      </c>
      <c r="M618" s="163">
        <v>0</v>
      </c>
      <c r="N618" s="115">
        <v>0</v>
      </c>
      <c r="O618" s="115">
        <v>0</v>
      </c>
      <c r="P618" s="115">
        <v>0</v>
      </c>
      <c r="Q618" s="115">
        <v>0</v>
      </c>
      <c r="R618" s="115">
        <v>0</v>
      </c>
      <c r="S618" s="115">
        <v>0</v>
      </c>
      <c r="T618" s="115">
        <v>0</v>
      </c>
      <c r="U618" s="115">
        <v>0</v>
      </c>
      <c r="V618" s="115">
        <v>0</v>
      </c>
      <c r="W618" s="40">
        <v>895</v>
      </c>
      <c r="X618" s="40">
        <f t="shared" si="48"/>
        <v>203</v>
      </c>
      <c r="Y618" s="40">
        <f t="shared" si="49"/>
        <v>352</v>
      </c>
      <c r="Z618" s="105">
        <v>0.46703910614525102</v>
      </c>
      <c r="AA618" s="105">
        <v>0.53296089385474898</v>
      </c>
      <c r="AB618" s="106">
        <v>1.0055865921787709E-2</v>
      </c>
      <c r="AC618" s="106">
        <v>8.9385474860335188E-3</v>
      </c>
      <c r="AD618" s="106">
        <v>7.7094972067039108E-2</v>
      </c>
      <c r="AE618" s="106">
        <v>9.720670391061452E-2</v>
      </c>
      <c r="AF618" s="106">
        <v>3.3519553072625698E-3</v>
      </c>
      <c r="AG618" s="106">
        <v>0.78659217877094967</v>
      </c>
      <c r="AH618" s="106">
        <v>1.6759776536312849E-2</v>
      </c>
      <c r="AI618" s="106">
        <v>0.21340782122905028</v>
      </c>
      <c r="AJ618" s="105">
        <v>0.55642458100558656</v>
      </c>
      <c r="AK618" s="105">
        <v>5.6983240223463703E-2</v>
      </c>
      <c r="AL618" s="12">
        <v>75</v>
      </c>
      <c r="AM618" s="12">
        <v>74</v>
      </c>
      <c r="AN618" s="12">
        <v>1</v>
      </c>
      <c r="AO618" s="12">
        <v>56</v>
      </c>
      <c r="AP618" s="12">
        <v>58</v>
      </c>
      <c r="AQ618" s="12">
        <v>51</v>
      </c>
      <c r="AR618" s="12">
        <v>37</v>
      </c>
      <c r="AS618" s="59">
        <v>1.7543859649122806E-2</v>
      </c>
      <c r="AT618" s="3">
        <v>1</v>
      </c>
      <c r="AU618" s="3">
        <v>2</v>
      </c>
      <c r="AV618" s="52">
        <v>40.4</v>
      </c>
      <c r="AW618" s="52">
        <v>51.4</v>
      </c>
      <c r="AX618" s="52">
        <v>7.6</v>
      </c>
      <c r="AY618" s="71">
        <v>0.6</v>
      </c>
      <c r="AZ618" s="59">
        <v>0</v>
      </c>
      <c r="BA618" s="59">
        <v>1.611170784103115E-2</v>
      </c>
      <c r="BB618" s="77">
        <v>96.067909454061294</v>
      </c>
      <c r="BC618" s="49">
        <v>18.4747583243824</v>
      </c>
      <c r="BD618" s="49">
        <v>0</v>
      </c>
      <c r="BE618" s="49">
        <v>0</v>
      </c>
      <c r="BF618" s="49">
        <v>1.7</v>
      </c>
      <c r="BG618" s="49">
        <v>1.7</v>
      </c>
      <c r="BH618" s="49">
        <v>0</v>
      </c>
      <c r="BI618" s="49">
        <v>0</v>
      </c>
      <c r="BJ618" s="49">
        <v>20.9</v>
      </c>
      <c r="BK618" s="126">
        <v>9330</v>
      </c>
      <c r="BL618" s="126">
        <v>40873</v>
      </c>
      <c r="BM618" s="126">
        <v>56733</v>
      </c>
      <c r="BN618" s="126">
        <v>35775</v>
      </c>
      <c r="BO618" s="59">
        <v>0</v>
      </c>
      <c r="BP618" s="59">
        <v>0.439</v>
      </c>
      <c r="BQ618" s="59">
        <v>0.1207</v>
      </c>
      <c r="BR618" s="59">
        <v>0</v>
      </c>
      <c r="BS618" s="59">
        <v>0</v>
      </c>
      <c r="BT618" s="49">
        <v>6.1</v>
      </c>
      <c r="BU618" s="59">
        <f t="shared" si="46"/>
        <v>0.55969999999999998</v>
      </c>
      <c r="BV618" s="59">
        <v>2.1999999999999999E-2</v>
      </c>
      <c r="BW618" s="59">
        <v>2.07E-2</v>
      </c>
      <c r="BX618" s="59">
        <v>1.03E-2</v>
      </c>
      <c r="BY618" s="59">
        <v>0</v>
      </c>
      <c r="BZ618" s="59">
        <v>0</v>
      </c>
      <c r="CA618" s="49">
        <v>13.8</v>
      </c>
      <c r="CB618" s="59">
        <f t="shared" si="47"/>
        <v>5.3000000000000005E-2</v>
      </c>
      <c r="CC618" s="59">
        <v>0.29949999999999999</v>
      </c>
      <c r="CD618" s="59">
        <v>0.54749999999999999</v>
      </c>
      <c r="CE618" s="59">
        <v>0.153</v>
      </c>
      <c r="CF618" s="59">
        <v>0</v>
      </c>
      <c r="CG618" s="59">
        <v>0</v>
      </c>
      <c r="CH618" s="49">
        <v>5.7</v>
      </c>
      <c r="CI618" s="39" t="s">
        <v>444</v>
      </c>
      <c r="CJ618" s="18" t="s">
        <v>479</v>
      </c>
      <c r="CK618" s="20"/>
    </row>
    <row r="619" spans="1:89" x14ac:dyDescent="0.25">
      <c r="A619" s="18" t="s">
        <v>479</v>
      </c>
      <c r="B619" s="39" t="s">
        <v>488</v>
      </c>
      <c r="C619" s="39" t="s">
        <v>446</v>
      </c>
      <c r="D619" s="40">
        <v>3</v>
      </c>
      <c r="E619" s="40" t="s">
        <v>83</v>
      </c>
      <c r="F619" s="40">
        <v>3</v>
      </c>
      <c r="G619" s="162" t="s">
        <v>83</v>
      </c>
      <c r="H619" s="162" t="s">
        <v>83</v>
      </c>
      <c r="I619" s="163">
        <v>0</v>
      </c>
      <c r="J619" s="163">
        <v>0</v>
      </c>
      <c r="K619" s="163">
        <v>1</v>
      </c>
      <c r="L619" s="163">
        <v>0</v>
      </c>
      <c r="M619" s="163">
        <v>2</v>
      </c>
      <c r="N619" s="115">
        <v>6.3694267515923596E-3</v>
      </c>
      <c r="O619" s="115">
        <v>6.3694267515923596E-3</v>
      </c>
      <c r="P619" s="116" t="s">
        <v>83</v>
      </c>
      <c r="Q619" s="116" t="s">
        <v>83</v>
      </c>
      <c r="R619" s="115">
        <v>0</v>
      </c>
      <c r="S619" s="115">
        <v>0</v>
      </c>
      <c r="T619" s="115">
        <v>7.8740157480314994E-3</v>
      </c>
      <c r="U619" s="115">
        <v>0</v>
      </c>
      <c r="V619" s="115">
        <v>2.3809523809523801E-2</v>
      </c>
      <c r="W619" s="40">
        <v>450</v>
      </c>
      <c r="X619" s="40">
        <f t="shared" si="48"/>
        <v>450</v>
      </c>
      <c r="Y619" s="40">
        <f t="shared" si="49"/>
        <v>450</v>
      </c>
      <c r="Z619" s="105">
        <v>0.45111111111111102</v>
      </c>
      <c r="AA619" s="105">
        <v>0.54888888888888898</v>
      </c>
      <c r="AB619" s="106">
        <v>0</v>
      </c>
      <c r="AC619" s="106">
        <v>2.2222222222222222E-3</v>
      </c>
      <c r="AD619" s="106">
        <v>0.99555555555555553</v>
      </c>
      <c r="AE619" s="106">
        <v>0</v>
      </c>
      <c r="AF619" s="106">
        <v>0</v>
      </c>
      <c r="AG619" s="106">
        <v>2.2222222222222222E-3</v>
      </c>
      <c r="AH619" s="106">
        <v>0</v>
      </c>
      <c r="AI619" s="106">
        <v>0.99777777777777776</v>
      </c>
      <c r="AJ619" s="105">
        <v>0.79555555555555557</v>
      </c>
      <c r="AK619" s="105">
        <v>0</v>
      </c>
      <c r="AL619" s="12">
        <v>0</v>
      </c>
      <c r="AM619" s="12">
        <v>0</v>
      </c>
      <c r="AN619" s="12">
        <v>10</v>
      </c>
      <c r="AO619" s="12">
        <v>138</v>
      </c>
      <c r="AP619" s="12">
        <v>120</v>
      </c>
      <c r="AQ619" s="12">
        <v>100</v>
      </c>
      <c r="AR619" s="12">
        <v>82</v>
      </c>
      <c r="AS619" s="59">
        <v>6.7567567567567571E-2</v>
      </c>
      <c r="AT619" s="3">
        <v>9</v>
      </c>
      <c r="AU619" s="3">
        <v>2</v>
      </c>
      <c r="AV619" s="52">
        <v>46.7</v>
      </c>
      <c r="AW619" s="52">
        <v>36.1</v>
      </c>
      <c r="AX619" s="52">
        <v>11.2</v>
      </c>
      <c r="AY619" s="71">
        <v>5.9</v>
      </c>
      <c r="AZ619" s="59">
        <v>0</v>
      </c>
      <c r="BA619" s="59">
        <v>0</v>
      </c>
      <c r="BB619" s="78">
        <v>96.825649516046894</v>
      </c>
      <c r="BC619" s="49">
        <v>14.316239316239299</v>
      </c>
      <c r="BD619" s="90" t="s">
        <v>83</v>
      </c>
      <c r="BE619" s="90" t="s">
        <v>83</v>
      </c>
      <c r="BF619" s="49">
        <v>0.8</v>
      </c>
      <c r="BG619" s="49">
        <v>9.1</v>
      </c>
      <c r="BH619" s="49">
        <v>0</v>
      </c>
      <c r="BI619" s="49">
        <v>6.2</v>
      </c>
      <c r="BJ619" s="49">
        <v>17.399999999999999</v>
      </c>
      <c r="BK619" s="126">
        <v>9503</v>
      </c>
      <c r="BL619" s="126">
        <v>49928</v>
      </c>
      <c r="BM619" s="126">
        <v>81275</v>
      </c>
      <c r="BN619" s="126">
        <v>53320</v>
      </c>
      <c r="BO619" s="59">
        <v>2.8199999999999999E-2</v>
      </c>
      <c r="BP619" s="59">
        <v>0.45100000000000001</v>
      </c>
      <c r="BQ619" s="59">
        <v>0.25369999999999998</v>
      </c>
      <c r="BR619" s="59">
        <v>0</v>
      </c>
      <c r="BS619" s="59">
        <v>0</v>
      </c>
      <c r="BT619" s="49">
        <v>10</v>
      </c>
      <c r="BU619" s="59">
        <f t="shared" si="46"/>
        <v>0.7329</v>
      </c>
      <c r="BV619" s="59">
        <v>2.8199999999999999E-2</v>
      </c>
      <c r="BW619" s="59">
        <v>2.8199999999999999E-2</v>
      </c>
      <c r="BX619" s="59">
        <v>3.9E-2</v>
      </c>
      <c r="BY619" s="59">
        <v>0</v>
      </c>
      <c r="BZ619" s="59">
        <v>0</v>
      </c>
      <c r="CA619" s="49">
        <v>15.6</v>
      </c>
      <c r="CB619" s="59">
        <f t="shared" si="47"/>
        <v>9.5399999999999999E-2</v>
      </c>
      <c r="CC619" s="59">
        <v>0.1128</v>
      </c>
      <c r="CD619" s="59">
        <v>0.53979999999999995</v>
      </c>
      <c r="CE619" s="59">
        <v>0.31929999999999997</v>
      </c>
      <c r="CF619" s="59">
        <v>0</v>
      </c>
      <c r="CG619" s="59">
        <v>2.8199999999999999E-2</v>
      </c>
      <c r="CH619" s="49">
        <v>11</v>
      </c>
      <c r="CI619" s="39" t="s">
        <v>446</v>
      </c>
      <c r="CJ619" s="18" t="s">
        <v>479</v>
      </c>
      <c r="CK619" s="20"/>
    </row>
    <row r="620" spans="1:89" x14ac:dyDescent="0.25">
      <c r="A620" s="18" t="s">
        <v>479</v>
      </c>
      <c r="B620" s="39" t="s">
        <v>447</v>
      </c>
      <c r="C620" s="39" t="s">
        <v>448</v>
      </c>
      <c r="D620" s="40">
        <v>15</v>
      </c>
      <c r="E620" s="40" t="s">
        <v>83</v>
      </c>
      <c r="F620" s="40">
        <v>15</v>
      </c>
      <c r="G620" s="162" t="s">
        <v>83</v>
      </c>
      <c r="H620" s="162" t="s">
        <v>83</v>
      </c>
      <c r="I620" s="163">
        <v>0</v>
      </c>
      <c r="J620" s="163">
        <v>7</v>
      </c>
      <c r="K620" s="163">
        <v>3</v>
      </c>
      <c r="L620" s="163">
        <v>1</v>
      </c>
      <c r="M620" s="163">
        <v>4</v>
      </c>
      <c r="N620" s="115">
        <v>2.4390243902439001E-2</v>
      </c>
      <c r="O620" s="115">
        <v>2.4390243902439001E-2</v>
      </c>
      <c r="P620" s="116" t="s">
        <v>83</v>
      </c>
      <c r="Q620" s="116" t="s">
        <v>83</v>
      </c>
      <c r="R620" s="115">
        <v>0</v>
      </c>
      <c r="S620" s="115">
        <v>3.5714285714285698E-2</v>
      </c>
      <c r="T620" s="115">
        <v>1.8072289156626498E-2</v>
      </c>
      <c r="U620" s="115">
        <v>6.7567567567567597E-3</v>
      </c>
      <c r="V620" s="115">
        <v>3.8095238095238099E-2</v>
      </c>
      <c r="W620" s="40">
        <v>565</v>
      </c>
      <c r="X620" s="40">
        <f t="shared" si="48"/>
        <v>565</v>
      </c>
      <c r="Y620" s="40">
        <f t="shared" si="49"/>
        <v>565</v>
      </c>
      <c r="Z620" s="105">
        <v>0.53805309734513296</v>
      </c>
      <c r="AA620" s="105">
        <v>0.46194690265486699</v>
      </c>
      <c r="AB620" s="106">
        <v>0</v>
      </c>
      <c r="AC620" s="106">
        <v>6.9026548672566371E-2</v>
      </c>
      <c r="AD620" s="106">
        <v>0.59646017699115039</v>
      </c>
      <c r="AE620" s="106">
        <v>0.22300884955752212</v>
      </c>
      <c r="AF620" s="106">
        <v>0</v>
      </c>
      <c r="AG620" s="106">
        <v>0.10088495575221239</v>
      </c>
      <c r="AH620" s="106">
        <v>1.0619469026548672E-2</v>
      </c>
      <c r="AI620" s="106">
        <v>0.89911504424778765</v>
      </c>
      <c r="AJ620" s="105">
        <v>0.77522123893805306</v>
      </c>
      <c r="AK620" s="105">
        <v>0.11504424778761101</v>
      </c>
      <c r="AL620" s="12">
        <v>0</v>
      </c>
      <c r="AM620" s="12">
        <v>0</v>
      </c>
      <c r="AN620" s="12">
        <v>1</v>
      </c>
      <c r="AO620" s="12">
        <v>172</v>
      </c>
      <c r="AP620" s="12">
        <v>158</v>
      </c>
      <c r="AQ620" s="12">
        <v>133</v>
      </c>
      <c r="AR620" s="12">
        <v>101</v>
      </c>
      <c r="AS620" s="59">
        <v>5.7803468208092483E-3</v>
      </c>
      <c r="AT620" s="3">
        <v>9</v>
      </c>
      <c r="AU620" s="3">
        <v>2</v>
      </c>
      <c r="AV620" s="52">
        <v>44</v>
      </c>
      <c r="AW620" s="52">
        <v>39.700000000000003</v>
      </c>
      <c r="AX620" s="52">
        <v>16.399999999999999</v>
      </c>
      <c r="AY620" s="70">
        <v>0</v>
      </c>
      <c r="AZ620" s="59">
        <v>0.14754098360655737</v>
      </c>
      <c r="BA620" s="59">
        <v>0.12622950819672132</v>
      </c>
      <c r="BB620" s="77">
        <v>94.480542202076904</v>
      </c>
      <c r="BC620" s="49">
        <v>52.950819672131097</v>
      </c>
      <c r="BD620" s="90" t="s">
        <v>83</v>
      </c>
      <c r="BE620" s="90" t="s">
        <v>83</v>
      </c>
      <c r="BF620" s="49">
        <v>12.9</v>
      </c>
      <c r="BG620" s="49">
        <v>4.0999999999999996</v>
      </c>
      <c r="BH620" s="49">
        <v>0.8</v>
      </c>
      <c r="BI620" s="49">
        <v>1.1000000000000001</v>
      </c>
      <c r="BJ620" s="49">
        <v>19.600000000000001</v>
      </c>
      <c r="BK620" s="126">
        <v>11041</v>
      </c>
      <c r="BL620" s="126">
        <v>50050</v>
      </c>
      <c r="BM620" s="126">
        <v>88853</v>
      </c>
      <c r="BN620" s="126">
        <v>51202</v>
      </c>
      <c r="BO620" s="59">
        <v>0</v>
      </c>
      <c r="BP620" s="59">
        <v>0.33479999999999999</v>
      </c>
      <c r="BQ620" s="59">
        <v>0.2021</v>
      </c>
      <c r="BR620" s="59">
        <v>0</v>
      </c>
      <c r="BS620" s="59">
        <v>3.5400000000000001E-2</v>
      </c>
      <c r="BT620" s="49">
        <v>7.3</v>
      </c>
      <c r="BU620" s="59">
        <f t="shared" si="46"/>
        <v>0.57229999999999992</v>
      </c>
      <c r="BV620" s="59">
        <v>1.2999999999999999E-3</v>
      </c>
      <c r="BW620" s="59">
        <v>1.5100000000000001E-2</v>
      </c>
      <c r="BX620" s="59">
        <v>3.9100000000000003E-2</v>
      </c>
      <c r="BY620" s="59">
        <v>0</v>
      </c>
      <c r="BZ620" s="59">
        <v>3.3E-3</v>
      </c>
      <c r="CA620" s="49">
        <v>16.899999999999999</v>
      </c>
      <c r="CB620" s="59">
        <f t="shared" si="47"/>
        <v>5.8800000000000005E-2</v>
      </c>
      <c r="CC620" s="59">
        <v>0.14280000000000001</v>
      </c>
      <c r="CD620" s="59">
        <v>0.49969999999999998</v>
      </c>
      <c r="CE620" s="59">
        <v>0.31879999999999997</v>
      </c>
      <c r="CF620" s="59">
        <v>0</v>
      </c>
      <c r="CG620" s="59">
        <v>3.8699999999999998E-2</v>
      </c>
      <c r="CH620" s="49">
        <v>7.7</v>
      </c>
      <c r="CI620" s="39" t="s">
        <v>448</v>
      </c>
      <c r="CJ620" s="18" t="s">
        <v>479</v>
      </c>
      <c r="CK620" s="20"/>
    </row>
    <row r="621" spans="1:89" x14ac:dyDescent="0.25">
      <c r="A621" s="18" t="s">
        <v>479</v>
      </c>
      <c r="B621" s="39" t="s">
        <v>449</v>
      </c>
      <c r="C621" s="39" t="s">
        <v>449</v>
      </c>
      <c r="D621" s="40">
        <v>22</v>
      </c>
      <c r="E621" s="40" t="s">
        <v>83</v>
      </c>
      <c r="F621" s="40">
        <v>22</v>
      </c>
      <c r="G621" s="162" t="s">
        <v>83</v>
      </c>
      <c r="H621" s="162" t="s">
        <v>83</v>
      </c>
      <c r="I621" s="162">
        <v>1</v>
      </c>
      <c r="J621" s="163">
        <v>4</v>
      </c>
      <c r="K621" s="163">
        <v>9</v>
      </c>
      <c r="L621" s="163">
        <v>6</v>
      </c>
      <c r="M621" s="163">
        <v>2</v>
      </c>
      <c r="N621" s="115">
        <v>3.1473533619456401E-2</v>
      </c>
      <c r="O621" s="115">
        <v>3.1473533619456401E-2</v>
      </c>
      <c r="P621" s="116" t="s">
        <v>83</v>
      </c>
      <c r="Q621" s="116" t="s">
        <v>83</v>
      </c>
      <c r="R621" s="116">
        <v>1</v>
      </c>
      <c r="S621" s="115">
        <v>1.7467248908296901E-2</v>
      </c>
      <c r="T621" s="115">
        <v>4.6153846153846198E-2</v>
      </c>
      <c r="U621" s="115">
        <v>3.5502958579881699E-2</v>
      </c>
      <c r="V621" s="115">
        <v>1.9047619047619001E-2</v>
      </c>
      <c r="W621" s="40">
        <v>645</v>
      </c>
      <c r="X621" s="40">
        <f t="shared" si="48"/>
        <v>645</v>
      </c>
      <c r="Y621" s="40">
        <f t="shared" si="49"/>
        <v>645</v>
      </c>
      <c r="Z621" s="105">
        <v>0.36279069767441902</v>
      </c>
      <c r="AA621" s="105">
        <v>0.63720930232558104</v>
      </c>
      <c r="AB621" s="106">
        <v>3.1007751937984496E-3</v>
      </c>
      <c r="AC621" s="106">
        <v>2.0155038759689922E-2</v>
      </c>
      <c r="AD621" s="106">
        <v>0.5364341085271318</v>
      </c>
      <c r="AE621" s="106">
        <v>0.11782945736434108</v>
      </c>
      <c r="AF621" s="106">
        <v>0</v>
      </c>
      <c r="AG621" s="106">
        <v>0.28992248062015502</v>
      </c>
      <c r="AH621" s="106">
        <v>3.255813953488372E-2</v>
      </c>
      <c r="AI621" s="106">
        <v>0.71007751937984498</v>
      </c>
      <c r="AJ621" s="105">
        <v>0.55658914728682174</v>
      </c>
      <c r="AK621" s="105">
        <v>1.08527131782946E-2</v>
      </c>
      <c r="AL621" s="12">
        <v>0</v>
      </c>
      <c r="AM621" s="12">
        <v>0</v>
      </c>
      <c r="AN621" s="12">
        <v>0</v>
      </c>
      <c r="AO621" s="12">
        <v>213</v>
      </c>
      <c r="AP621" s="12">
        <v>184</v>
      </c>
      <c r="AQ621" s="12">
        <v>146</v>
      </c>
      <c r="AR621" s="12">
        <v>102</v>
      </c>
      <c r="AS621" s="59">
        <v>0</v>
      </c>
      <c r="AT621" s="3">
        <v>9</v>
      </c>
      <c r="AU621" s="3">
        <v>2</v>
      </c>
      <c r="AV621" s="52">
        <v>48.4</v>
      </c>
      <c r="AW621" s="52">
        <v>46.2</v>
      </c>
      <c r="AX621" s="52">
        <v>5.0999999999999996</v>
      </c>
      <c r="AY621" s="71">
        <v>0.4</v>
      </c>
      <c r="AZ621" s="59">
        <v>0.26269956458635702</v>
      </c>
      <c r="BA621" s="59">
        <v>0.22206095791001451</v>
      </c>
      <c r="BB621" s="77">
        <v>95.277895745046095</v>
      </c>
      <c r="BC621" s="49">
        <v>38.985507246376798</v>
      </c>
      <c r="BD621" s="90" t="s">
        <v>83</v>
      </c>
      <c r="BE621" s="90" t="s">
        <v>83</v>
      </c>
      <c r="BF621" s="49">
        <v>3.1</v>
      </c>
      <c r="BG621" s="49">
        <v>0</v>
      </c>
      <c r="BH621" s="49">
        <v>0</v>
      </c>
      <c r="BI621" s="49">
        <v>0</v>
      </c>
      <c r="BJ621" s="49">
        <v>19.899999999999999</v>
      </c>
      <c r="BK621" s="126">
        <v>10975</v>
      </c>
      <c r="BL621" s="126">
        <v>50170</v>
      </c>
      <c r="BM621" s="126">
        <v>61052</v>
      </c>
      <c r="BN621" s="126">
        <v>53766</v>
      </c>
      <c r="BO621" s="59">
        <v>4.5400000000000003E-2</v>
      </c>
      <c r="BP621" s="59">
        <v>0.2611</v>
      </c>
      <c r="BQ621" s="59">
        <v>0.3992</v>
      </c>
      <c r="BR621" s="59">
        <v>0</v>
      </c>
      <c r="BS621" s="59">
        <v>3.0300000000000001E-2</v>
      </c>
      <c r="BT621" s="49">
        <v>10.8</v>
      </c>
      <c r="BU621" s="59">
        <f t="shared" si="46"/>
        <v>0.73599999999999999</v>
      </c>
      <c r="BV621" s="59">
        <v>6.7400000000000002E-2</v>
      </c>
      <c r="BW621" s="59">
        <v>4.5400000000000003E-2</v>
      </c>
      <c r="BX621" s="59">
        <v>0</v>
      </c>
      <c r="BY621" s="59">
        <v>0</v>
      </c>
      <c r="BZ621" s="59">
        <v>1.5100000000000001E-2</v>
      </c>
      <c r="CA621" s="49">
        <v>6.9</v>
      </c>
      <c r="CB621" s="59">
        <f t="shared" si="47"/>
        <v>0.12790000000000001</v>
      </c>
      <c r="CC621" s="59">
        <v>0.17330000000000001</v>
      </c>
      <c r="CD621" s="59">
        <v>0.3216</v>
      </c>
      <c r="CE621" s="59">
        <v>0.44450000000000001</v>
      </c>
      <c r="CF621" s="59">
        <v>0</v>
      </c>
      <c r="CG621" s="59">
        <v>6.0499999999999998E-2</v>
      </c>
      <c r="CH621" s="49">
        <v>9.8000000000000007</v>
      </c>
      <c r="CI621" s="39" t="s">
        <v>449</v>
      </c>
      <c r="CJ621" s="18" t="s">
        <v>479</v>
      </c>
      <c r="CK621" s="20"/>
    </row>
    <row r="622" spans="1:89" x14ac:dyDescent="0.25">
      <c r="A622" s="18" t="s">
        <v>479</v>
      </c>
      <c r="B622" s="39" t="s">
        <v>435</v>
      </c>
      <c r="C622" s="39" t="s">
        <v>435</v>
      </c>
      <c r="D622" s="40">
        <v>87</v>
      </c>
      <c r="E622" s="40" t="s">
        <v>83</v>
      </c>
      <c r="F622" s="40">
        <v>87</v>
      </c>
      <c r="G622" s="162" t="s">
        <v>83</v>
      </c>
      <c r="H622" s="162" t="s">
        <v>83</v>
      </c>
      <c r="I622" s="163">
        <v>3</v>
      </c>
      <c r="J622" s="163">
        <v>30</v>
      </c>
      <c r="K622" s="163">
        <v>20</v>
      </c>
      <c r="L622" s="163">
        <v>15</v>
      </c>
      <c r="M622" s="163">
        <v>19</v>
      </c>
      <c r="N622" s="115">
        <v>8.9783281733746098E-2</v>
      </c>
      <c r="O622" s="115">
        <v>8.9783281733746098E-2</v>
      </c>
      <c r="P622" s="116" t="s">
        <v>83</v>
      </c>
      <c r="Q622" s="116" t="s">
        <v>83</v>
      </c>
      <c r="R622" s="115">
        <v>6.5217391304347797E-2</v>
      </c>
      <c r="S622" s="115">
        <v>0.10638297872340401</v>
      </c>
      <c r="T622" s="115">
        <v>7.6335877862595394E-2</v>
      </c>
      <c r="U622" s="115">
        <v>7.2463768115942004E-2</v>
      </c>
      <c r="V622" s="115">
        <v>0.11046511627907001</v>
      </c>
      <c r="W622" s="40">
        <v>787</v>
      </c>
      <c r="X622" s="40">
        <f t="shared" si="48"/>
        <v>787</v>
      </c>
      <c r="Y622" s="40">
        <f t="shared" si="49"/>
        <v>787</v>
      </c>
      <c r="Z622" s="105">
        <v>0.49428208386277001</v>
      </c>
      <c r="AA622" s="105">
        <v>0.50571791613723005</v>
      </c>
      <c r="AB622" s="106">
        <v>0</v>
      </c>
      <c r="AC622" s="106">
        <v>0</v>
      </c>
      <c r="AD622" s="106">
        <v>0.9898348157560356</v>
      </c>
      <c r="AE622" s="106">
        <v>3.8119440914866584E-3</v>
      </c>
      <c r="AF622" s="106">
        <v>0</v>
      </c>
      <c r="AG622" s="106">
        <v>6.3532401524777635E-3</v>
      </c>
      <c r="AH622" s="106">
        <v>0</v>
      </c>
      <c r="AI622" s="106">
        <v>0.99364675984752227</v>
      </c>
      <c r="AJ622" s="105">
        <v>0.88310038119440915</v>
      </c>
      <c r="AK622" s="105">
        <v>0</v>
      </c>
      <c r="AL622" s="12">
        <v>0</v>
      </c>
      <c r="AM622" s="12">
        <v>0</v>
      </c>
      <c r="AN622" s="12">
        <v>45</v>
      </c>
      <c r="AO622" s="12">
        <v>234</v>
      </c>
      <c r="AP622" s="12">
        <v>184</v>
      </c>
      <c r="AQ622" s="12">
        <v>173</v>
      </c>
      <c r="AR622" s="12">
        <v>151</v>
      </c>
      <c r="AS622" s="59">
        <v>0.16129032258064516</v>
      </c>
      <c r="AT622" s="3">
        <v>9</v>
      </c>
      <c r="AU622" s="3">
        <v>5</v>
      </c>
      <c r="AV622" s="52">
        <v>26.4</v>
      </c>
      <c r="AW622" s="52">
        <v>18.2</v>
      </c>
      <c r="AX622" s="52">
        <v>34.799999999999997</v>
      </c>
      <c r="AY622" s="71">
        <v>20.6</v>
      </c>
      <c r="AZ622" s="59">
        <v>0</v>
      </c>
      <c r="BA622" s="59">
        <v>0.10421286031042129</v>
      </c>
      <c r="BB622" s="77">
        <v>97.542932827621499</v>
      </c>
      <c r="BC622" s="49">
        <v>10.643015521064299</v>
      </c>
      <c r="BD622" s="90" t="s">
        <v>83</v>
      </c>
      <c r="BE622" s="90" t="s">
        <v>83</v>
      </c>
      <c r="BF622" s="49">
        <v>2</v>
      </c>
      <c r="BG622" s="49">
        <v>6.7</v>
      </c>
      <c r="BH622" s="49">
        <v>1.8</v>
      </c>
      <c r="BI622" s="49">
        <v>4.2</v>
      </c>
      <c r="BJ622" s="49">
        <v>17.100000000000001</v>
      </c>
      <c r="BK622" s="126">
        <v>10606</v>
      </c>
      <c r="BL622" s="126">
        <v>38113</v>
      </c>
      <c r="BM622" s="126">
        <v>72568</v>
      </c>
      <c r="BN622" s="126">
        <v>38348</v>
      </c>
      <c r="BO622" s="59">
        <v>0</v>
      </c>
      <c r="BP622" s="59">
        <v>0.44350000000000001</v>
      </c>
      <c r="BQ622" s="59">
        <v>0.11409999999999999</v>
      </c>
      <c r="BR622" s="59">
        <v>0</v>
      </c>
      <c r="BS622" s="59">
        <v>3.7999999999999999E-2</v>
      </c>
      <c r="BT622" s="49">
        <v>5.9</v>
      </c>
      <c r="BU622" s="59">
        <f t="shared" si="46"/>
        <v>0.59560000000000002</v>
      </c>
      <c r="BV622" s="59">
        <v>1.2699999999999999E-2</v>
      </c>
      <c r="BW622" s="59">
        <v>0</v>
      </c>
      <c r="BX622" s="59">
        <v>2.4199999999999999E-2</v>
      </c>
      <c r="BY622" s="59">
        <v>0</v>
      </c>
      <c r="BZ622" s="59">
        <v>0</v>
      </c>
      <c r="CA622" s="49">
        <v>16.7</v>
      </c>
      <c r="CB622" s="59">
        <f t="shared" si="47"/>
        <v>3.6900000000000002E-2</v>
      </c>
      <c r="CC622" s="59">
        <v>0.1711</v>
      </c>
      <c r="CD622" s="59">
        <v>0.52590000000000003</v>
      </c>
      <c r="CE622" s="59">
        <v>0.26500000000000001</v>
      </c>
      <c r="CF622" s="59">
        <v>0</v>
      </c>
      <c r="CG622" s="59">
        <v>3.7999999999999999E-2</v>
      </c>
      <c r="CH622" s="49">
        <v>7.4</v>
      </c>
      <c r="CI622" s="39" t="s">
        <v>435</v>
      </c>
      <c r="CJ622" s="18" t="s">
        <v>479</v>
      </c>
      <c r="CK622" s="20"/>
    </row>
    <row r="623" spans="1:89" x14ac:dyDescent="0.25">
      <c r="A623" s="18" t="s">
        <v>479</v>
      </c>
      <c r="B623" s="39" t="s">
        <v>461</v>
      </c>
      <c r="C623" s="39" t="s">
        <v>461</v>
      </c>
      <c r="D623" s="40">
        <v>1</v>
      </c>
      <c r="E623" s="40">
        <v>0</v>
      </c>
      <c r="F623" s="40">
        <v>1</v>
      </c>
      <c r="G623" s="163">
        <v>0</v>
      </c>
      <c r="H623" s="163">
        <v>0</v>
      </c>
      <c r="I623" s="162" t="s">
        <v>83</v>
      </c>
      <c r="J623" s="163">
        <v>0</v>
      </c>
      <c r="K623" s="163">
        <v>1</v>
      </c>
      <c r="L623" s="163">
        <v>0</v>
      </c>
      <c r="M623" s="163">
        <v>0</v>
      </c>
      <c r="N623" s="115">
        <v>3.28947368421053E-3</v>
      </c>
      <c r="O623" s="115">
        <v>5.2356020942408397E-3</v>
      </c>
      <c r="P623" s="115">
        <v>0</v>
      </c>
      <c r="Q623" s="115">
        <v>0</v>
      </c>
      <c r="R623" s="116" t="s">
        <v>83</v>
      </c>
      <c r="S623" s="115">
        <v>0</v>
      </c>
      <c r="T623" s="115">
        <v>2.6315789473684199E-2</v>
      </c>
      <c r="U623" s="115">
        <v>0</v>
      </c>
      <c r="V623" s="115">
        <v>0</v>
      </c>
      <c r="W623" s="40">
        <v>826</v>
      </c>
      <c r="X623" s="40">
        <f t="shared" si="48"/>
        <v>174</v>
      </c>
      <c r="Y623" s="40">
        <f t="shared" si="49"/>
        <v>286</v>
      </c>
      <c r="Z623" s="105">
        <v>0.51331719128329301</v>
      </c>
      <c r="AA623" s="105">
        <v>0.48668280871670699</v>
      </c>
      <c r="AB623" s="106">
        <v>0</v>
      </c>
      <c r="AC623" s="106">
        <v>0</v>
      </c>
      <c r="AD623" s="106">
        <v>0.99394673123486688</v>
      </c>
      <c r="AE623" s="106">
        <v>1.2106537530266344E-3</v>
      </c>
      <c r="AF623" s="106">
        <v>0</v>
      </c>
      <c r="AG623" s="106">
        <v>2.4213075060532689E-3</v>
      </c>
      <c r="AH623" s="106">
        <v>2.4213075060532689E-3</v>
      </c>
      <c r="AI623" s="106">
        <v>0.99757869249394671</v>
      </c>
      <c r="AJ623" s="105">
        <v>0.91041162227602901</v>
      </c>
      <c r="AK623" s="105">
        <v>0</v>
      </c>
      <c r="AL623" s="12">
        <v>63</v>
      </c>
      <c r="AM623" s="12">
        <v>49</v>
      </c>
      <c r="AN623" s="12">
        <v>0</v>
      </c>
      <c r="AO623" s="12">
        <v>53</v>
      </c>
      <c r="AP623" s="12">
        <v>34</v>
      </c>
      <c r="AQ623" s="12">
        <v>47</v>
      </c>
      <c r="AR623" s="12">
        <v>40</v>
      </c>
      <c r="AS623" s="59">
        <v>0</v>
      </c>
      <c r="AT623" s="3">
        <v>1</v>
      </c>
      <c r="AU623" s="3">
        <v>2</v>
      </c>
      <c r="AV623" s="52">
        <v>26.7</v>
      </c>
      <c r="AW623" s="52">
        <v>58.4</v>
      </c>
      <c r="AX623" s="52">
        <v>13.4</v>
      </c>
      <c r="AY623" s="71">
        <v>1.5</v>
      </c>
      <c r="AZ623" s="59">
        <v>2.3121387283236996E-3</v>
      </c>
      <c r="BA623" s="59">
        <v>0.13641618497109825</v>
      </c>
      <c r="BB623" s="77">
        <v>97.004621668879594</v>
      </c>
      <c r="BC623" s="49">
        <v>22.107969151671</v>
      </c>
      <c r="BD623" s="49">
        <v>4.8</v>
      </c>
      <c r="BE623" s="49">
        <v>0</v>
      </c>
      <c r="BF623" s="49">
        <v>0</v>
      </c>
      <c r="BG623" s="49">
        <v>0</v>
      </c>
      <c r="BH623" s="49">
        <v>4.2</v>
      </c>
      <c r="BI623" s="49">
        <v>2.7</v>
      </c>
      <c r="BJ623" s="49">
        <v>17.5</v>
      </c>
      <c r="BK623" s="126">
        <v>8934</v>
      </c>
      <c r="BL623" s="126">
        <v>50042</v>
      </c>
      <c r="BM623" s="126">
        <v>76762</v>
      </c>
      <c r="BN623" s="126">
        <v>41240</v>
      </c>
      <c r="BO623" s="59">
        <v>1.9400000000000001E-2</v>
      </c>
      <c r="BP623" s="59">
        <v>0.28660000000000002</v>
      </c>
      <c r="BQ623" s="59">
        <v>0.11169999999999999</v>
      </c>
      <c r="BR623" s="59">
        <v>0</v>
      </c>
      <c r="BS623" s="59">
        <v>0</v>
      </c>
      <c r="BT623" s="49">
        <v>16.3</v>
      </c>
      <c r="BU623" s="59">
        <f t="shared" si="46"/>
        <v>0.41770000000000007</v>
      </c>
      <c r="BV623" s="59">
        <v>0</v>
      </c>
      <c r="BW623" s="59">
        <v>1.9400000000000001E-2</v>
      </c>
      <c r="BX623" s="59">
        <v>9.7000000000000003E-3</v>
      </c>
      <c r="BY623" s="59">
        <v>0</v>
      </c>
      <c r="BZ623" s="59">
        <v>9.7000000000000003E-3</v>
      </c>
      <c r="CA623" s="49">
        <v>21.8</v>
      </c>
      <c r="CB623" s="59">
        <f t="shared" si="47"/>
        <v>3.8800000000000001E-2</v>
      </c>
      <c r="CC623" s="59">
        <v>0.31090000000000001</v>
      </c>
      <c r="CD623" s="59">
        <v>0.47060000000000002</v>
      </c>
      <c r="CE623" s="59">
        <v>0.1991</v>
      </c>
      <c r="CF623" s="59">
        <v>0</v>
      </c>
      <c r="CG623" s="59">
        <v>1.9400000000000001E-2</v>
      </c>
      <c r="CH623" s="49">
        <v>13.5</v>
      </c>
      <c r="CI623" s="39" t="s">
        <v>461</v>
      </c>
      <c r="CJ623" s="18" t="s">
        <v>479</v>
      </c>
      <c r="CK623" s="20"/>
    </row>
    <row r="624" spans="1:89" x14ac:dyDescent="0.25">
      <c r="A624" s="18" t="s">
        <v>479</v>
      </c>
      <c r="B624" s="39" t="s">
        <v>471</v>
      </c>
      <c r="C624" s="39" t="s">
        <v>472</v>
      </c>
      <c r="D624" s="40">
        <v>1</v>
      </c>
      <c r="E624" s="40">
        <v>0</v>
      </c>
      <c r="F624" s="40">
        <v>1</v>
      </c>
      <c r="G624" s="163">
        <v>0</v>
      </c>
      <c r="H624" s="163">
        <v>0</v>
      </c>
      <c r="I624" s="163">
        <v>0</v>
      </c>
      <c r="J624" s="163">
        <v>0</v>
      </c>
      <c r="K624" s="163">
        <v>0</v>
      </c>
      <c r="L624" s="163">
        <v>1</v>
      </c>
      <c r="M624" s="162" t="s">
        <v>83</v>
      </c>
      <c r="N624" s="115">
        <v>4.5662100456621002E-3</v>
      </c>
      <c r="O624" s="115">
        <v>7.6923076923076901E-3</v>
      </c>
      <c r="P624" s="115">
        <v>0</v>
      </c>
      <c r="Q624" s="115">
        <v>0</v>
      </c>
      <c r="R624" s="115">
        <v>0</v>
      </c>
      <c r="S624" s="115">
        <v>0</v>
      </c>
      <c r="T624" s="115">
        <v>0</v>
      </c>
      <c r="U624" s="115">
        <v>2.4390243902439001E-2</v>
      </c>
      <c r="V624" s="116" t="s">
        <v>83</v>
      </c>
      <c r="W624" s="40">
        <v>455</v>
      </c>
      <c r="X624" s="40">
        <f t="shared" si="48"/>
        <v>122</v>
      </c>
      <c r="Y624" s="40">
        <f t="shared" si="49"/>
        <v>202</v>
      </c>
      <c r="Z624" s="105">
        <v>0.465934065934066</v>
      </c>
      <c r="AA624" s="105">
        <v>0.53406593406593394</v>
      </c>
      <c r="AB624" s="106">
        <v>4.3956043956043956E-3</v>
      </c>
      <c r="AC624" s="106">
        <v>4.3956043956043956E-3</v>
      </c>
      <c r="AD624" s="106">
        <v>0.1956043956043956</v>
      </c>
      <c r="AE624" s="106">
        <v>1.7582417582417582E-2</v>
      </c>
      <c r="AF624" s="106">
        <v>0</v>
      </c>
      <c r="AG624" s="106">
        <v>0.76703296703296708</v>
      </c>
      <c r="AH624" s="106">
        <v>1.098901098901099E-2</v>
      </c>
      <c r="AI624" s="106">
        <v>0.23296703296703297</v>
      </c>
      <c r="AJ624" s="105">
        <v>0.47252747252747251</v>
      </c>
      <c r="AK624" s="105">
        <v>0</v>
      </c>
      <c r="AL624" s="12">
        <v>39</v>
      </c>
      <c r="AM624" s="12">
        <v>41</v>
      </c>
      <c r="AN624" s="12">
        <v>1</v>
      </c>
      <c r="AO624" s="12">
        <v>43</v>
      </c>
      <c r="AP624" s="12">
        <v>40</v>
      </c>
      <c r="AQ624" s="12">
        <v>38</v>
      </c>
      <c r="AR624" s="12">
        <v>0</v>
      </c>
      <c r="AS624" s="59">
        <v>2.2727272727272728E-2</v>
      </c>
      <c r="AT624" s="3">
        <v>1</v>
      </c>
      <c r="AU624" s="3">
        <v>2</v>
      </c>
      <c r="AV624" s="52">
        <v>74.099999999999994</v>
      </c>
      <c r="AW624" s="52">
        <v>22.2</v>
      </c>
      <c r="AX624" s="52">
        <v>1.3</v>
      </c>
      <c r="AY624" s="71">
        <v>2.5</v>
      </c>
      <c r="AZ624" s="59">
        <v>0</v>
      </c>
      <c r="BA624" s="59">
        <v>0.13729508196721313</v>
      </c>
      <c r="BB624" s="78">
        <v>93.919262103573701</v>
      </c>
      <c r="BC624" s="49">
        <v>45.6967213114754</v>
      </c>
      <c r="BD624" s="49">
        <v>0</v>
      </c>
      <c r="BE624" s="49">
        <v>0</v>
      </c>
      <c r="BF624" s="49">
        <v>12.2</v>
      </c>
      <c r="BG624" s="49">
        <v>0</v>
      </c>
      <c r="BH624" s="49">
        <v>0</v>
      </c>
      <c r="BI624" s="90" t="s">
        <v>83</v>
      </c>
      <c r="BJ624" s="49"/>
      <c r="BK624" s="126">
        <v>8569</v>
      </c>
      <c r="BL624" s="126">
        <v>45315</v>
      </c>
      <c r="BM624" s="126">
        <v>61167</v>
      </c>
      <c r="BN624" s="126">
        <v>42746</v>
      </c>
      <c r="BO624" s="59">
        <v>1.66E-2</v>
      </c>
      <c r="BP624" s="59">
        <v>0.3296</v>
      </c>
      <c r="BQ624" s="59">
        <v>0.29409999999999997</v>
      </c>
      <c r="BR624" s="59">
        <v>2.2200000000000001E-2</v>
      </c>
      <c r="BS624" s="59">
        <v>0</v>
      </c>
      <c r="BT624" s="49">
        <v>10</v>
      </c>
      <c r="BU624" s="59">
        <f t="shared" si="46"/>
        <v>0.66249999999999998</v>
      </c>
      <c r="BV624" s="59">
        <v>2.2200000000000001E-2</v>
      </c>
      <c r="BW624" s="59">
        <v>0</v>
      </c>
      <c r="BX624" s="59">
        <v>4.4400000000000002E-2</v>
      </c>
      <c r="BY624" s="59">
        <v>0</v>
      </c>
      <c r="BZ624" s="59">
        <v>0</v>
      </c>
      <c r="CA624" s="49">
        <v>14.3</v>
      </c>
      <c r="CB624" s="59">
        <f t="shared" si="47"/>
        <v>6.6600000000000006E-2</v>
      </c>
      <c r="CC624" s="59">
        <v>0.17349999999999999</v>
      </c>
      <c r="CD624" s="59">
        <v>0.43790000000000001</v>
      </c>
      <c r="CE624" s="59">
        <v>0.3664</v>
      </c>
      <c r="CF624" s="59">
        <v>2.2200000000000001E-2</v>
      </c>
      <c r="CG624" s="59">
        <v>0</v>
      </c>
      <c r="CH624" s="49">
        <v>10</v>
      </c>
      <c r="CI624" s="39" t="s">
        <v>472</v>
      </c>
      <c r="CJ624" s="18" t="s">
        <v>479</v>
      </c>
      <c r="CK624" s="20"/>
    </row>
    <row r="625" spans="1:99" x14ac:dyDescent="0.25">
      <c r="A625" s="18" t="s">
        <v>479</v>
      </c>
      <c r="B625" s="39" t="s">
        <v>440</v>
      </c>
      <c r="C625" s="39" t="s">
        <v>440</v>
      </c>
      <c r="D625" s="40">
        <v>3</v>
      </c>
      <c r="E625" s="40" t="s">
        <v>83</v>
      </c>
      <c r="F625" s="40">
        <v>3</v>
      </c>
      <c r="G625" s="162" t="s">
        <v>83</v>
      </c>
      <c r="H625" s="162" t="s">
        <v>83</v>
      </c>
      <c r="I625" s="163">
        <v>0</v>
      </c>
      <c r="J625" s="163">
        <v>3</v>
      </c>
      <c r="K625" s="163">
        <v>0</v>
      </c>
      <c r="L625" s="162" t="s">
        <v>83</v>
      </c>
      <c r="M625" s="162" t="s">
        <v>83</v>
      </c>
      <c r="N625" s="115">
        <v>1.06761565836299E-2</v>
      </c>
      <c r="O625" s="115">
        <v>1.06761565836299E-2</v>
      </c>
      <c r="P625" s="116" t="s">
        <v>83</v>
      </c>
      <c r="Q625" s="116" t="s">
        <v>83</v>
      </c>
      <c r="R625" s="115">
        <v>0</v>
      </c>
      <c r="S625" s="115">
        <v>1.74418604651163E-2</v>
      </c>
      <c r="T625" s="115">
        <v>0</v>
      </c>
      <c r="U625" s="116" t="s">
        <v>83</v>
      </c>
      <c r="V625" s="116" t="s">
        <v>83</v>
      </c>
      <c r="W625" s="40">
        <v>262</v>
      </c>
      <c r="X625" s="40">
        <f t="shared" si="48"/>
        <v>262</v>
      </c>
      <c r="Y625" s="40">
        <f t="shared" si="49"/>
        <v>262</v>
      </c>
      <c r="Z625" s="105">
        <v>0.477099236641221</v>
      </c>
      <c r="AA625" s="105">
        <v>0.522900763358779</v>
      </c>
      <c r="AB625" s="106">
        <v>0</v>
      </c>
      <c r="AC625" s="106">
        <v>1.5267175572519083E-2</v>
      </c>
      <c r="AD625" s="106">
        <v>0.85114503816793896</v>
      </c>
      <c r="AE625" s="106">
        <v>2.2900763358778626E-2</v>
      </c>
      <c r="AF625" s="106">
        <v>0</v>
      </c>
      <c r="AG625" s="106">
        <v>9.5419847328244281E-2</v>
      </c>
      <c r="AH625" s="106">
        <v>1.5267175572519083E-2</v>
      </c>
      <c r="AI625" s="106">
        <v>0.90458015267175573</v>
      </c>
      <c r="AJ625" s="105">
        <v>0.77862595419847325</v>
      </c>
      <c r="AK625" s="105">
        <v>3.81679389312977E-3</v>
      </c>
      <c r="AL625" s="12">
        <v>0</v>
      </c>
      <c r="AM625" s="12">
        <v>0</v>
      </c>
      <c r="AN625" s="12">
        <v>2</v>
      </c>
      <c r="AO625" s="12">
        <v>157</v>
      </c>
      <c r="AP625" s="12">
        <v>103</v>
      </c>
      <c r="AQ625" s="12">
        <v>0</v>
      </c>
      <c r="AR625" s="12">
        <v>0</v>
      </c>
      <c r="AS625" s="59">
        <v>1.2578616352201259E-2</v>
      </c>
      <c r="AT625" s="3">
        <v>9</v>
      </c>
      <c r="AU625" s="3">
        <v>2</v>
      </c>
      <c r="AV625" s="52">
        <v>53.7</v>
      </c>
      <c r="AW625" s="52">
        <v>44</v>
      </c>
      <c r="AX625" s="52">
        <v>2.2000000000000002</v>
      </c>
      <c r="AY625" s="70">
        <v>0</v>
      </c>
      <c r="AZ625" s="59">
        <v>0</v>
      </c>
      <c r="BA625" s="59">
        <v>0.25806451612903225</v>
      </c>
      <c r="BB625" s="77">
        <v>94.553840695405398</v>
      </c>
      <c r="BC625" s="49">
        <v>3.2258064516128999</v>
      </c>
      <c r="BD625" s="90" t="s">
        <v>83</v>
      </c>
      <c r="BE625" s="90" t="s">
        <v>83</v>
      </c>
      <c r="BF625" s="49">
        <v>2.6</v>
      </c>
      <c r="BG625" s="49">
        <v>1.9</v>
      </c>
      <c r="BH625" s="90" t="s">
        <v>83</v>
      </c>
      <c r="BI625" s="90" t="s">
        <v>83</v>
      </c>
      <c r="BJ625" s="49"/>
      <c r="BK625" s="126">
        <v>10668</v>
      </c>
      <c r="BL625" s="126">
        <v>39767</v>
      </c>
      <c r="BM625" s="126">
        <v>62709</v>
      </c>
      <c r="BN625" s="126">
        <v>36482</v>
      </c>
      <c r="BO625" s="59">
        <v>0</v>
      </c>
      <c r="BP625" s="59">
        <v>0.40920000000000001</v>
      </c>
      <c r="BQ625" s="59">
        <v>0.1802</v>
      </c>
      <c r="BR625" s="59">
        <v>0</v>
      </c>
      <c r="BS625" s="59">
        <v>0</v>
      </c>
      <c r="BT625" s="49">
        <v>6.2</v>
      </c>
      <c r="BU625" s="59">
        <f t="shared" si="46"/>
        <v>0.58940000000000003</v>
      </c>
      <c r="BV625" s="59">
        <v>0</v>
      </c>
      <c r="BW625" s="59">
        <v>0</v>
      </c>
      <c r="BX625" s="59">
        <v>0</v>
      </c>
      <c r="BY625" s="59">
        <v>0.03</v>
      </c>
      <c r="BZ625" s="59">
        <v>0.03</v>
      </c>
      <c r="CA625" s="49">
        <v>19.5</v>
      </c>
      <c r="CB625" s="59">
        <f t="shared" si="47"/>
        <v>0.06</v>
      </c>
      <c r="CC625" s="59">
        <v>0.22170000000000001</v>
      </c>
      <c r="CD625" s="59">
        <v>0.46899999999999997</v>
      </c>
      <c r="CE625" s="59">
        <v>0.21920000000000001</v>
      </c>
      <c r="CF625" s="59">
        <v>0.03</v>
      </c>
      <c r="CG625" s="59">
        <v>6.0100000000000001E-2</v>
      </c>
      <c r="CH625" s="49">
        <v>7.6</v>
      </c>
      <c r="CI625" s="39" t="s">
        <v>440</v>
      </c>
      <c r="CJ625" s="18" t="s">
        <v>479</v>
      </c>
      <c r="CK625" s="20"/>
    </row>
    <row r="626" spans="1:99" x14ac:dyDescent="0.25">
      <c r="A626" s="18" t="s">
        <v>479</v>
      </c>
      <c r="B626" s="39" t="s">
        <v>476</v>
      </c>
      <c r="C626" s="39" t="s">
        <v>476</v>
      </c>
      <c r="D626" s="40">
        <v>0</v>
      </c>
      <c r="E626" s="40">
        <v>0</v>
      </c>
      <c r="F626" s="40">
        <v>0</v>
      </c>
      <c r="G626" s="163">
        <v>0</v>
      </c>
      <c r="H626" s="163">
        <v>0</v>
      </c>
      <c r="I626" s="162" t="s">
        <v>83</v>
      </c>
      <c r="J626" s="163">
        <v>0</v>
      </c>
      <c r="K626" s="163">
        <v>0</v>
      </c>
      <c r="L626" s="163">
        <v>0</v>
      </c>
      <c r="M626" s="163">
        <v>0</v>
      </c>
      <c r="N626" s="115">
        <v>0</v>
      </c>
      <c r="O626" s="115">
        <v>0</v>
      </c>
      <c r="P626" s="115">
        <v>0</v>
      </c>
      <c r="Q626" s="115">
        <v>0</v>
      </c>
      <c r="R626" s="116" t="s">
        <v>83</v>
      </c>
      <c r="S626" s="115">
        <v>0</v>
      </c>
      <c r="T626" s="115">
        <v>0</v>
      </c>
      <c r="U626" s="115">
        <v>0</v>
      </c>
      <c r="V626" s="115">
        <v>0</v>
      </c>
      <c r="W626" s="40">
        <v>156</v>
      </c>
      <c r="X626" s="40">
        <f t="shared" si="48"/>
        <v>50</v>
      </c>
      <c r="Y626" s="40">
        <f t="shared" si="49"/>
        <v>75</v>
      </c>
      <c r="Z626" s="105">
        <v>0.493589743589744</v>
      </c>
      <c r="AA626" s="105">
        <v>0.50641025641025605</v>
      </c>
      <c r="AB626" s="106">
        <v>0</v>
      </c>
      <c r="AC626" s="106">
        <v>0</v>
      </c>
      <c r="AD626" s="106">
        <v>0.53846153846153844</v>
      </c>
      <c r="AE626" s="106">
        <v>3.8461538461538464E-2</v>
      </c>
      <c r="AF626" s="106">
        <v>0</v>
      </c>
      <c r="AG626" s="106">
        <v>0.41025641025641024</v>
      </c>
      <c r="AH626" s="106">
        <v>1.282051282051282E-2</v>
      </c>
      <c r="AI626" s="106">
        <v>0.58974358974358976</v>
      </c>
      <c r="AJ626" s="105">
        <v>0.63461538461538458</v>
      </c>
      <c r="AK626" s="105">
        <v>0</v>
      </c>
      <c r="AL626" s="12">
        <v>18</v>
      </c>
      <c r="AM626" s="12">
        <v>7</v>
      </c>
      <c r="AN626" s="12">
        <v>0</v>
      </c>
      <c r="AO626" s="12">
        <v>15</v>
      </c>
      <c r="AP626" s="12">
        <v>13</v>
      </c>
      <c r="AQ626" s="12">
        <v>10</v>
      </c>
      <c r="AR626" s="12">
        <v>12</v>
      </c>
      <c r="AS626" s="59">
        <v>0</v>
      </c>
      <c r="AT626" s="3">
        <v>1</v>
      </c>
      <c r="AU626" s="3">
        <v>2</v>
      </c>
      <c r="AV626" s="53">
        <v>100</v>
      </c>
      <c r="AW626" s="53">
        <v>0</v>
      </c>
      <c r="AX626" s="53">
        <v>0</v>
      </c>
      <c r="AY626" s="70">
        <v>0</v>
      </c>
      <c r="AZ626" s="59">
        <v>5.9171597633136092E-2</v>
      </c>
      <c r="BA626" s="59">
        <v>4.7337278106508875E-2</v>
      </c>
      <c r="BB626" s="78">
        <v>95.309970136365294</v>
      </c>
      <c r="BC626" s="49">
        <v>31.360946745562099</v>
      </c>
      <c r="BD626" s="49">
        <v>0</v>
      </c>
      <c r="BE626" s="49">
        <v>0</v>
      </c>
      <c r="BF626" s="49">
        <v>0</v>
      </c>
      <c r="BG626" s="49">
        <v>0</v>
      </c>
      <c r="BH626" s="49">
        <v>0</v>
      </c>
      <c r="BI626" s="49">
        <v>0</v>
      </c>
      <c r="BJ626" s="49">
        <v>17.3</v>
      </c>
      <c r="BK626" s="126">
        <v>9303</v>
      </c>
      <c r="BL626" s="126">
        <v>39424</v>
      </c>
      <c r="BM626" s="126">
        <v>37290</v>
      </c>
      <c r="BN626" s="126">
        <v>31426</v>
      </c>
      <c r="BO626" s="59">
        <v>0</v>
      </c>
      <c r="BP626" s="59">
        <v>0.23080000000000001</v>
      </c>
      <c r="BQ626" s="59">
        <v>0</v>
      </c>
      <c r="BR626" s="59">
        <v>0</v>
      </c>
      <c r="BS626" s="59">
        <v>0</v>
      </c>
      <c r="BT626" s="49">
        <v>14.3</v>
      </c>
      <c r="BU626" s="59">
        <f t="shared" si="46"/>
        <v>0.23080000000000001</v>
      </c>
      <c r="BV626" s="59">
        <v>0.15379999999999999</v>
      </c>
      <c r="BW626" s="59">
        <v>0</v>
      </c>
      <c r="BX626" s="59">
        <v>7.6899999999999996E-2</v>
      </c>
      <c r="BY626" s="59">
        <v>0</v>
      </c>
      <c r="BZ626" s="59">
        <v>0</v>
      </c>
      <c r="CA626" s="49">
        <v>14</v>
      </c>
      <c r="CB626" s="59">
        <f t="shared" si="47"/>
        <v>0.23069999999999999</v>
      </c>
      <c r="CC626" s="59">
        <v>0.61539999999999995</v>
      </c>
      <c r="CD626" s="59">
        <v>0.23080000000000001</v>
      </c>
      <c r="CE626" s="59">
        <v>0.15379999999999999</v>
      </c>
      <c r="CF626" s="59">
        <v>0</v>
      </c>
      <c r="CG626" s="59">
        <v>0</v>
      </c>
      <c r="CH626" s="49">
        <v>11.5</v>
      </c>
      <c r="CI626" s="39" t="s">
        <v>476</v>
      </c>
      <c r="CJ626" s="18" t="s">
        <v>479</v>
      </c>
      <c r="CK626" s="20"/>
    </row>
    <row r="627" spans="1:99" x14ac:dyDescent="0.25">
      <c r="A627" s="18" t="s">
        <v>479</v>
      </c>
      <c r="B627" s="39" t="s">
        <v>463</v>
      </c>
      <c r="C627" s="39" t="s">
        <v>463</v>
      </c>
      <c r="D627" s="40">
        <v>138</v>
      </c>
      <c r="E627" s="40" t="s">
        <v>83</v>
      </c>
      <c r="F627" s="40">
        <v>138</v>
      </c>
      <c r="G627" s="162" t="s">
        <v>83</v>
      </c>
      <c r="H627" s="162" t="s">
        <v>83</v>
      </c>
      <c r="I627" s="163">
        <v>3</v>
      </c>
      <c r="J627" s="163">
        <v>23</v>
      </c>
      <c r="K627" s="163">
        <v>12</v>
      </c>
      <c r="L627" s="163">
        <v>20</v>
      </c>
      <c r="M627" s="163">
        <v>80</v>
      </c>
      <c r="N627" s="115">
        <v>9.51724137931034E-2</v>
      </c>
      <c r="O627" s="115">
        <v>9.51724137931034E-2</v>
      </c>
      <c r="P627" s="116" t="s">
        <v>83</v>
      </c>
      <c r="Q627" s="116" t="s">
        <v>83</v>
      </c>
      <c r="R627" s="115">
        <v>2.4793388429752101E-2</v>
      </c>
      <c r="S627" s="115">
        <v>8.4249084249084297E-2</v>
      </c>
      <c r="T627" s="115">
        <v>3.4582132564841501E-2</v>
      </c>
      <c r="U627" s="115">
        <v>7.1684587813620096E-2</v>
      </c>
      <c r="V627" s="115">
        <v>0.186046511627907</v>
      </c>
      <c r="W627" s="40">
        <v>1266</v>
      </c>
      <c r="X627" s="40">
        <f t="shared" si="48"/>
        <v>1266</v>
      </c>
      <c r="Y627" s="40">
        <f t="shared" si="49"/>
        <v>1266</v>
      </c>
      <c r="Z627" s="105">
        <v>0.50710900473933695</v>
      </c>
      <c r="AA627" s="105">
        <v>0.49289099526066299</v>
      </c>
      <c r="AB627" s="106">
        <v>7.8988941548183253E-4</v>
      </c>
      <c r="AC627" s="106">
        <v>1.5797788309636651E-3</v>
      </c>
      <c r="AD627" s="106">
        <v>0.99052132701421802</v>
      </c>
      <c r="AE627" s="106">
        <v>3.1595576619273301E-3</v>
      </c>
      <c r="AF627" s="106">
        <v>7.8988941548183253E-4</v>
      </c>
      <c r="AG627" s="106">
        <v>7.8988941548183253E-4</v>
      </c>
      <c r="AH627" s="106">
        <v>2.3696682464454978E-3</v>
      </c>
      <c r="AI627" s="106">
        <v>0.99921011058451814</v>
      </c>
      <c r="AJ627" s="105">
        <v>0.91943127962085303</v>
      </c>
      <c r="AK627" s="105">
        <v>1.26382306477093E-2</v>
      </c>
      <c r="AL627" s="12">
        <v>0</v>
      </c>
      <c r="AM627" s="12">
        <v>0</v>
      </c>
      <c r="AN627" s="12">
        <v>122</v>
      </c>
      <c r="AO627" s="12">
        <v>229</v>
      </c>
      <c r="AP627" s="12">
        <v>323</v>
      </c>
      <c r="AQ627" s="12">
        <v>301</v>
      </c>
      <c r="AR627" s="12">
        <v>291</v>
      </c>
      <c r="AS627" s="59">
        <v>0.3475783475783476</v>
      </c>
      <c r="AT627" s="3">
        <v>9</v>
      </c>
      <c r="AU627" s="3">
        <v>5</v>
      </c>
      <c r="AV627" s="52">
        <v>33.5</v>
      </c>
      <c r="AW627" s="52">
        <v>17.899999999999999</v>
      </c>
      <c r="AX627" s="52">
        <v>28.1</v>
      </c>
      <c r="AY627" s="71">
        <v>20.5</v>
      </c>
      <c r="AZ627" s="59">
        <v>0</v>
      </c>
      <c r="BA627" s="59">
        <v>2.1561338289962824E-2</v>
      </c>
      <c r="BB627" s="77">
        <v>98.551752035597403</v>
      </c>
      <c r="BC627" s="49">
        <v>6.9784706755753501</v>
      </c>
      <c r="BD627" s="90" t="s">
        <v>83</v>
      </c>
      <c r="BE627" s="90" t="s">
        <v>83</v>
      </c>
      <c r="BF627" s="49">
        <v>8.8000000000000007</v>
      </c>
      <c r="BG627" s="49">
        <v>6.2</v>
      </c>
      <c r="BH627" s="49">
        <v>7.6</v>
      </c>
      <c r="BI627" s="49">
        <v>7.4</v>
      </c>
      <c r="BJ627" s="49">
        <v>16</v>
      </c>
      <c r="BK627" s="126">
        <v>12325</v>
      </c>
      <c r="BL627" s="126">
        <v>44942</v>
      </c>
      <c r="BM627" s="126">
        <v>60993</v>
      </c>
      <c r="BN627" s="126">
        <v>44031</v>
      </c>
      <c r="BO627" s="59">
        <v>0</v>
      </c>
      <c r="BP627" s="59">
        <v>0.29799999999999999</v>
      </c>
      <c r="BQ627" s="59">
        <v>8.2799999999999999E-2</v>
      </c>
      <c r="BR627" s="59">
        <v>0</v>
      </c>
      <c r="BS627" s="59">
        <v>0</v>
      </c>
      <c r="BT627" s="49">
        <v>5.7</v>
      </c>
      <c r="BU627" s="59">
        <f t="shared" si="46"/>
        <v>0.38079999999999997</v>
      </c>
      <c r="BV627" s="59">
        <v>3.3099999999999997E-2</v>
      </c>
      <c r="BW627" s="59">
        <v>4.9700000000000001E-2</v>
      </c>
      <c r="BX627" s="59">
        <v>3.3099999999999997E-2</v>
      </c>
      <c r="BY627" s="59">
        <v>0</v>
      </c>
      <c r="BZ627" s="59">
        <v>0</v>
      </c>
      <c r="CA627" s="49">
        <v>6.2</v>
      </c>
      <c r="CB627" s="59">
        <f t="shared" si="47"/>
        <v>0.1159</v>
      </c>
      <c r="CC627" s="59">
        <v>0.16550000000000001</v>
      </c>
      <c r="CD627" s="59">
        <v>0.64559999999999995</v>
      </c>
      <c r="CE627" s="59">
        <v>0.18890000000000001</v>
      </c>
      <c r="CF627" s="59">
        <v>0</v>
      </c>
      <c r="CG627" s="59">
        <v>0</v>
      </c>
      <c r="CH627" s="49">
        <v>5.0999999999999996</v>
      </c>
      <c r="CI627" s="39" t="s">
        <v>463</v>
      </c>
      <c r="CJ627" s="18" t="s">
        <v>479</v>
      </c>
      <c r="CK627" s="20"/>
    </row>
    <row r="628" spans="1:99" x14ac:dyDescent="0.25">
      <c r="A628" s="18" t="s">
        <v>479</v>
      </c>
      <c r="B628" s="39" t="s">
        <v>464</v>
      </c>
      <c r="C628" s="39" t="s">
        <v>464</v>
      </c>
      <c r="D628" s="40">
        <v>92</v>
      </c>
      <c r="E628" s="40" t="s">
        <v>83</v>
      </c>
      <c r="F628" s="40">
        <v>92</v>
      </c>
      <c r="G628" s="162" t="s">
        <v>83</v>
      </c>
      <c r="H628" s="162" t="s">
        <v>83</v>
      </c>
      <c r="I628" s="163">
        <v>0</v>
      </c>
      <c r="J628" s="163">
        <v>35</v>
      </c>
      <c r="K628" s="163">
        <v>17</v>
      </c>
      <c r="L628" s="163">
        <v>19</v>
      </c>
      <c r="M628" s="163">
        <v>21</v>
      </c>
      <c r="N628" s="115">
        <v>0.23711340206185599</v>
      </c>
      <c r="O628" s="115">
        <v>0.23711340206185599</v>
      </c>
      <c r="P628" s="116" t="s">
        <v>83</v>
      </c>
      <c r="Q628" s="116" t="s">
        <v>83</v>
      </c>
      <c r="R628" s="115">
        <v>0</v>
      </c>
      <c r="S628" s="115">
        <v>0.330188679245283</v>
      </c>
      <c r="T628" s="115">
        <v>0.14655172413793099</v>
      </c>
      <c r="U628" s="115">
        <v>0.31147540983606598</v>
      </c>
      <c r="V628" s="115">
        <v>0.28767123287671198</v>
      </c>
      <c r="W628" s="40">
        <v>237</v>
      </c>
      <c r="X628" s="40">
        <f t="shared" si="48"/>
        <v>237</v>
      </c>
      <c r="Y628" s="40">
        <f t="shared" si="49"/>
        <v>237</v>
      </c>
      <c r="Z628" s="105">
        <v>0.506329113924051</v>
      </c>
      <c r="AA628" s="105">
        <v>0.493670886075949</v>
      </c>
      <c r="AB628" s="106">
        <v>0</v>
      </c>
      <c r="AC628" s="106">
        <v>1.2658227848101266E-2</v>
      </c>
      <c r="AD628" s="106">
        <v>0.94092827004219415</v>
      </c>
      <c r="AE628" s="106">
        <v>2.5316455696202531E-2</v>
      </c>
      <c r="AF628" s="106">
        <v>4.2194092827004216E-3</v>
      </c>
      <c r="AG628" s="106">
        <v>1.2658227848101266E-2</v>
      </c>
      <c r="AH628" s="106">
        <v>4.2194092827004216E-3</v>
      </c>
      <c r="AI628" s="106">
        <v>0.98734177215189878</v>
      </c>
      <c r="AJ628" s="105">
        <v>0.86497890295358648</v>
      </c>
      <c r="AK628" s="105">
        <v>5.4852320675105502E-2</v>
      </c>
      <c r="AL628" s="12">
        <v>0</v>
      </c>
      <c r="AM628" s="12">
        <v>0</v>
      </c>
      <c r="AN628" s="12">
        <v>33</v>
      </c>
      <c r="AO628" s="12">
        <v>47</v>
      </c>
      <c r="AP628" s="12">
        <v>77</v>
      </c>
      <c r="AQ628" s="12">
        <v>38</v>
      </c>
      <c r="AR628" s="12">
        <v>42</v>
      </c>
      <c r="AS628" s="59">
        <v>0.41249999999999998</v>
      </c>
      <c r="AT628" s="3">
        <v>9</v>
      </c>
      <c r="AU628" s="3">
        <v>5</v>
      </c>
      <c r="AV628" s="52">
        <v>70.7</v>
      </c>
      <c r="AW628" s="52">
        <v>18.600000000000001</v>
      </c>
      <c r="AX628" s="52">
        <v>10</v>
      </c>
      <c r="AY628" s="71">
        <v>0.7</v>
      </c>
      <c r="AZ628" s="59">
        <v>0</v>
      </c>
      <c r="BA628" s="59">
        <v>1.483679525222552E-2</v>
      </c>
      <c r="BB628" s="78">
        <v>85.178279155530703</v>
      </c>
      <c r="BC628" s="49">
        <v>5.8651026392961896</v>
      </c>
      <c r="BD628" s="90" t="s">
        <v>83</v>
      </c>
      <c r="BE628" s="90" t="s">
        <v>83</v>
      </c>
      <c r="BF628" s="49">
        <v>14</v>
      </c>
      <c r="BG628" s="49">
        <v>10.1</v>
      </c>
      <c r="BH628" s="49">
        <v>5.4</v>
      </c>
      <c r="BI628" s="49">
        <v>8.6999999999999993</v>
      </c>
      <c r="BJ628" s="49">
        <v>15.9</v>
      </c>
      <c r="BK628" s="126">
        <v>15945</v>
      </c>
      <c r="BL628" s="126">
        <v>51911</v>
      </c>
      <c r="BM628" s="126">
        <v>67417</v>
      </c>
      <c r="BN628" s="126">
        <v>44158</v>
      </c>
      <c r="BO628" s="59">
        <v>0</v>
      </c>
      <c r="BP628" s="59">
        <v>0.25659999999999999</v>
      </c>
      <c r="BQ628" s="59">
        <v>5.7200000000000001E-2</v>
      </c>
      <c r="BR628" s="59">
        <v>0</v>
      </c>
      <c r="BS628" s="59">
        <v>0</v>
      </c>
      <c r="BT628" s="49">
        <v>4.8</v>
      </c>
      <c r="BU628" s="59">
        <f t="shared" si="46"/>
        <v>0.31379999999999997</v>
      </c>
      <c r="BV628" s="59">
        <v>2.86E-2</v>
      </c>
      <c r="BW628" s="59">
        <v>5.7200000000000001E-2</v>
      </c>
      <c r="BX628" s="59">
        <v>0</v>
      </c>
      <c r="BY628" s="59">
        <v>0</v>
      </c>
      <c r="BZ628" s="59">
        <v>0</v>
      </c>
      <c r="CA628" s="49">
        <v>8.3000000000000007</v>
      </c>
      <c r="CB628" s="59">
        <f t="shared" si="47"/>
        <v>8.5800000000000001E-2</v>
      </c>
      <c r="CC628" s="59">
        <v>5.7200000000000001E-2</v>
      </c>
      <c r="CD628" s="59">
        <v>0.85699999999999998</v>
      </c>
      <c r="CE628" s="59">
        <v>8.5800000000000001E-2</v>
      </c>
      <c r="CF628" s="59">
        <v>0</v>
      </c>
      <c r="CG628" s="59">
        <v>0</v>
      </c>
      <c r="CH628" s="49">
        <v>3.6</v>
      </c>
      <c r="CI628" s="39" t="s">
        <v>464</v>
      </c>
      <c r="CJ628" s="18" t="s">
        <v>479</v>
      </c>
      <c r="CK628" s="20"/>
    </row>
    <row r="629" spans="1:99" x14ac:dyDescent="0.25">
      <c r="A629" s="18" t="s">
        <v>479</v>
      </c>
      <c r="B629" s="19" t="s">
        <v>473</v>
      </c>
      <c r="C629" s="19" t="s">
        <v>474</v>
      </c>
      <c r="D629" s="6">
        <v>13</v>
      </c>
      <c r="E629" s="40" t="s">
        <v>83</v>
      </c>
      <c r="F629" s="6">
        <v>13</v>
      </c>
      <c r="G629" s="162" t="s">
        <v>83</v>
      </c>
      <c r="H629" s="162" t="s">
        <v>83</v>
      </c>
      <c r="I629" s="163">
        <v>0</v>
      </c>
      <c r="J629" s="163">
        <v>4</v>
      </c>
      <c r="K629" s="163">
        <v>7</v>
      </c>
      <c r="L629" s="163">
        <v>2</v>
      </c>
      <c r="M629" s="162" t="s">
        <v>83</v>
      </c>
      <c r="N629" s="115">
        <v>0.104</v>
      </c>
      <c r="O629" s="115">
        <v>0.104</v>
      </c>
      <c r="P629" s="116" t="s">
        <v>83</v>
      </c>
      <c r="Q629" s="116" t="s">
        <v>83</v>
      </c>
      <c r="R629" s="115">
        <v>0</v>
      </c>
      <c r="S629" s="115">
        <v>8.3333333333333301E-2</v>
      </c>
      <c r="T629" s="115">
        <v>0.16666666666666699</v>
      </c>
      <c r="U629" s="115">
        <v>5.8823529411764698E-2</v>
      </c>
      <c r="V629" s="116" t="s">
        <v>83</v>
      </c>
      <c r="W629" s="6">
        <v>551</v>
      </c>
      <c r="X629" s="40">
        <f>SUM(AN629:AR629)</f>
        <v>105</v>
      </c>
      <c r="Y629" s="40">
        <f>SUM(AL629:AR629)</f>
        <v>105</v>
      </c>
      <c r="Z629" s="110">
        <v>0.44464609800362997</v>
      </c>
      <c r="AA629" s="110">
        <v>0.55535390199637003</v>
      </c>
      <c r="AB629" s="61">
        <v>0</v>
      </c>
      <c r="AC629" s="61">
        <f>2/551</f>
        <v>3.629764065335753E-3</v>
      </c>
      <c r="AD629" s="61">
        <f>258/551</f>
        <v>0.46823956442831216</v>
      </c>
      <c r="AE629" s="61">
        <f>13/551</f>
        <v>2.3593466424682397E-2</v>
      </c>
      <c r="AF629" s="61">
        <v>0</v>
      </c>
      <c r="AG629" s="61">
        <f>255/551</f>
        <v>0.4627949183303085</v>
      </c>
      <c r="AH629" s="61">
        <f>23/551</f>
        <v>4.1742286751361164E-2</v>
      </c>
      <c r="AI629" s="61">
        <f>296/551</f>
        <v>0.5372050816696915</v>
      </c>
      <c r="AJ629" s="110">
        <v>0.90018148820326682</v>
      </c>
      <c r="AK629" s="110">
        <v>1.81488203266788E-3</v>
      </c>
      <c r="AL629" s="3">
        <v>0</v>
      </c>
      <c r="AM629" s="3">
        <v>0</v>
      </c>
      <c r="AN629" s="3">
        <v>1</v>
      </c>
      <c r="AO629" s="3">
        <v>39</v>
      </c>
      <c r="AP629" s="3">
        <v>34</v>
      </c>
      <c r="AQ629" s="3">
        <v>31</v>
      </c>
      <c r="AR629" s="3">
        <v>0</v>
      </c>
      <c r="AS629" s="59">
        <v>2.5000000000000001E-2</v>
      </c>
      <c r="AT629" s="3">
        <v>9</v>
      </c>
      <c r="AU629" s="3">
        <v>2</v>
      </c>
      <c r="AV629" s="52">
        <v>17.3</v>
      </c>
      <c r="AW629" s="52">
        <v>67</v>
      </c>
      <c r="AX629" s="52">
        <v>11.7</v>
      </c>
      <c r="AY629" s="71">
        <v>4.0999999999999996</v>
      </c>
      <c r="AZ629" s="59">
        <v>0.17194570135746606</v>
      </c>
      <c r="BA629" s="59">
        <v>0.12669683257918551</v>
      </c>
      <c r="BB629" s="77">
        <v>93.408783275680506</v>
      </c>
      <c r="BC629" s="49">
        <v>29.864253393665201</v>
      </c>
      <c r="BD629" s="90" t="s">
        <v>83</v>
      </c>
      <c r="BE629" s="90" t="s">
        <v>83</v>
      </c>
      <c r="BF629" s="49">
        <v>6.9</v>
      </c>
      <c r="BG629" s="49">
        <v>12</v>
      </c>
      <c r="BH629" s="49">
        <v>3.6</v>
      </c>
      <c r="BI629" s="90" t="s">
        <v>83</v>
      </c>
      <c r="BJ629" s="49"/>
      <c r="BK629" s="126">
        <v>10626</v>
      </c>
      <c r="BL629" s="126">
        <v>44481</v>
      </c>
      <c r="BM629" s="126">
        <v>57223</v>
      </c>
      <c r="BN629" s="126">
        <v>37170</v>
      </c>
      <c r="BO629" s="59">
        <v>0</v>
      </c>
      <c r="BP629" s="59">
        <v>0.2923</v>
      </c>
      <c r="BQ629" s="59">
        <v>0.13589999999999999</v>
      </c>
      <c r="BR629" s="59">
        <v>0</v>
      </c>
      <c r="BS629" s="59">
        <v>0</v>
      </c>
      <c r="BT629" s="49">
        <v>6.5</v>
      </c>
      <c r="BU629" s="59">
        <f t="shared" si="46"/>
        <v>0.42820000000000003</v>
      </c>
      <c r="BV629" s="59">
        <v>2.5399999999999999E-2</v>
      </c>
      <c r="BW629" s="59">
        <v>1.2699999999999999E-2</v>
      </c>
      <c r="BX629" s="59">
        <v>5.0799999999999998E-2</v>
      </c>
      <c r="BY629" s="59">
        <v>0</v>
      </c>
      <c r="BZ629" s="59">
        <v>0</v>
      </c>
      <c r="CA629" s="49">
        <v>5.4</v>
      </c>
      <c r="CB629" s="59">
        <f t="shared" si="47"/>
        <v>8.8899999999999993E-2</v>
      </c>
      <c r="CC629" s="59">
        <v>0.36849999999999999</v>
      </c>
      <c r="CD629" s="59">
        <v>0.35580000000000001</v>
      </c>
      <c r="CE629" s="59">
        <v>0.2757</v>
      </c>
      <c r="CF629" s="59">
        <v>0</v>
      </c>
      <c r="CG629" s="59">
        <v>0</v>
      </c>
      <c r="CH629" s="49">
        <v>4.9000000000000004</v>
      </c>
      <c r="CI629" s="19" t="s">
        <v>474</v>
      </c>
      <c r="CJ629" s="18" t="s">
        <v>479</v>
      </c>
      <c r="CK629" s="20"/>
    </row>
    <row r="630" spans="1:99" x14ac:dyDescent="0.25">
      <c r="A630" s="18" t="s">
        <v>479</v>
      </c>
      <c r="B630" s="39" t="s">
        <v>466</v>
      </c>
      <c r="C630" s="39" t="s">
        <v>466</v>
      </c>
      <c r="D630" s="40">
        <v>55</v>
      </c>
      <c r="E630" s="40">
        <v>18</v>
      </c>
      <c r="F630" s="40">
        <v>37</v>
      </c>
      <c r="G630" s="163">
        <v>6</v>
      </c>
      <c r="H630" s="163">
        <v>12</v>
      </c>
      <c r="I630" s="162" t="s">
        <v>83</v>
      </c>
      <c r="J630" s="163">
        <v>14</v>
      </c>
      <c r="K630" s="163">
        <v>12</v>
      </c>
      <c r="L630" s="163">
        <v>10</v>
      </c>
      <c r="M630" s="163">
        <v>1</v>
      </c>
      <c r="N630" s="115">
        <v>0.116033755274262</v>
      </c>
      <c r="O630" s="115">
        <v>9.6605744125326395E-2</v>
      </c>
      <c r="P630" s="115">
        <v>0.28571428571428598</v>
      </c>
      <c r="Q630" s="115">
        <v>0.17142857142857101</v>
      </c>
      <c r="R630" s="116" t="s">
        <v>83</v>
      </c>
      <c r="S630" s="115">
        <v>0.107692307692308</v>
      </c>
      <c r="T630" s="115">
        <v>0.11009174311926601</v>
      </c>
      <c r="U630" s="115">
        <v>0.12987012987013</v>
      </c>
      <c r="V630" s="115">
        <v>1.49253731343284E-2</v>
      </c>
      <c r="W630" s="40">
        <v>430</v>
      </c>
      <c r="X630" s="40">
        <f t="shared" si="48"/>
        <v>350</v>
      </c>
      <c r="Y630" s="40">
        <f t="shared" si="49"/>
        <v>430</v>
      </c>
      <c r="Z630" s="105">
        <v>0.47674418604651198</v>
      </c>
      <c r="AA630" s="105">
        <v>0.52325581395348797</v>
      </c>
      <c r="AB630" s="106">
        <v>0</v>
      </c>
      <c r="AC630" s="106">
        <v>0</v>
      </c>
      <c r="AD630" s="106">
        <v>0.95348837209302328</v>
      </c>
      <c r="AE630" s="106">
        <v>3.0232558139534883E-2</v>
      </c>
      <c r="AF630" s="106">
        <v>2.3255813953488372E-3</v>
      </c>
      <c r="AG630" s="106">
        <v>6.9767441860465115E-3</v>
      </c>
      <c r="AH630" s="106">
        <v>6.9767441860465115E-3</v>
      </c>
      <c r="AI630" s="106">
        <v>0.99302325581395345</v>
      </c>
      <c r="AJ630" s="105">
        <v>0.83953488372093021</v>
      </c>
      <c r="AK630" s="105">
        <v>1.16279069767442E-2</v>
      </c>
      <c r="AL630" s="12">
        <v>17</v>
      </c>
      <c r="AM630" s="12">
        <v>63</v>
      </c>
      <c r="AN630" s="12">
        <v>0</v>
      </c>
      <c r="AO630" s="12">
        <v>111</v>
      </c>
      <c r="AP630" s="12">
        <v>103</v>
      </c>
      <c r="AQ630" s="12">
        <v>73</v>
      </c>
      <c r="AR630" s="12">
        <v>63</v>
      </c>
      <c r="AS630" s="59">
        <v>0</v>
      </c>
      <c r="AT630" s="3">
        <v>7</v>
      </c>
      <c r="AU630" s="3">
        <v>5</v>
      </c>
      <c r="AV630" s="52">
        <v>34.4</v>
      </c>
      <c r="AW630" s="52">
        <v>32.1</v>
      </c>
      <c r="AX630" s="52">
        <v>27.5</v>
      </c>
      <c r="AY630" s="71">
        <v>6.1</v>
      </c>
      <c r="AZ630" s="59">
        <v>0</v>
      </c>
      <c r="BA630" s="59">
        <v>5.1886792452830191E-2</v>
      </c>
      <c r="BB630" s="78">
        <v>96.880457914434601</v>
      </c>
      <c r="BC630" s="49">
        <v>0.235849056603774</v>
      </c>
      <c r="BD630" s="90" t="s">
        <v>83</v>
      </c>
      <c r="BE630" s="49">
        <v>0</v>
      </c>
      <c r="BF630" s="49">
        <v>6.1</v>
      </c>
      <c r="BG630" s="49">
        <v>2.1</v>
      </c>
      <c r="BH630" s="49">
        <v>3</v>
      </c>
      <c r="BI630" s="49">
        <v>0</v>
      </c>
      <c r="BJ630" s="49">
        <v>17.899999999999999</v>
      </c>
      <c r="BK630" s="126">
        <v>11263</v>
      </c>
      <c r="BL630" s="126">
        <v>51556</v>
      </c>
      <c r="BM630" s="126">
        <v>0</v>
      </c>
      <c r="BN630" s="126">
        <v>50195</v>
      </c>
      <c r="BO630" s="59">
        <v>0</v>
      </c>
      <c r="BP630" s="59">
        <v>0.24299999999999999</v>
      </c>
      <c r="BQ630" s="59">
        <v>0.1421</v>
      </c>
      <c r="BR630" s="59">
        <v>0</v>
      </c>
      <c r="BS630" s="59">
        <v>0</v>
      </c>
      <c r="BT630" s="49">
        <v>11.8</v>
      </c>
      <c r="BU630" s="59">
        <f t="shared" si="46"/>
        <v>0.3851</v>
      </c>
      <c r="BV630" s="59">
        <v>0</v>
      </c>
      <c r="BW630" s="59">
        <v>0</v>
      </c>
      <c r="BX630" s="59">
        <v>1.4800000000000001E-2</v>
      </c>
      <c r="BY630" s="59">
        <v>0</v>
      </c>
      <c r="BZ630" s="59">
        <v>0</v>
      </c>
      <c r="CA630" s="49">
        <v>19</v>
      </c>
      <c r="CB630" s="59">
        <f t="shared" si="47"/>
        <v>1.4800000000000001E-2</v>
      </c>
      <c r="CC630" s="59">
        <v>0.25369999999999998</v>
      </c>
      <c r="CD630" s="59">
        <v>0.39400000000000002</v>
      </c>
      <c r="CE630" s="59">
        <v>0.35239999999999999</v>
      </c>
      <c r="CF630" s="59">
        <v>0</v>
      </c>
      <c r="CG630" s="59">
        <v>0</v>
      </c>
      <c r="CH630" s="49">
        <v>9</v>
      </c>
      <c r="CI630" s="39" t="s">
        <v>466</v>
      </c>
      <c r="CJ630" s="18" t="s">
        <v>479</v>
      </c>
      <c r="CK630" s="20"/>
    </row>
    <row r="631" spans="1:99" x14ac:dyDescent="0.25">
      <c r="A631" s="18" t="s">
        <v>479</v>
      </c>
      <c r="B631" s="39" t="s">
        <v>468</v>
      </c>
      <c r="C631" s="39" t="s">
        <v>468</v>
      </c>
      <c r="D631" s="40">
        <v>33</v>
      </c>
      <c r="E631" s="40" t="s">
        <v>83</v>
      </c>
      <c r="F631" s="40">
        <v>33</v>
      </c>
      <c r="G631" s="162" t="s">
        <v>83</v>
      </c>
      <c r="H631" s="162" t="s">
        <v>83</v>
      </c>
      <c r="I631" s="162" t="s">
        <v>83</v>
      </c>
      <c r="J631" s="163">
        <v>12</v>
      </c>
      <c r="K631" s="163">
        <v>9</v>
      </c>
      <c r="L631" s="163">
        <v>5</v>
      </c>
      <c r="M631" s="163">
        <v>7</v>
      </c>
      <c r="N631" s="115">
        <v>6.0109289617486301E-2</v>
      </c>
      <c r="O631" s="115">
        <v>6.0109289617486301E-2</v>
      </c>
      <c r="P631" s="116" t="s">
        <v>83</v>
      </c>
      <c r="Q631" s="116" t="s">
        <v>83</v>
      </c>
      <c r="R631" s="116" t="s">
        <v>83</v>
      </c>
      <c r="S631" s="115">
        <v>7.2289156626505993E-2</v>
      </c>
      <c r="T631" s="115">
        <v>6.1224489795918401E-2</v>
      </c>
      <c r="U631" s="115">
        <v>3.7593984962405999E-2</v>
      </c>
      <c r="V631" s="115">
        <v>6.7961165048543701E-2</v>
      </c>
      <c r="W631" s="40">
        <v>469</v>
      </c>
      <c r="X631" s="40">
        <f t="shared" si="48"/>
        <v>469</v>
      </c>
      <c r="Y631" s="40">
        <f t="shared" si="49"/>
        <v>469</v>
      </c>
      <c r="Z631" s="105">
        <v>0.47121535181236701</v>
      </c>
      <c r="AA631" s="105">
        <v>0.52878464818763304</v>
      </c>
      <c r="AB631" s="106">
        <v>0</v>
      </c>
      <c r="AC631" s="106">
        <v>8.5287846481876331E-3</v>
      </c>
      <c r="AD631" s="106">
        <v>0.98081023454157779</v>
      </c>
      <c r="AE631" s="106">
        <v>1.0660980810234541E-2</v>
      </c>
      <c r="AF631" s="106">
        <v>0</v>
      </c>
      <c r="AG631" s="106">
        <v>0</v>
      </c>
      <c r="AH631" s="106">
        <v>0</v>
      </c>
      <c r="AI631" s="106">
        <v>1</v>
      </c>
      <c r="AJ631" s="105">
        <v>0.89552238805970152</v>
      </c>
      <c r="AK631" s="105">
        <v>1.49253731343284E-2</v>
      </c>
      <c r="AL631" s="12">
        <v>0</v>
      </c>
      <c r="AM631" s="12">
        <v>0</v>
      </c>
      <c r="AN631" s="12">
        <v>0</v>
      </c>
      <c r="AO631" s="12">
        <v>140</v>
      </c>
      <c r="AP631" s="12">
        <v>127</v>
      </c>
      <c r="AQ631" s="12">
        <v>104</v>
      </c>
      <c r="AR631" s="12">
        <v>98</v>
      </c>
      <c r="AS631" s="59">
        <v>0</v>
      </c>
      <c r="AT631" s="3">
        <v>9</v>
      </c>
      <c r="AU631" s="3">
        <v>5</v>
      </c>
      <c r="AV631" s="52">
        <v>45.8</v>
      </c>
      <c r="AW631" s="52">
        <v>30.5</v>
      </c>
      <c r="AX631" s="52">
        <v>20</v>
      </c>
      <c r="AY631" s="71">
        <v>3.7</v>
      </c>
      <c r="AZ631" s="59">
        <v>0</v>
      </c>
      <c r="BA631" s="59">
        <v>0.32015065913370999</v>
      </c>
      <c r="BB631" s="77">
        <v>86.2446614550813</v>
      </c>
      <c r="BC631" s="49">
        <v>0.18796992481203001</v>
      </c>
      <c r="BD631" s="90" t="s">
        <v>83</v>
      </c>
      <c r="BE631" s="90" t="s">
        <v>83</v>
      </c>
      <c r="BF631" s="49">
        <v>6.7</v>
      </c>
      <c r="BG631" s="49">
        <v>7.8</v>
      </c>
      <c r="BH631" s="49">
        <v>5.5</v>
      </c>
      <c r="BI631" s="49">
        <v>3.6</v>
      </c>
      <c r="BJ631" s="49">
        <v>19.399999999999999</v>
      </c>
      <c r="BK631" s="126">
        <v>12661</v>
      </c>
      <c r="BL631" s="126">
        <v>47445</v>
      </c>
      <c r="BM631" s="126">
        <v>64395</v>
      </c>
      <c r="BN631" s="126">
        <v>50003</v>
      </c>
      <c r="BO631" s="59">
        <v>0</v>
      </c>
      <c r="BP631" s="59">
        <v>0.58819999999999995</v>
      </c>
      <c r="BQ631" s="59">
        <v>3.9199999999999999E-2</v>
      </c>
      <c r="BR631" s="59">
        <v>0</v>
      </c>
      <c r="BS631" s="59">
        <v>0</v>
      </c>
      <c r="BT631" s="49">
        <v>1.3</v>
      </c>
      <c r="BU631" s="59">
        <f t="shared" si="46"/>
        <v>0.62739999999999996</v>
      </c>
      <c r="BV631" s="59">
        <v>0</v>
      </c>
      <c r="BW631" s="59">
        <v>0.1176</v>
      </c>
      <c r="BX631" s="59">
        <v>1.9599999999999999E-2</v>
      </c>
      <c r="BY631" s="59">
        <v>0</v>
      </c>
      <c r="BZ631" s="59">
        <v>0</v>
      </c>
      <c r="CA631" s="49">
        <v>5.6</v>
      </c>
      <c r="CB631" s="59">
        <f t="shared" si="47"/>
        <v>0.13719999999999999</v>
      </c>
      <c r="CC631" s="59">
        <v>0</v>
      </c>
      <c r="CD631" s="59">
        <v>0.86270000000000002</v>
      </c>
      <c r="CE631" s="59">
        <v>0.13730000000000001</v>
      </c>
      <c r="CF631" s="59">
        <v>0</v>
      </c>
      <c r="CG631" s="59">
        <v>0</v>
      </c>
      <c r="CH631" s="49">
        <v>2.4</v>
      </c>
      <c r="CI631" s="39" t="s">
        <v>468</v>
      </c>
      <c r="CJ631" s="18" t="s">
        <v>479</v>
      </c>
      <c r="CK631" s="20"/>
    </row>
    <row r="632" spans="1:99" x14ac:dyDescent="0.25">
      <c r="A632" s="18" t="s">
        <v>479</v>
      </c>
      <c r="B632" s="39" t="s">
        <v>470</v>
      </c>
      <c r="C632" s="39" t="s">
        <v>470</v>
      </c>
      <c r="D632" s="40">
        <v>38</v>
      </c>
      <c r="E632" s="40" t="s">
        <v>83</v>
      </c>
      <c r="F632" s="40">
        <v>38</v>
      </c>
      <c r="G632" s="162" t="s">
        <v>83</v>
      </c>
      <c r="H632" s="162" t="s">
        <v>83</v>
      </c>
      <c r="I632" s="163">
        <v>2</v>
      </c>
      <c r="J632" s="163">
        <v>7</v>
      </c>
      <c r="K632" s="163">
        <v>9</v>
      </c>
      <c r="L632" s="163">
        <v>8</v>
      </c>
      <c r="M632" s="163">
        <v>12</v>
      </c>
      <c r="N632" s="115">
        <v>7.6767676767676804E-2</v>
      </c>
      <c r="O632" s="115">
        <v>7.6767676767676804E-2</v>
      </c>
      <c r="P632" s="116" t="s">
        <v>83</v>
      </c>
      <c r="Q632" s="116" t="s">
        <v>83</v>
      </c>
      <c r="R632" s="115">
        <v>0.5</v>
      </c>
      <c r="S632" s="115">
        <v>5.1851851851851899E-2</v>
      </c>
      <c r="T632" s="115">
        <v>7.25806451612903E-2</v>
      </c>
      <c r="U632" s="115">
        <v>6.7226890756302504E-2</v>
      </c>
      <c r="V632" s="115">
        <v>0.106194690265487</v>
      </c>
      <c r="W632" s="40">
        <v>403</v>
      </c>
      <c r="X632" s="40">
        <f t="shared" si="48"/>
        <v>403</v>
      </c>
      <c r="Y632" s="40">
        <f t="shared" si="49"/>
        <v>403</v>
      </c>
      <c r="Z632" s="105">
        <v>0.49627791563275397</v>
      </c>
      <c r="AA632" s="105">
        <v>0.50372208436724597</v>
      </c>
      <c r="AB632" s="106">
        <v>2.4813895781637717E-3</v>
      </c>
      <c r="AC632" s="106">
        <v>0</v>
      </c>
      <c r="AD632" s="106">
        <v>0.95533498759305213</v>
      </c>
      <c r="AE632" s="106">
        <v>3.4739454094292806E-2</v>
      </c>
      <c r="AF632" s="106">
        <v>0</v>
      </c>
      <c r="AG632" s="106">
        <v>7.4441687344913151E-3</v>
      </c>
      <c r="AH632" s="106">
        <v>0</v>
      </c>
      <c r="AI632" s="106">
        <v>0.99255583126550873</v>
      </c>
      <c r="AJ632" s="105">
        <v>0.92307692307692313</v>
      </c>
      <c r="AK632" s="105">
        <v>3.2258064516128997E-2</v>
      </c>
      <c r="AL632" s="12">
        <v>0</v>
      </c>
      <c r="AM632" s="12">
        <v>0</v>
      </c>
      <c r="AN632" s="12">
        <v>3</v>
      </c>
      <c r="AO632" s="12">
        <v>104</v>
      </c>
      <c r="AP632" s="12">
        <v>91</v>
      </c>
      <c r="AQ632" s="12">
        <v>105</v>
      </c>
      <c r="AR632" s="12">
        <v>100</v>
      </c>
      <c r="AS632" s="59">
        <v>2.8037383177570093E-2</v>
      </c>
      <c r="AT632" s="3">
        <v>9</v>
      </c>
      <c r="AU632" s="3">
        <v>5</v>
      </c>
      <c r="AV632" s="52">
        <v>65.400000000000006</v>
      </c>
      <c r="AW632" s="52">
        <v>23.9</v>
      </c>
      <c r="AX632" s="52">
        <v>10.1</v>
      </c>
      <c r="AY632" s="71">
        <v>0.5</v>
      </c>
      <c r="AZ632" s="59">
        <v>0.18350515463917524</v>
      </c>
      <c r="BA632" s="59">
        <v>0.40618556701030928</v>
      </c>
      <c r="BB632" s="78">
        <v>85.151884066473997</v>
      </c>
      <c r="BC632" s="49">
        <v>74.599999999999994</v>
      </c>
      <c r="BD632" s="90" t="s">
        <v>83</v>
      </c>
      <c r="BE632" s="90" t="s">
        <v>83</v>
      </c>
      <c r="BF632" s="49">
        <v>25.5</v>
      </c>
      <c r="BG632" s="49">
        <v>26.7</v>
      </c>
      <c r="BH632" s="49">
        <v>18.3</v>
      </c>
      <c r="BI632" s="49">
        <v>8.3000000000000007</v>
      </c>
      <c r="BJ632" s="49">
        <v>15.9</v>
      </c>
      <c r="BK632" s="126">
        <v>16779</v>
      </c>
      <c r="BL632" s="126">
        <v>47177</v>
      </c>
      <c r="BM632" s="126">
        <v>58663</v>
      </c>
      <c r="BN632" s="126">
        <v>48679</v>
      </c>
      <c r="BO632" s="59">
        <v>1.6500000000000001E-2</v>
      </c>
      <c r="BP632" s="59">
        <v>0.35930000000000001</v>
      </c>
      <c r="BQ632" s="59">
        <v>0.1242</v>
      </c>
      <c r="BR632" s="59">
        <v>0</v>
      </c>
      <c r="BS632" s="59">
        <v>4.3900000000000002E-2</v>
      </c>
      <c r="BT632" s="49">
        <v>3</v>
      </c>
      <c r="BU632" s="59">
        <f t="shared" si="46"/>
        <v>0.54390000000000005</v>
      </c>
      <c r="BV632" s="59">
        <v>4.1300000000000003E-2</v>
      </c>
      <c r="BW632" s="59">
        <v>4.4699999999999997E-2</v>
      </c>
      <c r="BX632" s="59">
        <v>4.1099999999999998E-2</v>
      </c>
      <c r="BY632" s="59">
        <v>0</v>
      </c>
      <c r="BZ632" s="59">
        <v>0</v>
      </c>
      <c r="CA632" s="49">
        <v>10.9</v>
      </c>
      <c r="CB632" s="59">
        <f t="shared" si="47"/>
        <v>0.12709999999999999</v>
      </c>
      <c r="CC632" s="59">
        <v>0.1671</v>
      </c>
      <c r="CD632" s="59">
        <v>0.51529999999999998</v>
      </c>
      <c r="CE632" s="59">
        <v>0.2412</v>
      </c>
      <c r="CF632" s="59">
        <v>0</v>
      </c>
      <c r="CG632" s="59">
        <v>7.6399999999999996E-2</v>
      </c>
      <c r="CH632" s="49">
        <v>5.5</v>
      </c>
      <c r="CI632" s="39" t="s">
        <v>470</v>
      </c>
      <c r="CJ632" s="18" t="s">
        <v>479</v>
      </c>
      <c r="CK632" s="20"/>
    </row>
    <row r="633" spans="1:99" x14ac:dyDescent="0.25">
      <c r="A633" s="18" t="s">
        <v>479</v>
      </c>
      <c r="B633" s="39" t="s">
        <v>478</v>
      </c>
      <c r="C633" s="39" t="s">
        <v>478</v>
      </c>
      <c r="D633" s="40">
        <v>72</v>
      </c>
      <c r="E633" s="40" t="s">
        <v>83</v>
      </c>
      <c r="F633" s="40">
        <v>72</v>
      </c>
      <c r="G633" s="162" t="s">
        <v>83</v>
      </c>
      <c r="H633" s="162" t="s">
        <v>83</v>
      </c>
      <c r="I633" s="162">
        <v>1</v>
      </c>
      <c r="J633" s="163">
        <v>13</v>
      </c>
      <c r="K633" s="163">
        <v>18</v>
      </c>
      <c r="L633" s="163">
        <v>18</v>
      </c>
      <c r="M633" s="163">
        <v>20</v>
      </c>
      <c r="N633" s="115">
        <v>0.14428857715430901</v>
      </c>
      <c r="O633" s="115">
        <v>0.14428857715430901</v>
      </c>
      <c r="P633" s="116" t="s">
        <v>83</v>
      </c>
      <c r="Q633" s="116" t="s">
        <v>83</v>
      </c>
      <c r="R633" s="116">
        <v>1</v>
      </c>
      <c r="S633" s="115">
        <v>9.4202898550724598E-2</v>
      </c>
      <c r="T633" s="115">
        <v>0.11688311688311701</v>
      </c>
      <c r="U633" s="115">
        <v>0.18181818181818199</v>
      </c>
      <c r="V633" s="115">
        <v>0.19047619047618999</v>
      </c>
      <c r="W633" s="40">
        <v>405</v>
      </c>
      <c r="X633" s="40">
        <f t="shared" si="48"/>
        <v>405</v>
      </c>
      <c r="Y633" s="40">
        <f t="shared" si="49"/>
        <v>405</v>
      </c>
      <c r="Z633" s="105">
        <v>0.50864197530864197</v>
      </c>
      <c r="AA633" s="105">
        <v>0.49135802469135798</v>
      </c>
      <c r="AB633" s="106">
        <v>0</v>
      </c>
      <c r="AC633" s="106">
        <v>0</v>
      </c>
      <c r="AD633" s="106">
        <v>0.99506172839506168</v>
      </c>
      <c r="AE633" s="106">
        <v>2.4691358024691358E-3</v>
      </c>
      <c r="AF633" s="106">
        <v>0</v>
      </c>
      <c r="AG633" s="106">
        <v>2.4691358024691358E-3</v>
      </c>
      <c r="AH633" s="106">
        <v>0</v>
      </c>
      <c r="AI633" s="106">
        <v>0.9975308641975309</v>
      </c>
      <c r="AJ633" s="105">
        <v>0.90617283950617289</v>
      </c>
      <c r="AK633" s="105">
        <v>0</v>
      </c>
      <c r="AL633" s="12">
        <v>0</v>
      </c>
      <c r="AM633" s="12">
        <v>0</v>
      </c>
      <c r="AN633" s="12">
        <v>0</v>
      </c>
      <c r="AO633" s="12">
        <v>109</v>
      </c>
      <c r="AP633" s="12">
        <v>122</v>
      </c>
      <c r="AQ633" s="12">
        <v>79</v>
      </c>
      <c r="AR633" s="12">
        <v>95</v>
      </c>
      <c r="AS633" s="59">
        <v>0</v>
      </c>
      <c r="AT633" s="3">
        <v>9</v>
      </c>
      <c r="AU633" s="3">
        <v>5</v>
      </c>
      <c r="AV633" s="52">
        <v>44.4</v>
      </c>
      <c r="AW633" s="52">
        <v>45.6</v>
      </c>
      <c r="AX633" s="52">
        <v>8.9</v>
      </c>
      <c r="AY633" s="71">
        <v>1.2</v>
      </c>
      <c r="AZ633" s="59">
        <v>2.4175824175824177E-2</v>
      </c>
      <c r="BA633" s="59">
        <v>0.34505494505494505</v>
      </c>
      <c r="BB633" s="78">
        <v>89.006336363768199</v>
      </c>
      <c r="BC633" s="49">
        <v>2.8571428571428599</v>
      </c>
      <c r="BD633" s="90" t="s">
        <v>83</v>
      </c>
      <c r="BE633" s="90" t="s">
        <v>83</v>
      </c>
      <c r="BF633" s="49">
        <v>3</v>
      </c>
      <c r="BG633" s="49">
        <v>10.199999999999999</v>
      </c>
      <c r="BH633" s="49">
        <v>4.3</v>
      </c>
      <c r="BI633" s="49">
        <v>1.3</v>
      </c>
      <c r="BJ633" s="49">
        <v>15.3</v>
      </c>
      <c r="BK633" s="126">
        <v>12875</v>
      </c>
      <c r="BL633" s="126">
        <v>65374</v>
      </c>
      <c r="BM633" s="126">
        <v>107805</v>
      </c>
      <c r="BN633" s="126">
        <v>66815</v>
      </c>
      <c r="BO633" s="59">
        <v>0</v>
      </c>
      <c r="BP633" s="59">
        <v>0.38929999999999998</v>
      </c>
      <c r="BQ633" s="59">
        <v>0.19420000000000001</v>
      </c>
      <c r="BR633" s="59">
        <v>0</v>
      </c>
      <c r="BS633" s="59">
        <v>0</v>
      </c>
      <c r="BT633" s="49">
        <v>7.3</v>
      </c>
      <c r="BU633" s="59">
        <f t="shared" si="46"/>
        <v>0.58350000000000002</v>
      </c>
      <c r="BV633" s="59">
        <v>0</v>
      </c>
      <c r="BW633" s="59">
        <v>4.99E-2</v>
      </c>
      <c r="BX633" s="59">
        <v>4.0599999999999997E-2</v>
      </c>
      <c r="BY633" s="59">
        <v>0</v>
      </c>
      <c r="BZ633" s="59">
        <v>0</v>
      </c>
      <c r="CA633" s="49">
        <v>8.1999999999999993</v>
      </c>
      <c r="CB633" s="59">
        <f t="shared" si="47"/>
        <v>9.0499999999999997E-2</v>
      </c>
      <c r="CC633" s="59">
        <v>1.43E-2</v>
      </c>
      <c r="CD633" s="59">
        <v>0.64070000000000005</v>
      </c>
      <c r="CE633" s="59">
        <v>0.34499999999999997</v>
      </c>
      <c r="CF633" s="59">
        <v>0</v>
      </c>
      <c r="CG633" s="59">
        <v>0</v>
      </c>
      <c r="CH633" s="49">
        <v>8.1</v>
      </c>
      <c r="CI633" s="39" t="s">
        <v>478</v>
      </c>
      <c r="CJ633" s="18" t="s">
        <v>479</v>
      </c>
      <c r="CK633" s="20"/>
    </row>
    <row r="634" spans="1:99" x14ac:dyDescent="0.25">
      <c r="A634" s="18" t="s">
        <v>479</v>
      </c>
      <c r="B634" s="39" t="s">
        <v>451</v>
      </c>
      <c r="C634" s="39" t="s">
        <v>451</v>
      </c>
      <c r="D634" s="40">
        <v>2</v>
      </c>
      <c r="E634" s="40">
        <v>1</v>
      </c>
      <c r="F634" s="40">
        <v>1</v>
      </c>
      <c r="G634" s="163">
        <v>1</v>
      </c>
      <c r="H634" s="163">
        <v>0</v>
      </c>
      <c r="I634" s="162" t="s">
        <v>83</v>
      </c>
      <c r="J634" s="163">
        <v>0</v>
      </c>
      <c r="K634" s="163">
        <v>1</v>
      </c>
      <c r="L634" s="162" t="s">
        <v>83</v>
      </c>
      <c r="M634" s="162" t="s">
        <v>83</v>
      </c>
      <c r="N634" s="115">
        <v>8.3333333333333297E-3</v>
      </c>
      <c r="O634" s="115">
        <v>1.0638297872340399E-2</v>
      </c>
      <c r="P634" s="115">
        <v>1.38888888888889E-2</v>
      </c>
      <c r="Q634" s="115">
        <v>0</v>
      </c>
      <c r="R634" s="116" t="s">
        <v>83</v>
      </c>
      <c r="S634" s="115">
        <v>0</v>
      </c>
      <c r="T634" s="115">
        <v>2.7027027027027001E-2</v>
      </c>
      <c r="U634" s="116" t="s">
        <v>83</v>
      </c>
      <c r="V634" s="116" t="s">
        <v>83</v>
      </c>
      <c r="W634" s="40">
        <v>297</v>
      </c>
      <c r="X634" s="40">
        <f t="shared" si="48"/>
        <v>81</v>
      </c>
      <c r="Y634" s="40">
        <f t="shared" si="49"/>
        <v>213</v>
      </c>
      <c r="Z634" s="105">
        <v>0.54882154882154899</v>
      </c>
      <c r="AA634" s="105">
        <v>0.45117845117845101</v>
      </c>
      <c r="AB634" s="106">
        <v>0</v>
      </c>
      <c r="AC634" s="106">
        <v>0</v>
      </c>
      <c r="AD634" s="106">
        <v>0.96969696969696972</v>
      </c>
      <c r="AE634" s="106">
        <v>1.0101010101010102E-2</v>
      </c>
      <c r="AF634" s="106">
        <v>0</v>
      </c>
      <c r="AG634" s="106">
        <v>1.6835016835016835E-2</v>
      </c>
      <c r="AH634" s="106">
        <v>3.3670033670033669E-3</v>
      </c>
      <c r="AI634" s="106">
        <v>0.98316498316498313</v>
      </c>
      <c r="AJ634" s="105">
        <v>0.88552188552188549</v>
      </c>
      <c r="AK634" s="105">
        <v>0</v>
      </c>
      <c r="AL634" s="12">
        <v>68</v>
      </c>
      <c r="AM634" s="12">
        <v>64</v>
      </c>
      <c r="AN634" s="12">
        <v>0</v>
      </c>
      <c r="AO634" s="12">
        <v>47</v>
      </c>
      <c r="AP634" s="12">
        <v>34</v>
      </c>
      <c r="AQ634" s="12">
        <v>0</v>
      </c>
      <c r="AR634" s="12">
        <v>0</v>
      </c>
      <c r="AS634" s="59">
        <v>0</v>
      </c>
      <c r="AT634" s="3">
        <v>5</v>
      </c>
      <c r="AU634" s="3">
        <v>2</v>
      </c>
      <c r="AV634" s="52">
        <v>56.1</v>
      </c>
      <c r="AW634" s="52">
        <v>39.9</v>
      </c>
      <c r="AX634" s="52">
        <v>2.7</v>
      </c>
      <c r="AY634" s="71">
        <v>1.4</v>
      </c>
      <c r="AZ634" s="59">
        <v>1.5337423312883436E-2</v>
      </c>
      <c r="BA634" s="59">
        <v>2.7607361963190184E-2</v>
      </c>
      <c r="BB634" s="78">
        <v>96.286067441770598</v>
      </c>
      <c r="BC634" s="49"/>
      <c r="BD634" s="49">
        <v>0</v>
      </c>
      <c r="BE634" s="49">
        <v>1.7</v>
      </c>
      <c r="BF634" s="49">
        <v>0</v>
      </c>
      <c r="BG634" s="49">
        <v>0</v>
      </c>
      <c r="BH634" s="90" t="s">
        <v>83</v>
      </c>
      <c r="BI634" s="90" t="s">
        <v>83</v>
      </c>
      <c r="BJ634" s="49"/>
      <c r="BK634" s="126">
        <v>9658</v>
      </c>
      <c r="BL634" s="126">
        <v>40530</v>
      </c>
      <c r="BM634" s="126">
        <v>25392</v>
      </c>
      <c r="BN634" s="126">
        <v>33098</v>
      </c>
      <c r="BO634" s="59">
        <v>0</v>
      </c>
      <c r="BP634" s="59">
        <v>0.1212</v>
      </c>
      <c r="BQ634" s="59">
        <v>7.2700000000000001E-2</v>
      </c>
      <c r="BR634" s="59">
        <v>0</v>
      </c>
      <c r="BS634" s="59">
        <v>0</v>
      </c>
      <c r="BT634" s="49">
        <v>17.7</v>
      </c>
      <c r="BU634" s="59">
        <f t="shared" si="46"/>
        <v>0.19390000000000002</v>
      </c>
      <c r="BV634" s="59">
        <v>3.0300000000000001E-2</v>
      </c>
      <c r="BW634" s="59">
        <v>0</v>
      </c>
      <c r="BX634" s="59">
        <v>3.0300000000000001E-2</v>
      </c>
      <c r="BY634" s="59">
        <v>0</v>
      </c>
      <c r="BZ634" s="59">
        <v>0</v>
      </c>
      <c r="CA634" s="49">
        <v>17</v>
      </c>
      <c r="CB634" s="59">
        <f t="shared" si="47"/>
        <v>6.0600000000000001E-2</v>
      </c>
      <c r="CC634" s="59">
        <v>0.48480000000000001</v>
      </c>
      <c r="CD634" s="59">
        <v>0.30299999999999999</v>
      </c>
      <c r="CE634" s="59">
        <v>0.21210000000000001</v>
      </c>
      <c r="CF634" s="59">
        <v>0</v>
      </c>
      <c r="CG634" s="59">
        <v>0</v>
      </c>
      <c r="CH634" s="49">
        <v>8.6999999999999993</v>
      </c>
      <c r="CI634" s="39" t="s">
        <v>451</v>
      </c>
      <c r="CJ634" s="18" t="s">
        <v>479</v>
      </c>
      <c r="CK634" s="20"/>
    </row>
    <row r="635" spans="1:99" x14ac:dyDescent="0.25">
      <c r="A635" s="18" t="s">
        <v>479</v>
      </c>
      <c r="B635" s="39" t="s">
        <v>459</v>
      </c>
      <c r="C635" s="39" t="s">
        <v>459</v>
      </c>
      <c r="D635" s="40">
        <v>29</v>
      </c>
      <c r="E635" s="40">
        <v>4</v>
      </c>
      <c r="F635" s="40">
        <v>25</v>
      </c>
      <c r="G635" s="162">
        <v>1</v>
      </c>
      <c r="H635" s="163">
        <v>3</v>
      </c>
      <c r="I635" s="163">
        <v>0</v>
      </c>
      <c r="J635" s="163">
        <v>11</v>
      </c>
      <c r="K635" s="163">
        <v>7</v>
      </c>
      <c r="L635" s="163">
        <v>3</v>
      </c>
      <c r="M635" s="163">
        <v>4</v>
      </c>
      <c r="N635" s="115">
        <v>5.77689243027888E-2</v>
      </c>
      <c r="O635" s="115">
        <v>5.73394495412844E-2</v>
      </c>
      <c r="P635" s="116">
        <v>1</v>
      </c>
      <c r="Q635" s="115">
        <v>4.6153846153846198E-2</v>
      </c>
      <c r="R635" s="115">
        <v>0</v>
      </c>
      <c r="S635" s="115">
        <v>6.9182389937106903E-2</v>
      </c>
      <c r="T635" s="115">
        <v>6.3063063063063099E-2</v>
      </c>
      <c r="U635" s="115">
        <v>3.3707865168539297E-2</v>
      </c>
      <c r="V635" s="115">
        <v>5.7971014492753603E-2</v>
      </c>
      <c r="W635" s="40">
        <v>391</v>
      </c>
      <c r="X635" s="40">
        <f t="shared" si="48"/>
        <v>341</v>
      </c>
      <c r="Y635" s="40">
        <f t="shared" si="49"/>
        <v>391</v>
      </c>
      <c r="Z635" s="105">
        <v>0.47314578005115099</v>
      </c>
      <c r="AA635" s="105">
        <v>0.52685421994884896</v>
      </c>
      <c r="AB635" s="106">
        <v>2.5575447570332483E-3</v>
      </c>
      <c r="AC635" s="106">
        <v>0</v>
      </c>
      <c r="AD635" s="106">
        <v>0.8951406649616368</v>
      </c>
      <c r="AE635" s="106">
        <v>8.1841432225063945E-2</v>
      </c>
      <c r="AF635" s="106">
        <v>0</v>
      </c>
      <c r="AG635" s="106">
        <v>2.0460358056265986E-2</v>
      </c>
      <c r="AH635" s="106">
        <v>0</v>
      </c>
      <c r="AI635" s="106">
        <v>0.979539641943734</v>
      </c>
      <c r="AJ635" s="105">
        <v>0.92071611253196928</v>
      </c>
      <c r="AK635" s="105">
        <v>7.4168797953964194E-2</v>
      </c>
      <c r="AL635" s="12">
        <v>0</v>
      </c>
      <c r="AM635" s="12">
        <v>50</v>
      </c>
      <c r="AN635" s="12">
        <v>7</v>
      </c>
      <c r="AO635" s="12">
        <v>110</v>
      </c>
      <c r="AP635" s="12">
        <v>83</v>
      </c>
      <c r="AQ635" s="12">
        <v>75</v>
      </c>
      <c r="AR635" s="12">
        <v>66</v>
      </c>
      <c r="AS635" s="59">
        <v>5.9829059829059832E-2</v>
      </c>
      <c r="AT635" s="3">
        <v>8</v>
      </c>
      <c r="AU635" s="3">
        <v>5</v>
      </c>
      <c r="AV635" s="52">
        <v>70.099999999999994</v>
      </c>
      <c r="AW635" s="52">
        <v>21.8</v>
      </c>
      <c r="AX635" s="52">
        <v>8.1</v>
      </c>
      <c r="AY635" s="70">
        <v>0</v>
      </c>
      <c r="AZ635" s="59">
        <v>0</v>
      </c>
      <c r="BA635" s="59">
        <v>0.31611570247933884</v>
      </c>
      <c r="BB635" s="77">
        <v>89.690957268253698</v>
      </c>
      <c r="BC635" s="49"/>
      <c r="BD635" s="90" t="s">
        <v>83</v>
      </c>
      <c r="BE635" s="90" t="s">
        <v>83</v>
      </c>
      <c r="BF635" s="49">
        <v>13.2</v>
      </c>
      <c r="BG635" s="49">
        <v>4.7</v>
      </c>
      <c r="BH635" s="49">
        <v>4.0999999999999996</v>
      </c>
      <c r="BI635" s="49">
        <v>15.3</v>
      </c>
      <c r="BJ635" s="49">
        <v>17.8</v>
      </c>
      <c r="BK635" s="126">
        <v>16627</v>
      </c>
      <c r="BL635" s="126">
        <v>52143</v>
      </c>
      <c r="BM635" s="126">
        <v>57347</v>
      </c>
      <c r="BN635" s="126">
        <v>51227</v>
      </c>
      <c r="BO635" s="59">
        <v>0</v>
      </c>
      <c r="BP635" s="59">
        <v>0.50929999999999997</v>
      </c>
      <c r="BQ635" s="59">
        <v>9.0300000000000005E-2</v>
      </c>
      <c r="BR635" s="59">
        <v>0</v>
      </c>
      <c r="BS635" s="59">
        <v>0</v>
      </c>
      <c r="BT635" s="49">
        <v>3.6</v>
      </c>
      <c r="BU635" s="59">
        <f t="shared" si="46"/>
        <v>0.59960000000000002</v>
      </c>
      <c r="BV635" s="59">
        <v>1.6299999999999999E-2</v>
      </c>
      <c r="BW635" s="59">
        <v>1.6299999999999999E-2</v>
      </c>
      <c r="BX635" s="59">
        <v>3.27E-2</v>
      </c>
      <c r="BY635" s="59">
        <v>0</v>
      </c>
      <c r="BZ635" s="59">
        <v>0</v>
      </c>
      <c r="CA635" s="49">
        <v>3</v>
      </c>
      <c r="CB635" s="59">
        <f t="shared" si="47"/>
        <v>6.5299999999999997E-2</v>
      </c>
      <c r="CC635" s="59">
        <v>0.1115</v>
      </c>
      <c r="CD635" s="59">
        <v>0.68379999999999996</v>
      </c>
      <c r="CE635" s="59">
        <v>0.18840000000000001</v>
      </c>
      <c r="CF635" s="59">
        <v>0</v>
      </c>
      <c r="CG635" s="59">
        <v>1.6299999999999999E-2</v>
      </c>
      <c r="CH635" s="49">
        <v>3.7</v>
      </c>
      <c r="CI635" s="39" t="s">
        <v>459</v>
      </c>
      <c r="CJ635" s="18" t="s">
        <v>479</v>
      </c>
      <c r="CK635" s="20"/>
    </row>
    <row r="636" spans="1:99" x14ac:dyDescent="0.25">
      <c r="A636" s="18" t="s">
        <v>479</v>
      </c>
      <c r="B636" s="39" t="s">
        <v>453</v>
      </c>
      <c r="C636" s="39" t="s">
        <v>453</v>
      </c>
      <c r="D636" s="40">
        <v>25</v>
      </c>
      <c r="E636" s="40" t="s">
        <v>83</v>
      </c>
      <c r="F636" s="40">
        <v>25</v>
      </c>
      <c r="G636" s="162" t="s">
        <v>83</v>
      </c>
      <c r="H636" s="162" t="s">
        <v>83</v>
      </c>
      <c r="I636" s="162" t="s">
        <v>83</v>
      </c>
      <c r="J636" s="163">
        <v>3</v>
      </c>
      <c r="K636" s="163">
        <v>8</v>
      </c>
      <c r="L636" s="163">
        <v>4</v>
      </c>
      <c r="M636" s="163">
        <v>10</v>
      </c>
      <c r="N636" s="115">
        <v>4.71698113207547E-2</v>
      </c>
      <c r="O636" s="115">
        <v>4.71698113207547E-2</v>
      </c>
      <c r="P636" s="116" t="s">
        <v>83</v>
      </c>
      <c r="Q636" s="116" t="s">
        <v>83</v>
      </c>
      <c r="R636" s="116" t="s">
        <v>83</v>
      </c>
      <c r="S636" s="115">
        <v>1.9867549668874201E-2</v>
      </c>
      <c r="T636" s="115">
        <v>5.6737588652482303E-2</v>
      </c>
      <c r="U636" s="115">
        <v>3.1746031746031703E-2</v>
      </c>
      <c r="V636" s="115">
        <v>8.9285714285714302E-2</v>
      </c>
      <c r="W636" s="40">
        <v>496</v>
      </c>
      <c r="X636" s="40">
        <f t="shared" si="48"/>
        <v>496</v>
      </c>
      <c r="Y636" s="40">
        <f t="shared" si="49"/>
        <v>496</v>
      </c>
      <c r="Z636" s="105">
        <v>0.47782258064516098</v>
      </c>
      <c r="AA636" s="105">
        <v>0.52217741935483897</v>
      </c>
      <c r="AB636" s="106">
        <v>2.0161290322580645E-3</v>
      </c>
      <c r="AC636" s="106">
        <v>8.669354838709678E-2</v>
      </c>
      <c r="AD636" s="106">
        <v>0.86088709677419351</v>
      </c>
      <c r="AE636" s="106">
        <v>2.2177419354838711E-2</v>
      </c>
      <c r="AF636" s="106">
        <v>0</v>
      </c>
      <c r="AG636" s="106">
        <v>1.6129032258064516E-2</v>
      </c>
      <c r="AH636" s="106">
        <v>1.2096774193548387E-2</v>
      </c>
      <c r="AI636" s="106">
        <v>0.9838709677419355</v>
      </c>
      <c r="AJ636" s="105">
        <v>0.905241935483871</v>
      </c>
      <c r="AK636" s="105">
        <v>0.11491935483871001</v>
      </c>
      <c r="AL636" s="12">
        <v>0</v>
      </c>
      <c r="AM636" s="12">
        <v>0</v>
      </c>
      <c r="AN636" s="12">
        <v>0</v>
      </c>
      <c r="AO636" s="12">
        <v>148</v>
      </c>
      <c r="AP636" s="12">
        <v>131</v>
      </c>
      <c r="AQ636" s="12">
        <v>116</v>
      </c>
      <c r="AR636" s="12">
        <v>101</v>
      </c>
      <c r="AS636" s="59">
        <v>0</v>
      </c>
      <c r="AT636" s="3">
        <v>9</v>
      </c>
      <c r="AU636" s="3">
        <v>5</v>
      </c>
      <c r="AV636" s="52">
        <v>41.7</v>
      </c>
      <c r="AW636" s="52">
        <v>28</v>
      </c>
      <c r="AX636" s="52">
        <v>26.8</v>
      </c>
      <c r="AY636" s="71">
        <v>3.6</v>
      </c>
      <c r="AZ636" s="59">
        <v>0.34615384615384615</v>
      </c>
      <c r="BA636" s="59">
        <v>3.4615384615384617E-2</v>
      </c>
      <c r="BB636" s="78">
        <v>94.467733364822607</v>
      </c>
      <c r="BC636" s="49">
        <v>20.192307692307701</v>
      </c>
      <c r="BD636" s="90" t="s">
        <v>83</v>
      </c>
      <c r="BE636" s="90" t="s">
        <v>83</v>
      </c>
      <c r="BF636" s="49">
        <v>2.1</v>
      </c>
      <c r="BG636" s="49">
        <v>2.4</v>
      </c>
      <c r="BH636" s="49">
        <v>1.8</v>
      </c>
      <c r="BI636" s="49">
        <v>14</v>
      </c>
      <c r="BJ636" s="49">
        <v>17.8</v>
      </c>
      <c r="BK636" s="126">
        <v>15557</v>
      </c>
      <c r="BL636" s="126">
        <v>55317</v>
      </c>
      <c r="BM636" s="126">
        <v>69120</v>
      </c>
      <c r="BN636" s="126">
        <v>51298</v>
      </c>
      <c r="BO636" s="59">
        <v>0</v>
      </c>
      <c r="BP636" s="59">
        <v>0.41770000000000002</v>
      </c>
      <c r="BQ636" s="59">
        <v>9.5200000000000007E-2</v>
      </c>
      <c r="BR636" s="59">
        <v>0</v>
      </c>
      <c r="BS636" s="59">
        <v>0</v>
      </c>
      <c r="BT636" s="49">
        <v>3.9</v>
      </c>
      <c r="BU636" s="59">
        <f t="shared" si="46"/>
        <v>0.51290000000000002</v>
      </c>
      <c r="BV636" s="59">
        <v>1.3599999999999999E-2</v>
      </c>
      <c r="BW636" s="59">
        <v>2.7199999999999998E-2</v>
      </c>
      <c r="BX636" s="59">
        <v>1.3599999999999999E-2</v>
      </c>
      <c r="BY636" s="59">
        <v>0</v>
      </c>
      <c r="BZ636" s="59">
        <v>0</v>
      </c>
      <c r="CA636" s="49">
        <v>10.8</v>
      </c>
      <c r="CB636" s="59">
        <f t="shared" si="47"/>
        <v>5.4399999999999997E-2</v>
      </c>
      <c r="CC636" s="59">
        <v>0.13289999999999999</v>
      </c>
      <c r="CD636" s="59">
        <v>0.68579999999999997</v>
      </c>
      <c r="CE636" s="59">
        <v>0.17680000000000001</v>
      </c>
      <c r="CF636" s="59">
        <v>0</v>
      </c>
      <c r="CG636" s="59">
        <v>4.4999999999999997E-3</v>
      </c>
      <c r="CH636" s="49">
        <v>3.9</v>
      </c>
      <c r="CI636" s="39" t="s">
        <v>453</v>
      </c>
      <c r="CJ636" s="18" t="s">
        <v>479</v>
      </c>
      <c r="CK636" s="20"/>
    </row>
    <row r="637" spans="1:99" x14ac:dyDescent="0.25">
      <c r="A637" s="18" t="s">
        <v>479</v>
      </c>
      <c r="B637" s="19" t="s">
        <v>454</v>
      </c>
      <c r="C637" s="19" t="s">
        <v>454</v>
      </c>
      <c r="D637" s="6">
        <v>24</v>
      </c>
      <c r="E637" s="40" t="s">
        <v>83</v>
      </c>
      <c r="F637" s="6">
        <v>24</v>
      </c>
      <c r="G637" s="162" t="s">
        <v>83</v>
      </c>
      <c r="H637" s="162" t="s">
        <v>83</v>
      </c>
      <c r="I637" s="162" t="s">
        <v>83</v>
      </c>
      <c r="J637" s="163">
        <v>9</v>
      </c>
      <c r="K637" s="163">
        <v>9</v>
      </c>
      <c r="L637" s="163">
        <v>5</v>
      </c>
      <c r="M637" s="163">
        <v>1</v>
      </c>
      <c r="N637" s="115">
        <v>4.9281314168377797E-2</v>
      </c>
      <c r="O637" s="115">
        <v>4.9281314168377797E-2</v>
      </c>
      <c r="P637" s="116" t="s">
        <v>83</v>
      </c>
      <c r="Q637" s="116" t="s">
        <v>83</v>
      </c>
      <c r="R637" s="116" t="s">
        <v>83</v>
      </c>
      <c r="S637" s="115">
        <v>5.1724137931034503E-2</v>
      </c>
      <c r="T637" s="115">
        <v>6.5217391304347797E-2</v>
      </c>
      <c r="U637" s="115">
        <v>5.31914893617021E-2</v>
      </c>
      <c r="V637" s="115">
        <v>1.2345679012345699E-2</v>
      </c>
      <c r="W637" s="6">
        <v>428</v>
      </c>
      <c r="X637" s="40">
        <f>SUM(AN637:AR637)</f>
        <v>428</v>
      </c>
      <c r="Y637" s="40">
        <f>SUM(AL637:AR637)</f>
        <v>428</v>
      </c>
      <c r="Z637" s="110">
        <v>0.434579439252336</v>
      </c>
      <c r="AA637" s="110">
        <v>0.565420560747664</v>
      </c>
      <c r="AB637" s="61">
        <f>2/428</f>
        <v>4.6728971962616819E-3</v>
      </c>
      <c r="AC637" s="61">
        <f>13/428</f>
        <v>3.0373831775700934E-2</v>
      </c>
      <c r="AD637" s="61">
        <f>401/428</f>
        <v>0.93691588785046731</v>
      </c>
      <c r="AE637" s="61">
        <f>3/428</f>
        <v>7.0093457943925233E-3</v>
      </c>
      <c r="AF637" s="61">
        <v>0</v>
      </c>
      <c r="AG637" s="61">
        <f>8/428</f>
        <v>1.8691588785046728E-2</v>
      </c>
      <c r="AH637" s="61">
        <f>1/428</f>
        <v>2.3364485981308409E-3</v>
      </c>
      <c r="AI637" s="61">
        <f>420/428</f>
        <v>0.98130841121495327</v>
      </c>
      <c r="AJ637" s="110">
        <v>0.87383177570093462</v>
      </c>
      <c r="AK637" s="110">
        <v>2.80373831775701E-2</v>
      </c>
      <c r="AL637" s="3">
        <v>0</v>
      </c>
      <c r="AM637" s="3">
        <v>0</v>
      </c>
      <c r="AN637" s="3">
        <v>0</v>
      </c>
      <c r="AO637" s="3">
        <v>145</v>
      </c>
      <c r="AP637" s="3">
        <v>126</v>
      </c>
      <c r="AQ637" s="3">
        <v>85</v>
      </c>
      <c r="AR637" s="3">
        <v>72</v>
      </c>
      <c r="AS637" s="59">
        <v>0</v>
      </c>
      <c r="AT637" s="3">
        <v>9</v>
      </c>
      <c r="AU637" s="3">
        <v>5</v>
      </c>
      <c r="AV637" s="52">
        <v>54.5</v>
      </c>
      <c r="AW637" s="52">
        <v>21.7</v>
      </c>
      <c r="AX637" s="52">
        <v>21.2</v>
      </c>
      <c r="AY637" s="71">
        <v>2.5</v>
      </c>
      <c r="AZ637" s="59">
        <v>0.44351464435146443</v>
      </c>
      <c r="BA637" s="59">
        <v>0.17782426778242677</v>
      </c>
      <c r="BB637" s="77">
        <v>90.036347179204299</v>
      </c>
      <c r="BC637" s="49">
        <v>5.2301255230125498</v>
      </c>
      <c r="BD637" s="90" t="s">
        <v>83</v>
      </c>
      <c r="BE637" s="90" t="s">
        <v>83</v>
      </c>
      <c r="BF637" s="49">
        <v>6.9</v>
      </c>
      <c r="BG637" s="49">
        <v>4.7</v>
      </c>
      <c r="BH637" s="49">
        <v>1.2</v>
      </c>
      <c r="BI637" s="49">
        <v>2.7</v>
      </c>
      <c r="BJ637" s="49">
        <v>17.899999999999999</v>
      </c>
      <c r="BK637" s="126">
        <v>12292</v>
      </c>
      <c r="BL637" s="126">
        <v>51734</v>
      </c>
      <c r="BM637" s="126">
        <v>68588</v>
      </c>
      <c r="BN637" s="126">
        <v>50780</v>
      </c>
      <c r="BO637" s="59">
        <v>0</v>
      </c>
      <c r="BP637" s="59">
        <v>0.54110000000000003</v>
      </c>
      <c r="BQ637" s="59">
        <v>4.2999999999999997E-2</v>
      </c>
      <c r="BR637" s="59">
        <v>0</v>
      </c>
      <c r="BS637" s="59">
        <v>0</v>
      </c>
      <c r="BT637" s="49">
        <v>2.9</v>
      </c>
      <c r="BU637" s="59">
        <f t="shared" si="46"/>
        <v>0.58410000000000006</v>
      </c>
      <c r="BV637" s="59">
        <v>0</v>
      </c>
      <c r="BW637" s="59">
        <v>3.6299999999999999E-2</v>
      </c>
      <c r="BX637" s="59">
        <v>2.0299999999999999E-2</v>
      </c>
      <c r="BY637" s="59">
        <v>0</v>
      </c>
      <c r="BZ637" s="59">
        <v>0</v>
      </c>
      <c r="CA637" s="49">
        <v>6.3</v>
      </c>
      <c r="CB637" s="59">
        <f t="shared" si="47"/>
        <v>5.6599999999999998E-2</v>
      </c>
      <c r="CC637" s="59">
        <v>4.0399999999999998E-2</v>
      </c>
      <c r="CD637" s="59">
        <v>0.81859999999999999</v>
      </c>
      <c r="CE637" s="59">
        <v>0.1343</v>
      </c>
      <c r="CF637" s="59">
        <v>0</v>
      </c>
      <c r="CG637" s="59">
        <v>6.7999999999999996E-3</v>
      </c>
      <c r="CH637" s="49">
        <v>3.3</v>
      </c>
      <c r="CI637" s="19" t="s">
        <v>454</v>
      </c>
      <c r="CJ637" s="18" t="s">
        <v>479</v>
      </c>
      <c r="CK637" s="20"/>
    </row>
    <row r="638" spans="1:99" ht="15.75" thickBot="1" x14ac:dyDescent="0.3">
      <c r="A638" s="18" t="s">
        <v>479</v>
      </c>
      <c r="B638" s="39" t="s">
        <v>455</v>
      </c>
      <c r="C638" s="39" t="s">
        <v>455</v>
      </c>
      <c r="D638" s="40">
        <v>47</v>
      </c>
      <c r="E638" s="40" t="s">
        <v>83</v>
      </c>
      <c r="F638" s="40">
        <v>47</v>
      </c>
      <c r="G638" s="162" t="s">
        <v>83</v>
      </c>
      <c r="H638" s="162" t="s">
        <v>83</v>
      </c>
      <c r="I638" s="162" t="s">
        <v>83</v>
      </c>
      <c r="J638" s="163">
        <v>19</v>
      </c>
      <c r="K638" s="163">
        <v>21</v>
      </c>
      <c r="L638" s="163">
        <v>7</v>
      </c>
      <c r="M638" s="163">
        <v>0</v>
      </c>
      <c r="N638" s="115">
        <v>9.8532494758909905E-2</v>
      </c>
      <c r="O638" s="115">
        <v>9.8532494758909905E-2</v>
      </c>
      <c r="P638" s="116" t="s">
        <v>83</v>
      </c>
      <c r="Q638" s="116" t="s">
        <v>83</v>
      </c>
      <c r="R638" s="116" t="s">
        <v>83</v>
      </c>
      <c r="S638" s="115">
        <v>0.106741573033708</v>
      </c>
      <c r="T638" s="115">
        <v>0.15107913669064699</v>
      </c>
      <c r="U638" s="115">
        <v>8.3333333333333301E-2</v>
      </c>
      <c r="V638" s="115">
        <v>0</v>
      </c>
      <c r="W638" s="40">
        <v>410</v>
      </c>
      <c r="X638" s="40">
        <f t="shared" si="48"/>
        <v>410</v>
      </c>
      <c r="Y638" s="40">
        <f t="shared" si="49"/>
        <v>410</v>
      </c>
      <c r="Z638" s="105">
        <v>0.47560975609756101</v>
      </c>
      <c r="AA638" s="105">
        <v>0.52439024390243905</v>
      </c>
      <c r="AB638" s="106">
        <v>0</v>
      </c>
      <c r="AC638" s="106">
        <v>1.7073170731707318E-2</v>
      </c>
      <c r="AD638" s="106">
        <v>0.8365853658536585</v>
      </c>
      <c r="AE638" s="106">
        <v>0.13414634146341464</v>
      </c>
      <c r="AF638" s="106">
        <v>0</v>
      </c>
      <c r="AG638" s="106">
        <v>1.2195121951219513E-2</v>
      </c>
      <c r="AH638" s="106">
        <v>0</v>
      </c>
      <c r="AI638" s="106">
        <v>0.98780487804878048</v>
      </c>
      <c r="AJ638" s="105">
        <v>0.92439024390243907</v>
      </c>
      <c r="AK638" s="105">
        <v>0.163414634146341</v>
      </c>
      <c r="AL638" s="12">
        <v>0</v>
      </c>
      <c r="AM638" s="12">
        <v>0</v>
      </c>
      <c r="AN638" s="12">
        <v>0</v>
      </c>
      <c r="AO638" s="12">
        <v>143</v>
      </c>
      <c r="AP638" s="12">
        <v>113</v>
      </c>
      <c r="AQ638" s="12">
        <v>78</v>
      </c>
      <c r="AR638" s="12">
        <v>76</v>
      </c>
      <c r="AS638" s="59">
        <v>0</v>
      </c>
      <c r="AT638" s="3">
        <v>9</v>
      </c>
      <c r="AU638" s="3">
        <v>5</v>
      </c>
      <c r="AV638" s="52">
        <v>66.400000000000006</v>
      </c>
      <c r="AW638" s="52">
        <v>14.3</v>
      </c>
      <c r="AX638" s="52">
        <v>18.100000000000001</v>
      </c>
      <c r="AY638" s="71">
        <v>1.3</v>
      </c>
      <c r="AZ638" s="59">
        <v>0.41845493562231761</v>
      </c>
      <c r="BA638" s="59">
        <v>0.23819742489270387</v>
      </c>
      <c r="BB638" s="78">
        <v>89.319494558035203</v>
      </c>
      <c r="BC638" s="49">
        <v>22.912205567451799</v>
      </c>
      <c r="BD638" s="90" t="s">
        <v>83</v>
      </c>
      <c r="BE638" s="90" t="s">
        <v>83</v>
      </c>
      <c r="BF638" s="3">
        <v>11.1</v>
      </c>
      <c r="BG638" s="3">
        <v>14.3</v>
      </c>
      <c r="BH638" s="3">
        <v>3.1</v>
      </c>
      <c r="BI638" s="3">
        <v>11.3</v>
      </c>
      <c r="BJ638" s="49">
        <v>16.899999999999999</v>
      </c>
      <c r="BK638" s="126">
        <v>14065</v>
      </c>
      <c r="BL638" s="126">
        <v>51012</v>
      </c>
      <c r="BM638" s="126">
        <v>47406</v>
      </c>
      <c r="BN638" s="126">
        <v>47380</v>
      </c>
      <c r="BO638" s="59">
        <v>0</v>
      </c>
      <c r="BP638" s="59">
        <v>0.4894</v>
      </c>
      <c r="BQ638" s="59">
        <v>5.2400000000000002E-2</v>
      </c>
      <c r="BR638" s="59">
        <v>0</v>
      </c>
      <c r="BS638" s="59">
        <v>0</v>
      </c>
      <c r="BT638" s="49">
        <v>2.5</v>
      </c>
      <c r="BU638" s="59">
        <f t="shared" si="46"/>
        <v>0.54180000000000006</v>
      </c>
      <c r="BV638" s="59">
        <v>0</v>
      </c>
      <c r="BW638" s="59">
        <v>5.33E-2</v>
      </c>
      <c r="BX638" s="59">
        <v>1.7500000000000002E-2</v>
      </c>
      <c r="BY638" s="59">
        <v>0</v>
      </c>
      <c r="BZ638" s="59">
        <v>0</v>
      </c>
      <c r="CA638" s="49">
        <v>4.8</v>
      </c>
      <c r="CB638" s="59">
        <f t="shared" si="47"/>
        <v>7.0800000000000002E-2</v>
      </c>
      <c r="CC638" s="59">
        <v>0.1004</v>
      </c>
      <c r="CD638" s="59">
        <v>0.73370000000000002</v>
      </c>
      <c r="CE638" s="59">
        <v>0.16009999999999999</v>
      </c>
      <c r="CF638" s="59">
        <v>0</v>
      </c>
      <c r="CG638" s="59">
        <v>5.7999999999999996E-3</v>
      </c>
      <c r="CH638" s="49">
        <v>3.3</v>
      </c>
      <c r="CI638" s="39" t="s">
        <v>455</v>
      </c>
      <c r="CJ638" s="18" t="s">
        <v>479</v>
      </c>
      <c r="CK638" s="20"/>
    </row>
    <row r="639" spans="1:99" s="1" customFormat="1" ht="21" customHeight="1" x14ac:dyDescent="0.25">
      <c r="A639" s="21" t="s">
        <v>0</v>
      </c>
      <c r="B639" s="22" t="s">
        <v>1</v>
      </c>
      <c r="C639" s="22" t="s">
        <v>2</v>
      </c>
      <c r="D639" s="9" t="s">
        <v>3</v>
      </c>
      <c r="E639" s="9" t="s">
        <v>4</v>
      </c>
      <c r="F639" s="9" t="s">
        <v>5</v>
      </c>
      <c r="G639" s="161" t="s">
        <v>565</v>
      </c>
      <c r="H639" s="161" t="s">
        <v>566</v>
      </c>
      <c r="I639" s="161" t="s">
        <v>567</v>
      </c>
      <c r="J639" s="161" t="s">
        <v>568</v>
      </c>
      <c r="K639" s="161" t="s">
        <v>569</v>
      </c>
      <c r="L639" s="161" t="s">
        <v>570</v>
      </c>
      <c r="M639" s="161" t="s">
        <v>571</v>
      </c>
      <c r="N639" s="120" t="s">
        <v>6</v>
      </c>
      <c r="O639" s="120" t="s">
        <v>7</v>
      </c>
      <c r="P639" s="120" t="s">
        <v>8</v>
      </c>
      <c r="Q639" s="120" t="s">
        <v>9</v>
      </c>
      <c r="R639" s="120" t="s">
        <v>10</v>
      </c>
      <c r="S639" s="120" t="s">
        <v>11</v>
      </c>
      <c r="T639" s="120" t="s">
        <v>12</v>
      </c>
      <c r="U639" s="120" t="s">
        <v>13</v>
      </c>
      <c r="V639" s="120" t="s">
        <v>14</v>
      </c>
      <c r="W639" s="41" t="s">
        <v>15</v>
      </c>
      <c r="X639" s="41" t="s">
        <v>16</v>
      </c>
      <c r="Y639" s="41" t="s">
        <v>17</v>
      </c>
      <c r="Z639" s="107" t="s">
        <v>18</v>
      </c>
      <c r="AA639" s="107" t="s">
        <v>19</v>
      </c>
      <c r="AB639" s="95" t="s">
        <v>20</v>
      </c>
      <c r="AC639" s="95" t="s">
        <v>21</v>
      </c>
      <c r="AD639" s="95" t="s">
        <v>22</v>
      </c>
      <c r="AE639" s="95" t="s">
        <v>23</v>
      </c>
      <c r="AF639" s="95" t="s">
        <v>24</v>
      </c>
      <c r="AG639" s="95" t="s">
        <v>25</v>
      </c>
      <c r="AH639" s="95" t="s">
        <v>26</v>
      </c>
      <c r="AI639" s="95" t="s">
        <v>27</v>
      </c>
      <c r="AJ639" s="95" t="s">
        <v>28</v>
      </c>
      <c r="AK639" s="107" t="s">
        <v>29</v>
      </c>
      <c r="AL639" s="42" t="s">
        <v>30</v>
      </c>
      <c r="AM639" s="42" t="s">
        <v>31</v>
      </c>
      <c r="AN639" s="42" t="s">
        <v>32</v>
      </c>
      <c r="AO639" s="42" t="s">
        <v>33</v>
      </c>
      <c r="AP639" s="42" t="s">
        <v>34</v>
      </c>
      <c r="AQ639" s="42" t="s">
        <v>35</v>
      </c>
      <c r="AR639" s="42" t="s">
        <v>36</v>
      </c>
      <c r="AS639" s="100" t="s">
        <v>37</v>
      </c>
      <c r="AT639" s="41" t="s">
        <v>38</v>
      </c>
      <c r="AU639" s="23" t="s">
        <v>39</v>
      </c>
      <c r="AV639" s="51" t="s">
        <v>40</v>
      </c>
      <c r="AW639" s="51" t="s">
        <v>41</v>
      </c>
      <c r="AX639" s="51" t="s">
        <v>42</v>
      </c>
      <c r="AY639" s="66" t="s">
        <v>43</v>
      </c>
      <c r="AZ639" s="58" t="s">
        <v>44</v>
      </c>
      <c r="BA639" s="58" t="s">
        <v>45</v>
      </c>
      <c r="BB639" s="75" t="s">
        <v>46</v>
      </c>
      <c r="BC639" s="83" t="s">
        <v>47</v>
      </c>
      <c r="BD639" s="89" t="s">
        <v>48</v>
      </c>
      <c r="BE639" s="89" t="s">
        <v>49</v>
      </c>
      <c r="BF639" s="89" t="s">
        <v>50</v>
      </c>
      <c r="BG639" s="89" t="s">
        <v>51</v>
      </c>
      <c r="BH639" s="89" t="s">
        <v>52</v>
      </c>
      <c r="BI639" s="89" t="s">
        <v>53</v>
      </c>
      <c r="BJ639" s="86" t="s">
        <v>54</v>
      </c>
      <c r="BK639" s="123" t="s">
        <v>55</v>
      </c>
      <c r="BL639" s="123" t="s">
        <v>56</v>
      </c>
      <c r="BM639" s="123" t="s">
        <v>57</v>
      </c>
      <c r="BN639" s="123" t="s">
        <v>58</v>
      </c>
      <c r="BO639" s="131" t="s">
        <v>59</v>
      </c>
      <c r="BP639" s="131" t="s">
        <v>60</v>
      </c>
      <c r="BQ639" s="131" t="s">
        <v>61</v>
      </c>
      <c r="BR639" s="131" t="s">
        <v>62</v>
      </c>
      <c r="BS639" s="131" t="s">
        <v>63</v>
      </c>
      <c r="BT639" s="131" t="s">
        <v>64</v>
      </c>
      <c r="BU639" s="131" t="s">
        <v>65</v>
      </c>
      <c r="BV639" s="132" t="s">
        <v>66</v>
      </c>
      <c r="BW639" s="132" t="s">
        <v>67</v>
      </c>
      <c r="BX639" s="132" t="s">
        <v>68</v>
      </c>
      <c r="BY639" s="132" t="s">
        <v>69</v>
      </c>
      <c r="BZ639" s="132" t="s">
        <v>70</v>
      </c>
      <c r="CA639" s="132" t="s">
        <v>71</v>
      </c>
      <c r="CB639" s="132" t="s">
        <v>72</v>
      </c>
      <c r="CC639" s="123" t="s">
        <v>73</v>
      </c>
      <c r="CD639" s="123" t="s">
        <v>74</v>
      </c>
      <c r="CE639" s="123" t="s">
        <v>75</v>
      </c>
      <c r="CF639" s="123" t="s">
        <v>76</v>
      </c>
      <c r="CG639" s="123" t="s">
        <v>77</v>
      </c>
      <c r="CH639" s="123" t="s">
        <v>78</v>
      </c>
      <c r="CI639" s="22" t="s">
        <v>2</v>
      </c>
      <c r="CJ639" s="21" t="s">
        <v>0</v>
      </c>
      <c r="CK639" s="24" t="s">
        <v>79</v>
      </c>
      <c r="CL639"/>
      <c r="CM639"/>
      <c r="CN639"/>
      <c r="CO639"/>
      <c r="CP639"/>
      <c r="CQ639"/>
      <c r="CU639"/>
    </row>
    <row r="640" spans="1:99" x14ac:dyDescent="0.25">
      <c r="A640" s="18" t="s">
        <v>489</v>
      </c>
      <c r="B640" s="19" t="s">
        <v>81</v>
      </c>
      <c r="C640" s="25" t="s">
        <v>82</v>
      </c>
      <c r="D640" s="6">
        <v>4</v>
      </c>
      <c r="E640" s="40" t="s">
        <v>83</v>
      </c>
      <c r="F640" s="6">
        <v>4</v>
      </c>
      <c r="G640" s="162" t="s">
        <v>83</v>
      </c>
      <c r="H640" s="162" t="s">
        <v>83</v>
      </c>
      <c r="I640" s="163">
        <v>0</v>
      </c>
      <c r="J640" s="163">
        <v>0</v>
      </c>
      <c r="K640" s="163">
        <v>0</v>
      </c>
      <c r="L640" s="163">
        <v>1</v>
      </c>
      <c r="M640" s="163">
        <v>3</v>
      </c>
      <c r="N640" s="115">
        <v>7.14285714285714E-3</v>
      </c>
      <c r="O640" s="115">
        <v>7.14285714285714E-3</v>
      </c>
      <c r="P640" s="116" t="s">
        <v>83</v>
      </c>
      <c r="Q640" s="116" t="s">
        <v>83</v>
      </c>
      <c r="R640" s="115">
        <v>0</v>
      </c>
      <c r="S640" s="115">
        <v>0</v>
      </c>
      <c r="T640" s="115">
        <v>0</v>
      </c>
      <c r="U640" s="115">
        <v>8.8495575221238902E-3</v>
      </c>
      <c r="V640" s="115">
        <v>2.7272727272727299E-2</v>
      </c>
      <c r="W640" s="6">
        <v>516</v>
      </c>
      <c r="X640" s="40">
        <f t="shared" ref="X640:X704" si="50">SUM(AN640:AR640)</f>
        <v>516</v>
      </c>
      <c r="Y640" s="40">
        <f t="shared" ref="Y640:Y704" si="51">SUM(AL640:AR640)</f>
        <v>516</v>
      </c>
      <c r="Z640" s="59">
        <v>0.46510000000000001</v>
      </c>
      <c r="AA640" s="59">
        <v>0.53490000000000004</v>
      </c>
      <c r="AB640" s="61">
        <v>3.875968992248062E-3</v>
      </c>
      <c r="AC640" s="61">
        <v>1.937984496124031E-3</v>
      </c>
      <c r="AD640" s="61">
        <v>0.27713178294573643</v>
      </c>
      <c r="AE640" s="61">
        <v>4.2635658914728682E-2</v>
      </c>
      <c r="AF640" s="61">
        <v>0</v>
      </c>
      <c r="AG640" s="61">
        <v>0.64922480620155043</v>
      </c>
      <c r="AH640" s="61">
        <v>2.5193798449612403E-2</v>
      </c>
      <c r="AI640" s="61">
        <v>0.35077519379844962</v>
      </c>
      <c r="AJ640" s="59">
        <v>0.70499999999999996</v>
      </c>
      <c r="AK640" s="59">
        <v>1.1599999999999999E-2</v>
      </c>
      <c r="AL640" s="3">
        <v>0</v>
      </c>
      <c r="AM640" s="3">
        <v>0</v>
      </c>
      <c r="AN640" s="3">
        <v>5</v>
      </c>
      <c r="AO640" s="3">
        <v>179</v>
      </c>
      <c r="AP640" s="3">
        <v>117</v>
      </c>
      <c r="AQ640" s="3">
        <v>111</v>
      </c>
      <c r="AR640" s="3">
        <v>104</v>
      </c>
      <c r="AS640" s="59">
        <v>2.717391304347826E-2</v>
      </c>
      <c r="AT640" s="3">
        <v>9</v>
      </c>
      <c r="AU640" s="3">
        <v>6</v>
      </c>
      <c r="AV640" s="49">
        <v>64.65517241379311</v>
      </c>
      <c r="AW640" s="49">
        <v>31.8965517241379</v>
      </c>
      <c r="AX640" s="49">
        <v>3.4482758620689702</v>
      </c>
      <c r="AY640" s="67">
        <v>0</v>
      </c>
      <c r="AZ640" s="62">
        <v>0.35611510791366907</v>
      </c>
      <c r="BA640" s="62">
        <v>0.2805755395683453</v>
      </c>
      <c r="BB640" s="78">
        <v>89.667055812491597</v>
      </c>
      <c r="BC640" s="49">
        <v>59.352517985611499</v>
      </c>
      <c r="BD640" s="90" t="s">
        <v>83</v>
      </c>
      <c r="BE640" s="90" t="s">
        <v>83</v>
      </c>
      <c r="BF640" s="87">
        <v>12.9</v>
      </c>
      <c r="BG640" s="87">
        <v>8.8000000000000007</v>
      </c>
      <c r="BH640" s="87">
        <v>2.9</v>
      </c>
      <c r="BI640" s="87">
        <v>1</v>
      </c>
      <c r="BJ640" s="49">
        <v>17.8</v>
      </c>
      <c r="BK640" s="126">
        <v>9257</v>
      </c>
      <c r="BL640" s="126">
        <v>46156</v>
      </c>
      <c r="BM640" s="126">
        <v>48524</v>
      </c>
      <c r="BN640" s="126">
        <v>40704</v>
      </c>
      <c r="BO640" s="59">
        <v>0</v>
      </c>
      <c r="BP640" s="59">
        <v>0.54920000000000002</v>
      </c>
      <c r="BQ640" s="59">
        <v>8.0299999999999996E-2</v>
      </c>
      <c r="BR640" s="59">
        <v>0</v>
      </c>
      <c r="BS640" s="59">
        <v>1.9199999999999998E-2</v>
      </c>
      <c r="BT640" s="49">
        <v>12.6</v>
      </c>
      <c r="BU640" s="59">
        <f t="shared" si="46"/>
        <v>0.64870000000000005</v>
      </c>
      <c r="BV640" s="59">
        <v>5.7500000000000002E-2</v>
      </c>
      <c r="BW640" s="59">
        <v>0</v>
      </c>
      <c r="BX640" s="59">
        <v>3.8300000000000001E-2</v>
      </c>
      <c r="BY640" s="59">
        <v>1.9199999999999998E-2</v>
      </c>
      <c r="BZ640" s="59">
        <v>0</v>
      </c>
      <c r="CA640" s="49">
        <v>22.2</v>
      </c>
      <c r="CB640" s="59">
        <f t="shared" si="47"/>
        <v>0.11499999999999999</v>
      </c>
      <c r="CC640" s="59">
        <v>0.22989999999999999</v>
      </c>
      <c r="CD640" s="59">
        <v>0.56840000000000002</v>
      </c>
      <c r="CE640" s="59">
        <v>0.16339999999999999</v>
      </c>
      <c r="CF640" s="59">
        <v>1.9199999999999998E-2</v>
      </c>
      <c r="CG640" s="59">
        <v>1.9199999999999998E-2</v>
      </c>
      <c r="CH640" s="49">
        <v>13.8</v>
      </c>
      <c r="CI640" s="25" t="s">
        <v>82</v>
      </c>
      <c r="CJ640" s="18" t="s">
        <v>489</v>
      </c>
      <c r="CK640" s="20"/>
    </row>
    <row r="641" spans="1:89" x14ac:dyDescent="0.25">
      <c r="A641" s="18" t="s">
        <v>489</v>
      </c>
      <c r="B641" s="19" t="s">
        <v>81</v>
      </c>
      <c r="C641" s="25" t="s">
        <v>84</v>
      </c>
      <c r="D641" s="6">
        <v>6</v>
      </c>
      <c r="E641" s="40" t="s">
        <v>83</v>
      </c>
      <c r="F641" s="6">
        <v>6</v>
      </c>
      <c r="G641" s="162" t="s">
        <v>83</v>
      </c>
      <c r="H641" s="162" t="s">
        <v>83</v>
      </c>
      <c r="I641" s="163">
        <v>1</v>
      </c>
      <c r="J641" s="163">
        <v>1</v>
      </c>
      <c r="K641" s="163">
        <v>0</v>
      </c>
      <c r="L641" s="163">
        <v>0</v>
      </c>
      <c r="M641" s="163">
        <v>4</v>
      </c>
      <c r="N641" s="115">
        <v>8.2530949105914693E-3</v>
      </c>
      <c r="O641" s="115">
        <v>8.2530949105914693E-3</v>
      </c>
      <c r="P641" s="116" t="s">
        <v>83</v>
      </c>
      <c r="Q641" s="116" t="s">
        <v>83</v>
      </c>
      <c r="R641" s="115">
        <v>2.9411764705882401E-2</v>
      </c>
      <c r="S641" s="115">
        <v>4.8543689320388302E-3</v>
      </c>
      <c r="T641" s="115">
        <v>0</v>
      </c>
      <c r="U641" s="115">
        <v>0</v>
      </c>
      <c r="V641" s="115">
        <v>2.8985507246376802E-2</v>
      </c>
      <c r="W641" s="6">
        <v>655</v>
      </c>
      <c r="X641" s="40">
        <f t="shared" si="50"/>
        <v>655</v>
      </c>
      <c r="Y641" s="40">
        <f t="shared" si="51"/>
        <v>655</v>
      </c>
      <c r="Z641" s="59">
        <v>0.53590000000000004</v>
      </c>
      <c r="AA641" s="59">
        <v>0.46410000000000001</v>
      </c>
      <c r="AB641" s="61">
        <v>3.0534351145038168E-3</v>
      </c>
      <c r="AC641" s="61">
        <v>1.5267175572519084E-3</v>
      </c>
      <c r="AD641" s="61">
        <v>0.42748091603053434</v>
      </c>
      <c r="AE641" s="61">
        <v>1.8320610687022901E-2</v>
      </c>
      <c r="AF641" s="61">
        <v>0</v>
      </c>
      <c r="AG641" s="61">
        <v>0.52977099236641223</v>
      </c>
      <c r="AH641" s="61">
        <v>1.984732824427481E-2</v>
      </c>
      <c r="AI641" s="61">
        <v>0.47022900763358777</v>
      </c>
      <c r="AJ641" s="59">
        <v>0.81200000000000006</v>
      </c>
      <c r="AK641" s="59">
        <v>7.6E-3</v>
      </c>
      <c r="AL641" s="3">
        <v>0</v>
      </c>
      <c r="AM641" s="3">
        <v>0</v>
      </c>
      <c r="AN641" s="3">
        <v>27</v>
      </c>
      <c r="AO641" s="3">
        <v>185</v>
      </c>
      <c r="AP641" s="3">
        <v>158</v>
      </c>
      <c r="AQ641" s="3">
        <v>157</v>
      </c>
      <c r="AR641" s="3">
        <v>128</v>
      </c>
      <c r="AS641" s="59">
        <v>0.12735849056603774</v>
      </c>
      <c r="AT641" s="3">
        <v>9</v>
      </c>
      <c r="AU641" s="3">
        <v>6</v>
      </c>
      <c r="AV641" s="49">
        <v>65.846153846153797</v>
      </c>
      <c r="AW641" s="49">
        <v>18.769230769230798</v>
      </c>
      <c r="AX641" s="49">
        <v>14.461538461538501</v>
      </c>
      <c r="AY641" s="67">
        <v>0.92307692307692302</v>
      </c>
      <c r="AZ641" s="62">
        <v>0.29972375690607733</v>
      </c>
      <c r="BA641" s="62">
        <v>0.26657458563535913</v>
      </c>
      <c r="BB641" s="77">
        <v>88.859549405204106</v>
      </c>
      <c r="BC641" s="49">
        <v>54.309165526675798</v>
      </c>
      <c r="BD641" s="90" t="s">
        <v>83</v>
      </c>
      <c r="BE641" s="90" t="s">
        <v>83</v>
      </c>
      <c r="BF641" s="87">
        <v>6.8</v>
      </c>
      <c r="BG641" s="87">
        <v>2.6</v>
      </c>
      <c r="BH641" s="87">
        <v>1.3</v>
      </c>
      <c r="BI641" s="87">
        <v>6.2</v>
      </c>
      <c r="BJ641" s="49">
        <v>17.899999999999999</v>
      </c>
      <c r="BK641" s="126">
        <v>10578</v>
      </c>
      <c r="BL641" s="126">
        <v>45308</v>
      </c>
      <c r="BM641" s="126">
        <v>46875</v>
      </c>
      <c r="BN641" s="126">
        <v>35543</v>
      </c>
      <c r="BO641" s="59">
        <v>0</v>
      </c>
      <c r="BP641" s="59">
        <v>0.36330000000000001</v>
      </c>
      <c r="BQ641" s="59">
        <v>0.17119999999999999</v>
      </c>
      <c r="BR641" s="59">
        <v>0</v>
      </c>
      <c r="BS641" s="59">
        <v>1.17E-2</v>
      </c>
      <c r="BT641" s="49">
        <v>12.7</v>
      </c>
      <c r="BU641" s="59">
        <f t="shared" si="46"/>
        <v>0.54620000000000002</v>
      </c>
      <c r="BV641" s="59">
        <v>2.9100000000000001E-2</v>
      </c>
      <c r="BW641" s="59">
        <v>2.3400000000000001E-2</v>
      </c>
      <c r="BX641" s="59">
        <v>3.5099999999999999E-2</v>
      </c>
      <c r="BY641" s="59">
        <v>1.17E-2</v>
      </c>
      <c r="BZ641" s="59">
        <v>0</v>
      </c>
      <c r="CA641" s="49">
        <v>18.899999999999999</v>
      </c>
      <c r="CB641" s="59">
        <f t="shared" si="47"/>
        <v>9.9300000000000013E-2</v>
      </c>
      <c r="CC641" s="59">
        <v>0.3085</v>
      </c>
      <c r="CD641" s="59">
        <v>0.42170000000000002</v>
      </c>
      <c r="CE641" s="59">
        <v>0.23480000000000001</v>
      </c>
      <c r="CF641" s="59">
        <v>1.17E-2</v>
      </c>
      <c r="CG641" s="59">
        <v>2.3400000000000001E-2</v>
      </c>
      <c r="CH641" s="49">
        <v>12.8</v>
      </c>
      <c r="CI641" s="25" t="s">
        <v>84</v>
      </c>
      <c r="CJ641" s="18" t="s">
        <v>489</v>
      </c>
      <c r="CK641" s="20"/>
    </row>
    <row r="642" spans="1:89" x14ac:dyDescent="0.25">
      <c r="A642" s="18" t="s">
        <v>489</v>
      </c>
      <c r="B642" s="19" t="s">
        <v>81</v>
      </c>
      <c r="C642" s="25" t="s">
        <v>85</v>
      </c>
      <c r="D642" s="6">
        <v>0</v>
      </c>
      <c r="E642" s="6">
        <v>0</v>
      </c>
      <c r="F642" s="6">
        <v>0</v>
      </c>
      <c r="G642" s="162" t="s">
        <v>83</v>
      </c>
      <c r="H642" s="163">
        <v>0</v>
      </c>
      <c r="I642" s="163">
        <v>0</v>
      </c>
      <c r="J642" s="163">
        <v>0</v>
      </c>
      <c r="K642" s="163">
        <v>0</v>
      </c>
      <c r="L642" s="163">
        <v>0</v>
      </c>
      <c r="M642" s="163">
        <v>0</v>
      </c>
      <c r="N642" s="115">
        <v>0</v>
      </c>
      <c r="O642" s="115">
        <v>0</v>
      </c>
      <c r="P642" s="116" t="s">
        <v>83</v>
      </c>
      <c r="Q642" s="115">
        <v>0</v>
      </c>
      <c r="R642" s="115">
        <v>0</v>
      </c>
      <c r="S642" s="115">
        <v>0</v>
      </c>
      <c r="T642" s="115">
        <v>0</v>
      </c>
      <c r="U642" s="115">
        <v>0</v>
      </c>
      <c r="V642" s="115">
        <v>0</v>
      </c>
      <c r="W642" s="6">
        <v>270</v>
      </c>
      <c r="X642" s="40">
        <f t="shared" si="50"/>
        <v>217</v>
      </c>
      <c r="Y642" s="40">
        <f t="shared" si="51"/>
        <v>270</v>
      </c>
      <c r="Z642" s="59">
        <v>0.51480000000000004</v>
      </c>
      <c r="AA642" s="59">
        <v>0.48520000000000002</v>
      </c>
      <c r="AB642" s="61">
        <v>0</v>
      </c>
      <c r="AC642" s="61">
        <v>0</v>
      </c>
      <c r="AD642" s="61">
        <v>4.8148148148148148E-2</v>
      </c>
      <c r="AE642" s="61">
        <v>1.1111111111111112E-2</v>
      </c>
      <c r="AF642" s="61">
        <v>0</v>
      </c>
      <c r="AG642" s="61">
        <v>0.92222222222222228</v>
      </c>
      <c r="AH642" s="61">
        <v>1.8518518518518517E-2</v>
      </c>
      <c r="AI642" s="61">
        <v>7.7777777777777779E-2</v>
      </c>
      <c r="AJ642" s="59">
        <v>0.67800000000000005</v>
      </c>
      <c r="AK642" s="59">
        <v>0</v>
      </c>
      <c r="AL642" s="3">
        <v>0</v>
      </c>
      <c r="AM642" s="3">
        <v>53</v>
      </c>
      <c r="AN642" s="3">
        <v>1</v>
      </c>
      <c r="AO642" s="3">
        <v>58</v>
      </c>
      <c r="AP642" s="3">
        <v>59</v>
      </c>
      <c r="AQ642" s="3">
        <v>56</v>
      </c>
      <c r="AR642" s="3">
        <v>43</v>
      </c>
      <c r="AS642" s="59">
        <v>1.6949152542372881E-2</v>
      </c>
      <c r="AT642" s="3">
        <v>8</v>
      </c>
      <c r="AU642" s="3">
        <v>6</v>
      </c>
      <c r="AV642" s="49">
        <v>87.570621468926603</v>
      </c>
      <c r="AW642" s="49">
        <v>12.4293785310734</v>
      </c>
      <c r="AX642" s="49">
        <v>0</v>
      </c>
      <c r="AY642" s="67">
        <v>0</v>
      </c>
      <c r="AZ642" s="62">
        <v>0</v>
      </c>
      <c r="BA642" s="62">
        <v>7.6388888888888895E-2</v>
      </c>
      <c r="BB642" s="78">
        <v>92.851637285859894</v>
      </c>
      <c r="BC642" s="49">
        <v>27.335640138408301</v>
      </c>
      <c r="BD642" s="90" t="s">
        <v>83</v>
      </c>
      <c r="BE642" s="87">
        <v>2</v>
      </c>
      <c r="BF642" s="87">
        <v>0</v>
      </c>
      <c r="BG642" s="87">
        <v>3.6</v>
      </c>
      <c r="BH642" s="87">
        <v>0</v>
      </c>
      <c r="BI642" s="87">
        <v>0</v>
      </c>
      <c r="BJ642" s="49">
        <v>21.3</v>
      </c>
      <c r="BK642" s="126">
        <v>11310</v>
      </c>
      <c r="BL642" s="126">
        <v>43321</v>
      </c>
      <c r="BM642" s="126">
        <v>40102</v>
      </c>
      <c r="BN642" s="126">
        <v>32358</v>
      </c>
      <c r="BO642" s="59">
        <v>0</v>
      </c>
      <c r="BP642" s="59">
        <v>0.39660000000000001</v>
      </c>
      <c r="BQ642" s="59">
        <v>4.5699999999999998E-2</v>
      </c>
      <c r="BR642" s="59">
        <v>0</v>
      </c>
      <c r="BS642" s="59">
        <v>0</v>
      </c>
      <c r="BT642" s="49">
        <v>7.4</v>
      </c>
      <c r="BU642" s="59">
        <f t="shared" si="46"/>
        <v>0.44230000000000003</v>
      </c>
      <c r="BV642" s="59">
        <v>4.4299999999999999E-2</v>
      </c>
      <c r="BW642" s="59">
        <v>2.2100000000000002E-2</v>
      </c>
      <c r="BX642" s="59">
        <v>2.2100000000000002E-2</v>
      </c>
      <c r="BY642" s="59">
        <v>0</v>
      </c>
      <c r="BZ642" s="59">
        <v>0</v>
      </c>
      <c r="CA642" s="49">
        <v>17.5</v>
      </c>
      <c r="CB642" s="59">
        <f t="shared" si="47"/>
        <v>8.8499999999999995E-2</v>
      </c>
      <c r="CC642" s="59">
        <v>0.44269999999999998</v>
      </c>
      <c r="CD642" s="59">
        <v>0.44529999999999997</v>
      </c>
      <c r="CE642" s="59">
        <v>8.9899999999999994E-2</v>
      </c>
      <c r="CF642" s="59">
        <v>2.2100000000000002E-2</v>
      </c>
      <c r="CG642" s="59">
        <v>0</v>
      </c>
      <c r="CH642" s="49">
        <v>11.5</v>
      </c>
      <c r="CI642" s="25" t="s">
        <v>85</v>
      </c>
      <c r="CJ642" s="18" t="s">
        <v>489</v>
      </c>
      <c r="CK642" s="20"/>
    </row>
    <row r="643" spans="1:89" x14ac:dyDescent="0.25">
      <c r="A643" s="18" t="s">
        <v>489</v>
      </c>
      <c r="B643" s="19" t="s">
        <v>81</v>
      </c>
      <c r="C643" s="25" t="s">
        <v>86</v>
      </c>
      <c r="D643" s="6">
        <v>10</v>
      </c>
      <c r="E643" s="40" t="s">
        <v>83</v>
      </c>
      <c r="F643" s="6">
        <v>10</v>
      </c>
      <c r="G643" s="162" t="s">
        <v>83</v>
      </c>
      <c r="H643" s="162" t="s">
        <v>83</v>
      </c>
      <c r="I643" s="163">
        <v>1</v>
      </c>
      <c r="J643" s="163">
        <v>3</v>
      </c>
      <c r="K643" s="163">
        <v>0</v>
      </c>
      <c r="L643" s="163">
        <v>2</v>
      </c>
      <c r="M643" s="163">
        <v>4</v>
      </c>
      <c r="N643" s="115">
        <v>1.2755102040816301E-2</v>
      </c>
      <c r="O643" s="115">
        <v>1.2755102040816301E-2</v>
      </c>
      <c r="P643" s="116" t="s">
        <v>83</v>
      </c>
      <c r="Q643" s="116" t="s">
        <v>83</v>
      </c>
      <c r="R643" s="115">
        <v>5.8823529411764698E-2</v>
      </c>
      <c r="S643" s="115">
        <v>1.1764705882352899E-2</v>
      </c>
      <c r="T643" s="115">
        <v>0</v>
      </c>
      <c r="U643" s="115">
        <v>1.21212121212121E-2</v>
      </c>
      <c r="V643" s="115">
        <v>2.5641025641025599E-2</v>
      </c>
      <c r="W643" s="6">
        <v>715</v>
      </c>
      <c r="X643" s="40">
        <f t="shared" si="50"/>
        <v>715</v>
      </c>
      <c r="Y643" s="40">
        <f t="shared" si="51"/>
        <v>715</v>
      </c>
      <c r="Z643" s="59">
        <v>0.5161</v>
      </c>
      <c r="AA643" s="59">
        <v>0.4839</v>
      </c>
      <c r="AB643" s="61">
        <v>1.3986013986013986E-3</v>
      </c>
      <c r="AC643" s="61">
        <v>0</v>
      </c>
      <c r="AD643" s="61">
        <v>0.3020979020979021</v>
      </c>
      <c r="AE643" s="61">
        <v>1.1188811188811189E-2</v>
      </c>
      <c r="AF643" s="61">
        <v>0</v>
      </c>
      <c r="AG643" s="61">
        <v>0.67132867132867136</v>
      </c>
      <c r="AH643" s="61">
        <v>1.3986013986013986E-2</v>
      </c>
      <c r="AI643" s="61">
        <v>0.32867132867132864</v>
      </c>
      <c r="AJ643" s="59">
        <v>0.754</v>
      </c>
      <c r="AK643" s="59">
        <v>4.1999999999999997E-3</v>
      </c>
      <c r="AL643" s="3">
        <v>0</v>
      </c>
      <c r="AM643" s="3">
        <v>0</v>
      </c>
      <c r="AN643" s="3">
        <v>13</v>
      </c>
      <c r="AO643" s="3">
        <v>229</v>
      </c>
      <c r="AP643" s="3">
        <v>173</v>
      </c>
      <c r="AQ643" s="3">
        <v>154</v>
      </c>
      <c r="AR643" s="3">
        <v>146</v>
      </c>
      <c r="AS643" s="59">
        <v>5.3719008264462811E-2</v>
      </c>
      <c r="AT643" s="3">
        <v>9</v>
      </c>
      <c r="AU643" s="3">
        <v>6</v>
      </c>
      <c r="AV643" s="49">
        <v>73.913043478260903</v>
      </c>
      <c r="AW643" s="49">
        <v>21.936758893280601</v>
      </c>
      <c r="AX643" s="49">
        <v>3.9525691699604701</v>
      </c>
      <c r="AY643" s="67">
        <v>0.19762845849802402</v>
      </c>
      <c r="AZ643" s="62">
        <v>0.46907216494845361</v>
      </c>
      <c r="BA643" s="62">
        <v>0.25773195876288657</v>
      </c>
      <c r="BB643" s="77">
        <v>91.773999585320297</v>
      </c>
      <c r="BC643" s="49">
        <v>39.617834394904499</v>
      </c>
      <c r="BD643" s="90" t="s">
        <v>83</v>
      </c>
      <c r="BE643" s="90" t="s">
        <v>83</v>
      </c>
      <c r="BF643" s="87">
        <v>15.4</v>
      </c>
      <c r="BG643" s="87">
        <v>6.4</v>
      </c>
      <c r="BH643" s="87">
        <v>1.4</v>
      </c>
      <c r="BI643" s="87">
        <v>4</v>
      </c>
      <c r="BJ643" s="49">
        <v>17.7</v>
      </c>
      <c r="BK643" s="126">
        <v>8995</v>
      </c>
      <c r="BL643" s="126">
        <v>46202</v>
      </c>
      <c r="BM643" s="126">
        <v>42418</v>
      </c>
      <c r="BN643" s="126">
        <v>38147</v>
      </c>
      <c r="BO643" s="59">
        <v>0</v>
      </c>
      <c r="BP643" s="59">
        <v>0.4778</v>
      </c>
      <c r="BQ643" s="59">
        <v>0.1537</v>
      </c>
      <c r="BR643" s="59">
        <v>0</v>
      </c>
      <c r="BS643" s="59">
        <v>0</v>
      </c>
      <c r="BT643" s="49">
        <v>11.9</v>
      </c>
      <c r="BU643" s="59">
        <f t="shared" ref="BU643:BU706" si="52">SUM(BO643:BS643)</f>
        <v>0.63149999999999995</v>
      </c>
      <c r="BV643" s="59">
        <v>4.1500000000000002E-2</v>
      </c>
      <c r="BW643" s="59">
        <v>1.38E-2</v>
      </c>
      <c r="BX643" s="59">
        <v>2.76E-2</v>
      </c>
      <c r="BY643" s="59">
        <v>0</v>
      </c>
      <c r="BZ643" s="59">
        <v>0</v>
      </c>
      <c r="CA643" s="49">
        <v>12.7</v>
      </c>
      <c r="CB643" s="59">
        <f t="shared" ref="CB643:CB706" si="53">SUM(BV643:BZ643)</f>
        <v>8.2900000000000001E-2</v>
      </c>
      <c r="CC643" s="59">
        <v>0.27639999999999998</v>
      </c>
      <c r="CD643" s="59">
        <v>0.51</v>
      </c>
      <c r="CE643" s="59">
        <v>0.21360000000000001</v>
      </c>
      <c r="CF643" s="59">
        <v>0</v>
      </c>
      <c r="CG643" s="59">
        <v>0</v>
      </c>
      <c r="CH643" s="49">
        <v>12.4</v>
      </c>
      <c r="CI643" s="25" t="s">
        <v>86</v>
      </c>
      <c r="CJ643" s="18" t="s">
        <v>489</v>
      </c>
      <c r="CK643" s="20"/>
    </row>
    <row r="644" spans="1:89" x14ac:dyDescent="0.25">
      <c r="A644" s="18" t="s">
        <v>489</v>
      </c>
      <c r="B644" s="19" t="s">
        <v>81</v>
      </c>
      <c r="C644" s="25" t="s">
        <v>87</v>
      </c>
      <c r="D644" s="6">
        <v>4</v>
      </c>
      <c r="E644" s="40" t="s">
        <v>83</v>
      </c>
      <c r="F644" s="6">
        <v>4</v>
      </c>
      <c r="G644" s="162" t="s">
        <v>83</v>
      </c>
      <c r="H644" s="162" t="s">
        <v>83</v>
      </c>
      <c r="I644" s="163">
        <v>0</v>
      </c>
      <c r="J644" s="163">
        <v>1</v>
      </c>
      <c r="K644" s="163">
        <v>1</v>
      </c>
      <c r="L644" s="163">
        <v>2</v>
      </c>
      <c r="M644" s="163">
        <v>0</v>
      </c>
      <c r="N644" s="115">
        <v>6.8143100511073298E-3</v>
      </c>
      <c r="O644" s="115">
        <v>6.8143100511073298E-3</v>
      </c>
      <c r="P644" s="116" t="s">
        <v>83</v>
      </c>
      <c r="Q644" s="116" t="s">
        <v>83</v>
      </c>
      <c r="R644" s="115">
        <v>0</v>
      </c>
      <c r="S644" s="115">
        <v>6.2500000000000003E-3</v>
      </c>
      <c r="T644" s="115">
        <v>6.7567567567567597E-3</v>
      </c>
      <c r="U644" s="115">
        <v>1.25786163522013E-2</v>
      </c>
      <c r="V644" s="115">
        <v>0</v>
      </c>
      <c r="W644" s="6">
        <v>546</v>
      </c>
      <c r="X644" s="40">
        <f t="shared" si="50"/>
        <v>546</v>
      </c>
      <c r="Y644" s="40">
        <f t="shared" si="51"/>
        <v>546</v>
      </c>
      <c r="Z644" s="59">
        <v>0.47070000000000001</v>
      </c>
      <c r="AA644" s="59">
        <v>0.52929999999999999</v>
      </c>
      <c r="AB644" s="61">
        <v>5.4945054945054949E-3</v>
      </c>
      <c r="AC644" s="61">
        <v>5.4945054945054949E-3</v>
      </c>
      <c r="AD644" s="61">
        <v>2.564102564102564E-2</v>
      </c>
      <c r="AE644" s="61">
        <v>9.1575091575091579E-3</v>
      </c>
      <c r="AF644" s="61">
        <v>0</v>
      </c>
      <c r="AG644" s="61">
        <v>0.9358974358974359</v>
      </c>
      <c r="AH644" s="61">
        <v>1.8315018315018316E-2</v>
      </c>
      <c r="AI644" s="61">
        <v>6.4102564102564097E-2</v>
      </c>
      <c r="AJ644" s="59">
        <v>0.53300000000000003</v>
      </c>
      <c r="AK644" s="59">
        <v>3.7000000000000002E-3</v>
      </c>
      <c r="AL644" s="3">
        <v>0</v>
      </c>
      <c r="AM644" s="3">
        <v>0</v>
      </c>
      <c r="AN644" s="3">
        <v>1</v>
      </c>
      <c r="AO644" s="3">
        <v>146</v>
      </c>
      <c r="AP644" s="3">
        <v>132</v>
      </c>
      <c r="AQ644" s="3">
        <v>152</v>
      </c>
      <c r="AR644" s="3">
        <v>115</v>
      </c>
      <c r="AS644" s="59">
        <v>6.8027210884353739E-3</v>
      </c>
      <c r="AT644" s="3">
        <v>9</v>
      </c>
      <c r="AU644" s="3">
        <v>6</v>
      </c>
      <c r="AV644" s="49">
        <v>60.481099656357394</v>
      </c>
      <c r="AW644" s="49">
        <v>19.587628865979401</v>
      </c>
      <c r="AX644" s="49">
        <v>18.900343642611698</v>
      </c>
      <c r="AY644" s="67">
        <v>1.0309278350515501</v>
      </c>
      <c r="AZ644" s="62">
        <v>0</v>
      </c>
      <c r="BA644" s="62">
        <v>8.7030716723549492E-2</v>
      </c>
      <c r="BB644" s="78">
        <v>90.967310265723597</v>
      </c>
      <c r="BC644" s="49">
        <v>60.575296108290999</v>
      </c>
      <c r="BD644" s="90" t="s">
        <v>83</v>
      </c>
      <c r="BE644" s="90" t="s">
        <v>83</v>
      </c>
      <c r="BF644" s="87">
        <v>7.2</v>
      </c>
      <c r="BG644" s="87">
        <v>1.5</v>
      </c>
      <c r="BH644" s="87">
        <v>0</v>
      </c>
      <c r="BI644" s="87">
        <v>0.8</v>
      </c>
      <c r="BJ644" s="49">
        <v>19.7</v>
      </c>
      <c r="BK644" s="126">
        <v>8343</v>
      </c>
      <c r="BL644" s="126">
        <v>47487</v>
      </c>
      <c r="BM644" s="126">
        <v>44815</v>
      </c>
      <c r="BN644" s="126">
        <v>36495</v>
      </c>
      <c r="BO644" s="59">
        <v>0</v>
      </c>
      <c r="BP644" s="59">
        <v>0.38059999999999999</v>
      </c>
      <c r="BQ644" s="59">
        <v>0.1411</v>
      </c>
      <c r="BR644" s="59">
        <v>0</v>
      </c>
      <c r="BS644" s="59">
        <v>0</v>
      </c>
      <c r="BT644" s="49">
        <v>15</v>
      </c>
      <c r="BU644" s="59">
        <f t="shared" si="52"/>
        <v>0.52170000000000005</v>
      </c>
      <c r="BV644" s="59">
        <v>3.7699999999999997E-2</v>
      </c>
      <c r="BW644" s="59">
        <v>0</v>
      </c>
      <c r="BX644" s="59">
        <v>3.7699999999999997E-2</v>
      </c>
      <c r="BY644" s="59">
        <v>0</v>
      </c>
      <c r="BZ644" s="59">
        <v>0</v>
      </c>
      <c r="CA644" s="49">
        <v>21.3</v>
      </c>
      <c r="CB644" s="59">
        <f t="shared" si="53"/>
        <v>7.5399999999999995E-2</v>
      </c>
      <c r="CC644" s="59">
        <v>0.35499999999999998</v>
      </c>
      <c r="CD644" s="59">
        <v>0.40579999999999999</v>
      </c>
      <c r="CE644" s="59">
        <v>0.23930000000000001</v>
      </c>
      <c r="CF644" s="59">
        <v>0</v>
      </c>
      <c r="CG644" s="59">
        <v>0</v>
      </c>
      <c r="CH644" s="49">
        <v>15</v>
      </c>
      <c r="CI644" s="25" t="s">
        <v>87</v>
      </c>
      <c r="CJ644" s="18" t="s">
        <v>489</v>
      </c>
      <c r="CK644" s="20"/>
    </row>
    <row r="645" spans="1:89" x14ac:dyDescent="0.25">
      <c r="A645" s="18" t="s">
        <v>489</v>
      </c>
      <c r="B645" s="19" t="s">
        <v>88</v>
      </c>
      <c r="C645" s="25" t="s">
        <v>89</v>
      </c>
      <c r="D645" s="6">
        <v>1</v>
      </c>
      <c r="E645" s="6">
        <v>0</v>
      </c>
      <c r="F645" s="6">
        <v>1</v>
      </c>
      <c r="G645" s="163">
        <v>0</v>
      </c>
      <c r="H645" s="163">
        <v>0</v>
      </c>
      <c r="I645" s="162" t="s">
        <v>83</v>
      </c>
      <c r="J645" s="163">
        <v>1</v>
      </c>
      <c r="K645" s="163">
        <v>0</v>
      </c>
      <c r="L645" s="163">
        <v>0</v>
      </c>
      <c r="M645" s="163">
        <v>0</v>
      </c>
      <c r="N645" s="115">
        <v>5.6497175141242903E-3</v>
      </c>
      <c r="O645" s="115">
        <v>9.0909090909090905E-3</v>
      </c>
      <c r="P645" s="115">
        <v>0</v>
      </c>
      <c r="Q645" s="115">
        <v>0</v>
      </c>
      <c r="R645" s="116" t="s">
        <v>83</v>
      </c>
      <c r="S645" s="115">
        <v>3.03030303030303E-2</v>
      </c>
      <c r="T645" s="115">
        <v>0</v>
      </c>
      <c r="U645" s="115">
        <v>0</v>
      </c>
      <c r="V645" s="115">
        <v>0</v>
      </c>
      <c r="W645" s="6">
        <v>415</v>
      </c>
      <c r="X645" s="40">
        <f t="shared" si="50"/>
        <v>106</v>
      </c>
      <c r="Y645" s="40">
        <f t="shared" si="51"/>
        <v>168</v>
      </c>
      <c r="Z645" s="59">
        <v>0.49880000000000002</v>
      </c>
      <c r="AA645" s="59">
        <v>0.50119999999999998</v>
      </c>
      <c r="AB645" s="61">
        <v>9.6385542168674707E-3</v>
      </c>
      <c r="AC645" s="61">
        <v>7.2289156626506026E-3</v>
      </c>
      <c r="AD645" s="61">
        <v>1.4457831325301205E-2</v>
      </c>
      <c r="AE645" s="61">
        <v>1.9277108433734941E-2</v>
      </c>
      <c r="AF645" s="61">
        <v>0</v>
      </c>
      <c r="AG645" s="61">
        <v>0.94216867469879517</v>
      </c>
      <c r="AH645" s="61">
        <v>7.2289156626506026E-3</v>
      </c>
      <c r="AI645" s="61">
        <v>5.7831325301204821E-2</v>
      </c>
      <c r="AJ645" s="59">
        <v>0.55700000000000005</v>
      </c>
      <c r="AK645" s="59">
        <v>0</v>
      </c>
      <c r="AL645" s="3">
        <v>25</v>
      </c>
      <c r="AM645" s="3">
        <v>37</v>
      </c>
      <c r="AN645" s="3">
        <v>0</v>
      </c>
      <c r="AO645" s="3">
        <v>32</v>
      </c>
      <c r="AP645" s="3">
        <v>23</v>
      </c>
      <c r="AQ645" s="3">
        <v>28</v>
      </c>
      <c r="AR645" s="3">
        <v>23</v>
      </c>
      <c r="AS645" s="59">
        <v>0</v>
      </c>
      <c r="AT645" s="3">
        <v>1</v>
      </c>
      <c r="AU645" s="3">
        <v>6</v>
      </c>
      <c r="AV645" s="49">
        <v>81.818181818181799</v>
      </c>
      <c r="AW645" s="49">
        <v>12.5</v>
      </c>
      <c r="AX645" s="49">
        <v>2.8409090909090899</v>
      </c>
      <c r="AY645" s="67">
        <v>2.8409090909090899</v>
      </c>
      <c r="AZ645" s="62">
        <v>1.5590200445434299E-2</v>
      </c>
      <c r="BA645" s="62">
        <v>4.4543429844097994E-3</v>
      </c>
      <c r="BB645" s="78">
        <v>94.116970615292999</v>
      </c>
      <c r="BC645" s="49">
        <v>61.342592592592602</v>
      </c>
      <c r="BD645" s="87">
        <v>7.7</v>
      </c>
      <c r="BE645" s="87">
        <v>10.3</v>
      </c>
      <c r="BF645" s="87">
        <v>3.2</v>
      </c>
      <c r="BG645" s="87">
        <v>0</v>
      </c>
      <c r="BH645" s="87">
        <v>0</v>
      </c>
      <c r="BI645" s="87">
        <v>0</v>
      </c>
      <c r="BJ645" s="49">
        <v>20.9</v>
      </c>
      <c r="BK645" s="126">
        <v>9647</v>
      </c>
      <c r="BL645" s="126">
        <v>48096</v>
      </c>
      <c r="BM645" s="126">
        <v>52556</v>
      </c>
      <c r="BN645" s="126">
        <v>40737</v>
      </c>
      <c r="BO645" s="59">
        <v>0</v>
      </c>
      <c r="BP645" s="59">
        <v>0.46029999999999999</v>
      </c>
      <c r="BQ645" s="59">
        <v>0.14649999999999999</v>
      </c>
      <c r="BR645" s="59">
        <v>0</v>
      </c>
      <c r="BS645" s="59">
        <v>0</v>
      </c>
      <c r="BT645" s="49">
        <v>13.3</v>
      </c>
      <c r="BU645" s="59">
        <f t="shared" si="52"/>
        <v>0.60680000000000001</v>
      </c>
      <c r="BV645" s="59">
        <v>2.0899999999999998E-2</v>
      </c>
      <c r="BW645" s="59">
        <v>0</v>
      </c>
      <c r="BX645" s="59">
        <v>2.0899999999999998E-2</v>
      </c>
      <c r="BY645" s="59">
        <v>2.0899999999999998E-2</v>
      </c>
      <c r="BZ645" s="59">
        <v>0</v>
      </c>
      <c r="CA645" s="49">
        <v>18.3</v>
      </c>
      <c r="CB645" s="59">
        <f t="shared" si="53"/>
        <v>6.2699999999999992E-2</v>
      </c>
      <c r="CC645" s="59">
        <v>0.27950000000000003</v>
      </c>
      <c r="CD645" s="59">
        <v>0.50219999999999998</v>
      </c>
      <c r="CE645" s="59">
        <v>0.1883</v>
      </c>
      <c r="CF645" s="59">
        <v>0.03</v>
      </c>
      <c r="CG645" s="59">
        <v>0</v>
      </c>
      <c r="CH645" s="49">
        <v>13</v>
      </c>
      <c r="CI645" s="25" t="s">
        <v>89</v>
      </c>
      <c r="CJ645" s="18" t="s">
        <v>489</v>
      </c>
      <c r="CK645" s="20"/>
    </row>
    <row r="646" spans="1:89" x14ac:dyDescent="0.25">
      <c r="A646" s="18" t="s">
        <v>489</v>
      </c>
      <c r="B646" s="19" t="s">
        <v>88</v>
      </c>
      <c r="C646" s="25" t="s">
        <v>90</v>
      </c>
      <c r="D646" s="6">
        <v>0</v>
      </c>
      <c r="E646" s="6">
        <v>0</v>
      </c>
      <c r="F646" s="6">
        <v>0</v>
      </c>
      <c r="G646" s="163">
        <v>0</v>
      </c>
      <c r="H646" s="163">
        <v>0</v>
      </c>
      <c r="I646" s="162" t="s">
        <v>83</v>
      </c>
      <c r="J646" s="163">
        <v>0</v>
      </c>
      <c r="K646" s="163">
        <v>0</v>
      </c>
      <c r="L646" s="163">
        <v>0</v>
      </c>
      <c r="M646" s="163">
        <v>0</v>
      </c>
      <c r="N646" s="115">
        <v>0</v>
      </c>
      <c r="O646" s="115">
        <v>0</v>
      </c>
      <c r="P646" s="115">
        <v>0</v>
      </c>
      <c r="Q646" s="115">
        <v>0</v>
      </c>
      <c r="R646" s="116" t="s">
        <v>83</v>
      </c>
      <c r="S646" s="115">
        <v>0</v>
      </c>
      <c r="T646" s="115">
        <v>0</v>
      </c>
      <c r="U646" s="115">
        <v>0</v>
      </c>
      <c r="V646" s="115">
        <v>0</v>
      </c>
      <c r="W646" s="6">
        <v>414</v>
      </c>
      <c r="X646" s="40">
        <f t="shared" si="50"/>
        <v>114</v>
      </c>
      <c r="Y646" s="40">
        <f t="shared" si="51"/>
        <v>165</v>
      </c>
      <c r="Z646" s="59">
        <v>0.55800000000000005</v>
      </c>
      <c r="AA646" s="59">
        <v>0.442</v>
      </c>
      <c r="AB646" s="61">
        <v>2.4154589371980675E-3</v>
      </c>
      <c r="AC646" s="61">
        <v>1.932367149758454E-2</v>
      </c>
      <c r="AD646" s="61">
        <v>0</v>
      </c>
      <c r="AE646" s="61">
        <v>4.830917874396135E-3</v>
      </c>
      <c r="AF646" s="61">
        <v>2.4154589371980675E-3</v>
      </c>
      <c r="AG646" s="61">
        <v>0.96859903381642509</v>
      </c>
      <c r="AH646" s="61">
        <v>2.4154589371980675E-3</v>
      </c>
      <c r="AI646" s="61">
        <v>3.140096618357488E-2</v>
      </c>
      <c r="AJ646" s="59">
        <v>0.58499999999999996</v>
      </c>
      <c r="AK646" s="59">
        <v>2.3999999999999998E-3</v>
      </c>
      <c r="AL646" s="3">
        <v>21</v>
      </c>
      <c r="AM646" s="3">
        <v>30</v>
      </c>
      <c r="AN646" s="3">
        <v>0</v>
      </c>
      <c r="AO646" s="3">
        <v>26</v>
      </c>
      <c r="AP646" s="3">
        <v>27</v>
      </c>
      <c r="AQ646" s="3">
        <v>34</v>
      </c>
      <c r="AR646" s="3">
        <v>27</v>
      </c>
      <c r="AS646" s="59">
        <v>0</v>
      </c>
      <c r="AT646" s="3">
        <v>1</v>
      </c>
      <c r="AU646" s="3">
        <v>6</v>
      </c>
      <c r="AV646" s="49">
        <v>87.564766839378208</v>
      </c>
      <c r="AW646" s="49">
        <v>9.3264248704663189</v>
      </c>
      <c r="AX646" s="49">
        <v>3.1088082901554399</v>
      </c>
      <c r="AY646" s="67">
        <v>0</v>
      </c>
      <c r="AZ646" s="62">
        <v>0</v>
      </c>
      <c r="BA646" s="62">
        <v>1.1441647597254004E-2</v>
      </c>
      <c r="BB646" s="77">
        <v>93.797889755547303</v>
      </c>
      <c r="BC646" s="49">
        <v>65.384615384615401</v>
      </c>
      <c r="BD646" s="87">
        <v>0</v>
      </c>
      <c r="BE646" s="87">
        <v>0</v>
      </c>
      <c r="BF646" s="87">
        <v>7.1</v>
      </c>
      <c r="BG646" s="87">
        <v>0</v>
      </c>
      <c r="BH646" s="87">
        <v>0</v>
      </c>
      <c r="BI646" s="87">
        <v>0</v>
      </c>
      <c r="BJ646" s="49">
        <v>19.7</v>
      </c>
      <c r="BK646" s="126">
        <v>11435</v>
      </c>
      <c r="BL646" s="126">
        <v>48394</v>
      </c>
      <c r="BM646" s="126">
        <v>40853</v>
      </c>
      <c r="BN646" s="126">
        <v>37677</v>
      </c>
      <c r="BO646" s="59">
        <v>0</v>
      </c>
      <c r="BP646" s="59">
        <v>0.53380000000000005</v>
      </c>
      <c r="BQ646" s="59">
        <v>3.1899999999999998E-2</v>
      </c>
      <c r="BR646" s="59">
        <v>0</v>
      </c>
      <c r="BS646" s="59">
        <v>0</v>
      </c>
      <c r="BT646" s="49">
        <v>15.6</v>
      </c>
      <c r="BU646" s="59">
        <f t="shared" si="52"/>
        <v>0.56570000000000009</v>
      </c>
      <c r="BV646" s="59">
        <v>3.1899999999999998E-2</v>
      </c>
      <c r="BW646" s="59">
        <v>0</v>
      </c>
      <c r="BX646" s="59">
        <v>3.1899999999999998E-2</v>
      </c>
      <c r="BY646" s="59">
        <v>0</v>
      </c>
      <c r="BZ646" s="59">
        <v>0</v>
      </c>
      <c r="CA646" s="49">
        <v>16</v>
      </c>
      <c r="CB646" s="59">
        <f t="shared" si="53"/>
        <v>6.3799999999999996E-2</v>
      </c>
      <c r="CC646" s="59">
        <v>0.3705</v>
      </c>
      <c r="CD646" s="59">
        <v>0.54979999999999996</v>
      </c>
      <c r="CE646" s="59">
        <v>7.9699999999999993E-2</v>
      </c>
      <c r="CF646" s="59">
        <v>0</v>
      </c>
      <c r="CG646" s="59">
        <v>0</v>
      </c>
      <c r="CH646" s="49">
        <v>13.5</v>
      </c>
      <c r="CI646" s="25" t="s">
        <v>90</v>
      </c>
      <c r="CJ646" s="18" t="s">
        <v>489</v>
      </c>
      <c r="CK646" s="20"/>
    </row>
    <row r="647" spans="1:89" x14ac:dyDescent="0.25">
      <c r="A647" s="18" t="s">
        <v>489</v>
      </c>
      <c r="B647" s="19" t="s">
        <v>88</v>
      </c>
      <c r="C647" s="25" t="s">
        <v>91</v>
      </c>
      <c r="D647" s="6">
        <v>1</v>
      </c>
      <c r="E647" s="40" t="s">
        <v>83</v>
      </c>
      <c r="F647" s="6">
        <v>1</v>
      </c>
      <c r="G647" s="162" t="s">
        <v>83</v>
      </c>
      <c r="H647" s="162" t="s">
        <v>83</v>
      </c>
      <c r="I647" s="162" t="s">
        <v>83</v>
      </c>
      <c r="J647" s="163">
        <v>0</v>
      </c>
      <c r="K647" s="163">
        <v>1</v>
      </c>
      <c r="L647" s="163">
        <v>0</v>
      </c>
      <c r="M647" s="163">
        <v>0</v>
      </c>
      <c r="N647" s="115">
        <v>2.6178010471204199E-3</v>
      </c>
      <c r="O647" s="115">
        <v>2.6178010471204199E-3</v>
      </c>
      <c r="P647" s="116" t="s">
        <v>83</v>
      </c>
      <c r="Q647" s="116" t="s">
        <v>83</v>
      </c>
      <c r="R647" s="116" t="s">
        <v>83</v>
      </c>
      <c r="S647" s="115">
        <v>0</v>
      </c>
      <c r="T647" s="115">
        <v>1.2500000000000001E-2</v>
      </c>
      <c r="U647" s="115">
        <v>0</v>
      </c>
      <c r="V647" s="115">
        <v>0</v>
      </c>
      <c r="W647" s="6">
        <v>363</v>
      </c>
      <c r="X647" s="40">
        <f t="shared" si="50"/>
        <v>363</v>
      </c>
      <c r="Y647" s="40">
        <f t="shared" si="51"/>
        <v>363</v>
      </c>
      <c r="Z647" s="59">
        <v>0.49590000000000001</v>
      </c>
      <c r="AA647" s="59">
        <v>0.50409999999999999</v>
      </c>
      <c r="AB647" s="61">
        <v>2.7548209366391185E-2</v>
      </c>
      <c r="AC647" s="61">
        <v>1.3774104683195593E-2</v>
      </c>
      <c r="AD647" s="61">
        <v>0.15702479338842976</v>
      </c>
      <c r="AE647" s="61">
        <v>3.0303030303030304E-2</v>
      </c>
      <c r="AF647" s="61">
        <v>5.5096418732782371E-3</v>
      </c>
      <c r="AG647" s="61">
        <v>0.75206611570247939</v>
      </c>
      <c r="AH647" s="61">
        <v>1.3774104683195593E-2</v>
      </c>
      <c r="AI647" s="61">
        <v>0.24793388429752067</v>
      </c>
      <c r="AJ647" s="59">
        <v>0.501</v>
      </c>
      <c r="AK647" s="59">
        <v>5.4999999999999997E-3</v>
      </c>
      <c r="AL647" s="3">
        <v>0</v>
      </c>
      <c r="AM647" s="3">
        <v>0</v>
      </c>
      <c r="AN647" s="3">
        <v>0</v>
      </c>
      <c r="AO647" s="3">
        <v>103</v>
      </c>
      <c r="AP647" s="3">
        <v>76</v>
      </c>
      <c r="AQ647" s="3">
        <v>96</v>
      </c>
      <c r="AR647" s="3">
        <v>88</v>
      </c>
      <c r="AS647" s="59">
        <v>0</v>
      </c>
      <c r="AT647" s="3">
        <v>9</v>
      </c>
      <c r="AU647" s="3">
        <v>6</v>
      </c>
      <c r="AV647" s="49">
        <v>80.357142857142904</v>
      </c>
      <c r="AW647" s="49">
        <v>16.964285714285701</v>
      </c>
      <c r="AX647" s="49">
        <v>2.6785714285714302</v>
      </c>
      <c r="AY647" s="67">
        <v>0</v>
      </c>
      <c r="AZ647" s="62">
        <v>0.26771653543307089</v>
      </c>
      <c r="BA647" s="62">
        <v>0.14960629921259844</v>
      </c>
      <c r="BB647" s="78">
        <v>94.528280972890798</v>
      </c>
      <c r="BC647" s="49">
        <v>63.254593175853003</v>
      </c>
      <c r="BD647" s="90" t="s">
        <v>83</v>
      </c>
      <c r="BE647" s="90" t="s">
        <v>83</v>
      </c>
      <c r="BF647" s="87">
        <v>0</v>
      </c>
      <c r="BG647" s="87">
        <v>1.4</v>
      </c>
      <c r="BH647" s="87">
        <v>0</v>
      </c>
      <c r="BI647" s="87">
        <v>1.1000000000000001</v>
      </c>
      <c r="BJ647" s="49">
        <v>20.3</v>
      </c>
      <c r="BK647" s="126">
        <v>10474</v>
      </c>
      <c r="BL647" s="126">
        <v>50298</v>
      </c>
      <c r="BM647" s="126">
        <v>41074</v>
      </c>
      <c r="BN647" s="126">
        <v>41522</v>
      </c>
      <c r="BO647" s="59">
        <v>0</v>
      </c>
      <c r="BP647" s="59">
        <v>0.39190000000000003</v>
      </c>
      <c r="BQ647" s="59">
        <v>0.22009999999999999</v>
      </c>
      <c r="BR647" s="59">
        <v>0</v>
      </c>
      <c r="BS647" s="59">
        <v>0</v>
      </c>
      <c r="BT647" s="49">
        <v>14.4</v>
      </c>
      <c r="BU647" s="59">
        <f t="shared" si="52"/>
        <v>0.61199999999999999</v>
      </c>
      <c r="BV647" s="59">
        <v>4.6100000000000002E-2</v>
      </c>
      <c r="BW647" s="59">
        <v>0</v>
      </c>
      <c r="BX647" s="59">
        <v>4.6100000000000002E-2</v>
      </c>
      <c r="BY647" s="59">
        <v>0</v>
      </c>
      <c r="BZ647" s="59">
        <v>0</v>
      </c>
      <c r="CA647" s="49">
        <v>12.3</v>
      </c>
      <c r="CB647" s="59">
        <f t="shared" si="53"/>
        <v>9.2200000000000004E-2</v>
      </c>
      <c r="CC647" s="59">
        <v>0.29580000000000001</v>
      </c>
      <c r="CD647" s="59">
        <v>0.41489999999999999</v>
      </c>
      <c r="CE647" s="59">
        <v>0.2893</v>
      </c>
      <c r="CF647" s="59">
        <v>0</v>
      </c>
      <c r="CG647" s="59">
        <v>0</v>
      </c>
      <c r="CH647" s="49">
        <v>15.2</v>
      </c>
      <c r="CI647" s="25" t="s">
        <v>91</v>
      </c>
      <c r="CJ647" s="18" t="s">
        <v>489</v>
      </c>
      <c r="CK647" s="20"/>
    </row>
    <row r="648" spans="1:89" x14ac:dyDescent="0.25">
      <c r="A648" s="18" t="s">
        <v>489</v>
      </c>
      <c r="B648" s="19" t="s">
        <v>88</v>
      </c>
      <c r="C648" s="25" t="s">
        <v>92</v>
      </c>
      <c r="D648" s="6">
        <v>1</v>
      </c>
      <c r="E648" s="40" t="s">
        <v>83</v>
      </c>
      <c r="F648" s="6">
        <v>1</v>
      </c>
      <c r="G648" s="162" t="s">
        <v>83</v>
      </c>
      <c r="H648" s="162" t="s">
        <v>83</v>
      </c>
      <c r="I648" s="162" t="s">
        <v>83</v>
      </c>
      <c r="J648" s="163">
        <v>0</v>
      </c>
      <c r="K648" s="163">
        <v>0</v>
      </c>
      <c r="L648" s="163">
        <v>0</v>
      </c>
      <c r="M648" s="163">
        <v>1</v>
      </c>
      <c r="N648" s="115">
        <v>3.3112582781457001E-3</v>
      </c>
      <c r="O648" s="115">
        <v>3.3112582781457001E-3</v>
      </c>
      <c r="P648" s="116" t="s">
        <v>83</v>
      </c>
      <c r="Q648" s="116" t="s">
        <v>83</v>
      </c>
      <c r="R648" s="116" t="s">
        <v>83</v>
      </c>
      <c r="S648" s="115">
        <v>0</v>
      </c>
      <c r="T648" s="115">
        <v>0</v>
      </c>
      <c r="U648" s="115">
        <v>0</v>
      </c>
      <c r="V648" s="115">
        <v>1.58730158730159E-2</v>
      </c>
      <c r="W648" s="6">
        <v>289</v>
      </c>
      <c r="X648" s="40">
        <f t="shared" si="50"/>
        <v>289</v>
      </c>
      <c r="Y648" s="40">
        <f t="shared" si="51"/>
        <v>289</v>
      </c>
      <c r="Z648" s="59">
        <v>0.53290000000000004</v>
      </c>
      <c r="AA648" s="59">
        <v>0.46710000000000002</v>
      </c>
      <c r="AB648" s="61">
        <v>0</v>
      </c>
      <c r="AC648" s="61">
        <v>6.920415224913495E-3</v>
      </c>
      <c r="AD648" s="61">
        <v>0.36332179930795849</v>
      </c>
      <c r="AE648" s="61">
        <v>6.920415224913495E-3</v>
      </c>
      <c r="AF648" s="61">
        <v>0</v>
      </c>
      <c r="AG648" s="61">
        <v>0.61591695501730104</v>
      </c>
      <c r="AH648" s="61">
        <v>6.920415224913495E-3</v>
      </c>
      <c r="AI648" s="61">
        <v>0.38408304498269896</v>
      </c>
      <c r="AJ648" s="59">
        <v>0.70899999999999996</v>
      </c>
      <c r="AK648" s="59">
        <v>0</v>
      </c>
      <c r="AL648" s="3">
        <v>0</v>
      </c>
      <c r="AM648" s="3">
        <v>0</v>
      </c>
      <c r="AN648" s="3">
        <v>0</v>
      </c>
      <c r="AO648" s="3">
        <v>93</v>
      </c>
      <c r="AP648" s="3">
        <v>68</v>
      </c>
      <c r="AQ648" s="3">
        <v>65</v>
      </c>
      <c r="AR648" s="3">
        <v>63</v>
      </c>
      <c r="AS648" s="59">
        <v>0</v>
      </c>
      <c r="AT648" s="3">
        <v>9</v>
      </c>
      <c r="AU648" s="3">
        <v>6</v>
      </c>
      <c r="AV648" s="49">
        <v>91.772151898734194</v>
      </c>
      <c r="AW648" s="49">
        <v>8.2278481012658187</v>
      </c>
      <c r="AX648" s="49">
        <v>0</v>
      </c>
      <c r="AY648" s="67">
        <v>0</v>
      </c>
      <c r="AZ648" s="62">
        <v>0.2251655629139073</v>
      </c>
      <c r="BA648" s="62">
        <v>0.10596026490066225</v>
      </c>
      <c r="BB648" s="77">
        <v>94.283768310498701</v>
      </c>
      <c r="BC648" s="49">
        <v>66.556291390728504</v>
      </c>
      <c r="BD648" s="90" t="s">
        <v>83</v>
      </c>
      <c r="BE648" s="90" t="s">
        <v>83</v>
      </c>
      <c r="BF648" s="87">
        <v>0</v>
      </c>
      <c r="BG648" s="87">
        <v>0</v>
      </c>
      <c r="BH648" s="87">
        <v>3.2</v>
      </c>
      <c r="BI648" s="87">
        <v>1.6</v>
      </c>
      <c r="BJ648" s="49">
        <v>18.7</v>
      </c>
      <c r="BK648" s="126">
        <v>13229</v>
      </c>
      <c r="BL648" s="126">
        <v>48096</v>
      </c>
      <c r="BM648" s="126">
        <v>45785</v>
      </c>
      <c r="BN648" s="126">
        <v>37643</v>
      </c>
      <c r="BO648" s="59">
        <v>0</v>
      </c>
      <c r="BP648" s="59">
        <v>0.34350000000000003</v>
      </c>
      <c r="BQ648" s="59">
        <v>0.1144</v>
      </c>
      <c r="BR648" s="59">
        <v>0</v>
      </c>
      <c r="BS648" s="59">
        <v>0</v>
      </c>
      <c r="BT648" s="49">
        <v>8.6999999999999993</v>
      </c>
      <c r="BU648" s="59">
        <f t="shared" si="52"/>
        <v>0.45790000000000003</v>
      </c>
      <c r="BV648" s="59">
        <v>3.73E-2</v>
      </c>
      <c r="BW648" s="59">
        <v>0</v>
      </c>
      <c r="BX648" s="59">
        <v>3.8199999999999998E-2</v>
      </c>
      <c r="BY648" s="59">
        <v>0</v>
      </c>
      <c r="BZ648" s="59">
        <v>0</v>
      </c>
      <c r="CA648" s="49">
        <v>21.9</v>
      </c>
      <c r="CB648" s="59">
        <f t="shared" si="53"/>
        <v>7.5499999999999998E-2</v>
      </c>
      <c r="CC648" s="59">
        <v>0.38919999999999999</v>
      </c>
      <c r="CD648" s="59">
        <v>0.42</v>
      </c>
      <c r="CE648" s="59">
        <v>0.1908</v>
      </c>
      <c r="CF648" s="59">
        <v>0</v>
      </c>
      <c r="CG648" s="59">
        <v>0</v>
      </c>
      <c r="CH648" s="49">
        <v>12.3</v>
      </c>
      <c r="CI648" s="25" t="s">
        <v>92</v>
      </c>
      <c r="CJ648" s="18" t="s">
        <v>489</v>
      </c>
      <c r="CK648" s="20"/>
    </row>
    <row r="649" spans="1:89" x14ac:dyDescent="0.25">
      <c r="A649" s="18" t="s">
        <v>489</v>
      </c>
      <c r="B649" s="19" t="s">
        <v>88</v>
      </c>
      <c r="C649" s="25" t="s">
        <v>93</v>
      </c>
      <c r="D649" s="6">
        <v>2</v>
      </c>
      <c r="E649" s="6">
        <v>0</v>
      </c>
      <c r="F649" s="6">
        <v>2</v>
      </c>
      <c r="G649" s="163">
        <v>0</v>
      </c>
      <c r="H649" s="163">
        <v>0</v>
      </c>
      <c r="I649" s="162" t="s">
        <v>83</v>
      </c>
      <c r="J649" s="163">
        <v>0</v>
      </c>
      <c r="K649" s="163">
        <v>1</v>
      </c>
      <c r="L649" s="163">
        <v>1</v>
      </c>
      <c r="M649" s="163">
        <v>0</v>
      </c>
      <c r="N649" s="115">
        <v>7.14285714285714E-3</v>
      </c>
      <c r="O649" s="115">
        <v>1.02564102564103E-2</v>
      </c>
      <c r="P649" s="115">
        <v>0</v>
      </c>
      <c r="Q649" s="115">
        <v>0</v>
      </c>
      <c r="R649" s="116" t="s">
        <v>83</v>
      </c>
      <c r="S649" s="115">
        <v>0</v>
      </c>
      <c r="T649" s="115">
        <v>2.7027027027027001E-2</v>
      </c>
      <c r="U649" s="115">
        <v>1.72413793103448E-2</v>
      </c>
      <c r="V649" s="115">
        <v>0</v>
      </c>
      <c r="W649" s="6">
        <v>264</v>
      </c>
      <c r="X649" s="40">
        <f t="shared" si="50"/>
        <v>187</v>
      </c>
      <c r="Y649" s="40">
        <f t="shared" si="51"/>
        <v>264</v>
      </c>
      <c r="Z649" s="59">
        <v>0.47349999999999998</v>
      </c>
      <c r="AA649" s="59">
        <v>0.52649999999999997</v>
      </c>
      <c r="AB649" s="61">
        <v>1.893939393939394E-2</v>
      </c>
      <c r="AC649" s="61">
        <v>0</v>
      </c>
      <c r="AD649" s="61">
        <v>0.35606060606060608</v>
      </c>
      <c r="AE649" s="61">
        <v>1.893939393939394E-2</v>
      </c>
      <c r="AF649" s="61">
        <v>0</v>
      </c>
      <c r="AG649" s="61">
        <v>0.58333333333333337</v>
      </c>
      <c r="AH649" s="61">
        <v>2.2727272727272728E-2</v>
      </c>
      <c r="AI649" s="61">
        <v>0.41666666666666669</v>
      </c>
      <c r="AJ649" s="59">
        <v>0.65200000000000002</v>
      </c>
      <c r="AK649" s="59">
        <v>0</v>
      </c>
      <c r="AL649" s="3">
        <v>40</v>
      </c>
      <c r="AM649" s="3">
        <v>37</v>
      </c>
      <c r="AN649" s="3">
        <v>0</v>
      </c>
      <c r="AO649" s="3">
        <v>64</v>
      </c>
      <c r="AP649" s="3">
        <v>29</v>
      </c>
      <c r="AQ649" s="3">
        <v>55</v>
      </c>
      <c r="AR649" s="3">
        <v>39</v>
      </c>
      <c r="AS649" s="59">
        <v>0</v>
      </c>
      <c r="AT649" s="3">
        <v>7</v>
      </c>
      <c r="AU649" s="3">
        <v>6</v>
      </c>
      <c r="AV649" s="49">
        <v>90.954773869346695</v>
      </c>
      <c r="AW649" s="49">
        <v>8.0402010050251302</v>
      </c>
      <c r="AX649" s="49">
        <v>1.0050251256281399</v>
      </c>
      <c r="AY649" s="67">
        <v>0</v>
      </c>
      <c r="AZ649" s="62">
        <v>0.23571428571428571</v>
      </c>
      <c r="BA649" s="62">
        <v>0.19285714285714287</v>
      </c>
      <c r="BB649" s="78">
        <v>94.622737397547596</v>
      </c>
      <c r="BC649" s="49">
        <v>57.5</v>
      </c>
      <c r="BD649" s="87">
        <v>0</v>
      </c>
      <c r="BE649" s="87">
        <v>0</v>
      </c>
      <c r="BF649" s="87">
        <v>0</v>
      </c>
      <c r="BG649" s="87">
        <v>0</v>
      </c>
      <c r="BH649" s="87">
        <v>0</v>
      </c>
      <c r="BI649" s="87">
        <v>0</v>
      </c>
      <c r="BJ649" s="49">
        <v>18.7</v>
      </c>
      <c r="BK649" s="126">
        <v>14974</v>
      </c>
      <c r="BL649" s="126">
        <v>50013</v>
      </c>
      <c r="BM649" s="126">
        <v>42148</v>
      </c>
      <c r="BN649" s="126">
        <v>36295</v>
      </c>
      <c r="BO649" s="59">
        <v>0</v>
      </c>
      <c r="BP649" s="59">
        <v>0.32140000000000002</v>
      </c>
      <c r="BQ649" s="59">
        <v>9.1200000000000003E-2</v>
      </c>
      <c r="BR649" s="59">
        <v>3.6499999999999998E-2</v>
      </c>
      <c r="BS649" s="59">
        <v>0</v>
      </c>
      <c r="BT649" s="49">
        <v>13.8</v>
      </c>
      <c r="BU649" s="59">
        <f t="shared" si="52"/>
        <v>0.4491</v>
      </c>
      <c r="BV649" s="59">
        <v>3.6499999999999998E-2</v>
      </c>
      <c r="BW649" s="59">
        <v>0</v>
      </c>
      <c r="BX649" s="59">
        <v>3.6499999999999998E-2</v>
      </c>
      <c r="BY649" s="59">
        <v>0</v>
      </c>
      <c r="BZ649" s="59">
        <v>0</v>
      </c>
      <c r="CA649" s="49">
        <v>12.8</v>
      </c>
      <c r="CB649" s="59">
        <f t="shared" si="53"/>
        <v>7.2999999999999995E-2</v>
      </c>
      <c r="CC649" s="59">
        <v>0.45979999999999999</v>
      </c>
      <c r="CD649" s="59">
        <v>0.33960000000000001</v>
      </c>
      <c r="CE649" s="59">
        <v>0.1641</v>
      </c>
      <c r="CF649" s="59">
        <v>3.6499999999999998E-2</v>
      </c>
      <c r="CG649" s="59">
        <v>0</v>
      </c>
      <c r="CH649" s="49">
        <v>14</v>
      </c>
      <c r="CI649" s="25" t="s">
        <v>93</v>
      </c>
      <c r="CJ649" s="18" t="s">
        <v>489</v>
      </c>
      <c r="CK649" s="20"/>
    </row>
    <row r="650" spans="1:89" x14ac:dyDescent="0.25">
      <c r="A650" s="18" t="s">
        <v>489</v>
      </c>
      <c r="B650" s="19" t="s">
        <v>88</v>
      </c>
      <c r="C650" s="25" t="s">
        <v>94</v>
      </c>
      <c r="D650" s="6">
        <v>1</v>
      </c>
      <c r="E650" s="6">
        <v>0</v>
      </c>
      <c r="F650" s="6">
        <v>1</v>
      </c>
      <c r="G650" s="163">
        <v>0</v>
      </c>
      <c r="H650" s="163">
        <v>0</v>
      </c>
      <c r="I650" s="162" t="s">
        <v>83</v>
      </c>
      <c r="J650" s="163">
        <v>0</v>
      </c>
      <c r="K650" s="163">
        <v>0</v>
      </c>
      <c r="L650" s="163">
        <v>1</v>
      </c>
      <c r="M650" s="163">
        <v>0</v>
      </c>
      <c r="N650" s="115">
        <v>6.5789473684210497E-3</v>
      </c>
      <c r="O650" s="115">
        <v>8.7719298245613996E-3</v>
      </c>
      <c r="P650" s="115">
        <v>0</v>
      </c>
      <c r="Q650" s="115">
        <v>0</v>
      </c>
      <c r="R650" s="116" t="s">
        <v>83</v>
      </c>
      <c r="S650" s="115">
        <v>0</v>
      </c>
      <c r="T650" s="115">
        <v>0</v>
      </c>
      <c r="U650" s="115">
        <v>3.7037037037037E-2</v>
      </c>
      <c r="V650" s="115">
        <v>0</v>
      </c>
      <c r="W650" s="6">
        <v>280</v>
      </c>
      <c r="X650" s="40">
        <f t="shared" si="50"/>
        <v>95</v>
      </c>
      <c r="Y650" s="40">
        <f t="shared" si="51"/>
        <v>122</v>
      </c>
      <c r="Z650" s="59">
        <v>0.49640000000000001</v>
      </c>
      <c r="AA650" s="59">
        <v>0.50360000000000005</v>
      </c>
      <c r="AB650" s="61">
        <v>3.5714285714285713E-3</v>
      </c>
      <c r="AC650" s="61">
        <v>3.5714285714285713E-3</v>
      </c>
      <c r="AD650" s="61">
        <v>6.0714285714285714E-2</v>
      </c>
      <c r="AE650" s="61">
        <v>1.4285714285714285E-2</v>
      </c>
      <c r="AF650" s="61">
        <v>0</v>
      </c>
      <c r="AG650" s="61">
        <v>0.89642857142857146</v>
      </c>
      <c r="AH650" s="61">
        <v>2.1428571428571429E-2</v>
      </c>
      <c r="AI650" s="61">
        <v>0.10357142857142858</v>
      </c>
      <c r="AJ650" s="59">
        <v>0.64300000000000002</v>
      </c>
      <c r="AK650" s="59">
        <v>0</v>
      </c>
      <c r="AL650" s="3">
        <v>9</v>
      </c>
      <c r="AM650" s="3">
        <v>18</v>
      </c>
      <c r="AN650" s="3">
        <v>0</v>
      </c>
      <c r="AO650" s="3">
        <v>23</v>
      </c>
      <c r="AP650" s="3">
        <v>27</v>
      </c>
      <c r="AQ650" s="3">
        <v>23</v>
      </c>
      <c r="AR650" s="3">
        <v>22</v>
      </c>
      <c r="AS650" s="59">
        <v>0</v>
      </c>
      <c r="AT650" s="3">
        <v>1</v>
      </c>
      <c r="AU650" s="3">
        <v>6</v>
      </c>
      <c r="AV650" s="49">
        <v>83.571428571428598</v>
      </c>
      <c r="AW650" s="49">
        <v>13.571428571428601</v>
      </c>
      <c r="AX650" s="49">
        <v>2.8571428571428599</v>
      </c>
      <c r="AY650" s="67">
        <v>0</v>
      </c>
      <c r="AZ650" s="62">
        <v>0.15105740181268881</v>
      </c>
      <c r="BA650" s="62">
        <v>9.0634441087613288E-2</v>
      </c>
      <c r="BB650" s="77">
        <v>94.926152028357606</v>
      </c>
      <c r="BC650" s="49">
        <v>50.6410256410256</v>
      </c>
      <c r="BD650" s="87">
        <v>0</v>
      </c>
      <c r="BE650" s="87">
        <v>4.5</v>
      </c>
      <c r="BF650" s="87">
        <v>0</v>
      </c>
      <c r="BG650" s="87">
        <v>0</v>
      </c>
      <c r="BH650" s="87">
        <v>0</v>
      </c>
      <c r="BI650" s="87">
        <v>19</v>
      </c>
      <c r="BJ650" s="49">
        <v>19.600000000000001</v>
      </c>
      <c r="BK650" s="126">
        <v>11448</v>
      </c>
      <c r="BL650" s="126">
        <v>46293</v>
      </c>
      <c r="BM650" s="126">
        <v>39888</v>
      </c>
      <c r="BN650" s="126">
        <v>35538</v>
      </c>
      <c r="BO650" s="59">
        <v>0</v>
      </c>
      <c r="BP650" s="59">
        <v>0.46429999999999999</v>
      </c>
      <c r="BQ650" s="59">
        <v>4.3200000000000002E-2</v>
      </c>
      <c r="BR650" s="59">
        <v>0</v>
      </c>
      <c r="BS650" s="59">
        <v>0</v>
      </c>
      <c r="BT650" s="49">
        <v>9.1999999999999993</v>
      </c>
      <c r="BU650" s="59">
        <f t="shared" si="52"/>
        <v>0.50749999999999995</v>
      </c>
      <c r="BV650" s="59">
        <v>4.3200000000000002E-2</v>
      </c>
      <c r="BW650" s="59">
        <v>0</v>
      </c>
      <c r="BX650" s="59">
        <v>4.3200000000000002E-2</v>
      </c>
      <c r="BY650" s="59">
        <v>0</v>
      </c>
      <c r="BZ650" s="59">
        <v>0</v>
      </c>
      <c r="CA650" s="49">
        <v>9.8000000000000007</v>
      </c>
      <c r="CB650" s="59">
        <f t="shared" si="53"/>
        <v>8.6400000000000005E-2</v>
      </c>
      <c r="CC650" s="59">
        <v>0.40610000000000002</v>
      </c>
      <c r="CD650" s="59">
        <v>0.4859</v>
      </c>
      <c r="CE650" s="59">
        <v>0.108</v>
      </c>
      <c r="CF650" s="59">
        <v>0</v>
      </c>
      <c r="CG650" s="59">
        <v>0</v>
      </c>
      <c r="CH650" s="49">
        <v>9.9</v>
      </c>
      <c r="CI650" s="25" t="s">
        <v>94</v>
      </c>
      <c r="CJ650" s="18" t="s">
        <v>489</v>
      </c>
      <c r="CK650" s="20"/>
    </row>
    <row r="651" spans="1:89" x14ac:dyDescent="0.25">
      <c r="A651" s="18" t="s">
        <v>489</v>
      </c>
      <c r="B651" s="19" t="s">
        <v>95</v>
      </c>
      <c r="C651" s="25" t="s">
        <v>96</v>
      </c>
      <c r="D651" s="6">
        <v>14</v>
      </c>
      <c r="E651" s="40" t="s">
        <v>83</v>
      </c>
      <c r="F651" s="6">
        <v>14</v>
      </c>
      <c r="G651" s="162" t="s">
        <v>83</v>
      </c>
      <c r="H651" s="162" t="s">
        <v>83</v>
      </c>
      <c r="I651" s="163">
        <v>1</v>
      </c>
      <c r="J651" s="163">
        <v>6</v>
      </c>
      <c r="K651" s="163">
        <v>3</v>
      </c>
      <c r="L651" s="163">
        <v>4</v>
      </c>
      <c r="M651" s="163">
        <v>0</v>
      </c>
      <c r="N651" s="115">
        <v>2.9166666666666698E-2</v>
      </c>
      <c r="O651" s="115">
        <v>2.9166666666666698E-2</v>
      </c>
      <c r="P651" s="116" t="s">
        <v>83</v>
      </c>
      <c r="Q651" s="116" t="s">
        <v>83</v>
      </c>
      <c r="R651" s="115">
        <v>5.5555555555555601E-2</v>
      </c>
      <c r="S651" s="115">
        <v>4.91803278688525E-2</v>
      </c>
      <c r="T651" s="115">
        <v>2.5862068965517199E-2</v>
      </c>
      <c r="U651" s="115">
        <v>3.6036036036036001E-2</v>
      </c>
      <c r="V651" s="115">
        <v>0</v>
      </c>
      <c r="W651" s="6">
        <v>457</v>
      </c>
      <c r="X651" s="40">
        <f t="shared" si="50"/>
        <v>457</v>
      </c>
      <c r="Y651" s="40">
        <f t="shared" si="51"/>
        <v>457</v>
      </c>
      <c r="Z651" s="59">
        <v>0.48139999999999999</v>
      </c>
      <c r="AA651" s="59">
        <v>0.51859999999999995</v>
      </c>
      <c r="AB651" s="61">
        <v>2.1881838074398249E-3</v>
      </c>
      <c r="AC651" s="61">
        <v>0</v>
      </c>
      <c r="AD651" s="61">
        <v>0.94967177242888401</v>
      </c>
      <c r="AE651" s="61">
        <v>1.0940919037199124E-2</v>
      </c>
      <c r="AF651" s="61">
        <v>0</v>
      </c>
      <c r="AG651" s="61">
        <v>3.7199124726477024E-2</v>
      </c>
      <c r="AH651" s="61">
        <v>0</v>
      </c>
      <c r="AI651" s="61">
        <v>0.96280087527352298</v>
      </c>
      <c r="AJ651" s="59">
        <v>0.92800000000000005</v>
      </c>
      <c r="AK651" s="59">
        <v>2.2000000000000001E-3</v>
      </c>
      <c r="AL651" s="3">
        <v>0</v>
      </c>
      <c r="AM651" s="3">
        <v>0</v>
      </c>
      <c r="AN651" s="3">
        <v>17</v>
      </c>
      <c r="AO651" s="3">
        <v>113</v>
      </c>
      <c r="AP651" s="3">
        <v>107</v>
      </c>
      <c r="AQ651" s="3">
        <v>104</v>
      </c>
      <c r="AR651" s="3">
        <v>116</v>
      </c>
      <c r="AS651" s="59">
        <v>0.13076923076923078</v>
      </c>
      <c r="AT651" s="3">
        <v>9</v>
      </c>
      <c r="AU651" s="3">
        <v>6</v>
      </c>
      <c r="AV651" s="49">
        <v>63.366336633663401</v>
      </c>
      <c r="AW651" s="49">
        <v>30.198019801980202</v>
      </c>
      <c r="AX651" s="49">
        <v>6.4356435643564396</v>
      </c>
      <c r="AY651" s="67">
        <v>0</v>
      </c>
      <c r="AZ651" s="62">
        <v>4.8421052631578948E-2</v>
      </c>
      <c r="BA651" s="62">
        <v>0.28210526315789475</v>
      </c>
      <c r="BB651" s="78">
        <v>90.498006936894996</v>
      </c>
      <c r="BC651" s="49">
        <v>27.139874739039701</v>
      </c>
      <c r="BD651" s="90" t="s">
        <v>83</v>
      </c>
      <c r="BE651" s="90" t="s">
        <v>83</v>
      </c>
      <c r="BF651" s="87">
        <v>4.5</v>
      </c>
      <c r="BG651" s="87">
        <v>3.8</v>
      </c>
      <c r="BH651" s="87">
        <v>16.7</v>
      </c>
      <c r="BI651" s="87">
        <v>2.6</v>
      </c>
      <c r="BJ651" s="49">
        <v>16.2</v>
      </c>
      <c r="BK651" s="126">
        <v>16922</v>
      </c>
      <c r="BL651" s="126">
        <v>57944</v>
      </c>
      <c r="BM651" s="126">
        <v>52852</v>
      </c>
      <c r="BN651" s="126">
        <v>44452</v>
      </c>
      <c r="BO651" s="59">
        <v>1.3299999999999999E-2</v>
      </c>
      <c r="BP651" s="59">
        <v>0.16750000000000001</v>
      </c>
      <c r="BQ651" s="59">
        <v>0.248</v>
      </c>
      <c r="BR651" s="59">
        <v>1.5E-3</v>
      </c>
      <c r="BS651" s="59">
        <v>1.8200000000000001E-2</v>
      </c>
      <c r="BT651" s="49">
        <v>10.5</v>
      </c>
      <c r="BU651" s="59">
        <f t="shared" si="52"/>
        <v>0.44850000000000001</v>
      </c>
      <c r="BV651" s="59">
        <v>5.3199999999999997E-2</v>
      </c>
      <c r="BW651" s="59">
        <v>0</v>
      </c>
      <c r="BX651" s="59">
        <v>3.3000000000000002E-2</v>
      </c>
      <c r="BY651" s="59">
        <v>0</v>
      </c>
      <c r="BZ651" s="59">
        <v>1.3299999999999999E-2</v>
      </c>
      <c r="CA651" s="49">
        <v>12.3</v>
      </c>
      <c r="CB651" s="59">
        <f t="shared" si="53"/>
        <v>9.9500000000000005E-2</v>
      </c>
      <c r="CC651" s="59">
        <v>0.42549999999999999</v>
      </c>
      <c r="CD651" s="59">
        <v>0.18079999999999999</v>
      </c>
      <c r="CE651" s="59">
        <v>0.36070000000000002</v>
      </c>
      <c r="CF651" s="59">
        <v>1.5E-3</v>
      </c>
      <c r="CG651" s="59">
        <v>3.15E-2</v>
      </c>
      <c r="CH651" s="49">
        <v>11.2</v>
      </c>
      <c r="CI651" s="25" t="s">
        <v>96</v>
      </c>
      <c r="CJ651" s="18" t="s">
        <v>489</v>
      </c>
      <c r="CK651" s="20"/>
    </row>
    <row r="652" spans="1:89" x14ac:dyDescent="0.25">
      <c r="A652" s="18" t="s">
        <v>489</v>
      </c>
      <c r="B652" s="19" t="s">
        <v>95</v>
      </c>
      <c r="C652" s="25" t="s">
        <v>97</v>
      </c>
      <c r="D652" s="6">
        <v>71</v>
      </c>
      <c r="E652" s="40" t="s">
        <v>83</v>
      </c>
      <c r="F652" s="6">
        <v>71</v>
      </c>
      <c r="G652" s="162" t="s">
        <v>83</v>
      </c>
      <c r="H652" s="162" t="s">
        <v>83</v>
      </c>
      <c r="I652" s="163">
        <v>1</v>
      </c>
      <c r="J652" s="163">
        <v>15</v>
      </c>
      <c r="K652" s="163">
        <v>17</v>
      </c>
      <c r="L652" s="163">
        <v>16</v>
      </c>
      <c r="M652" s="163">
        <v>22</v>
      </c>
      <c r="N652" s="115">
        <v>3.64102564102564E-2</v>
      </c>
      <c r="O652" s="115">
        <v>3.64102564102564E-2</v>
      </c>
      <c r="P652" s="116" t="s">
        <v>83</v>
      </c>
      <c r="Q652" s="116" t="s">
        <v>83</v>
      </c>
      <c r="R652" s="115">
        <v>2.2222222222222199E-2</v>
      </c>
      <c r="S652" s="115">
        <v>3.1982942430703598E-2</v>
      </c>
      <c r="T652" s="115">
        <v>3.5196687370600402E-2</v>
      </c>
      <c r="U652" s="115">
        <v>3.2989690721649499E-2</v>
      </c>
      <c r="V652" s="115">
        <v>4.7008547008547001E-2</v>
      </c>
      <c r="W652" s="6">
        <v>1820</v>
      </c>
      <c r="X652" s="40">
        <f t="shared" si="50"/>
        <v>1820</v>
      </c>
      <c r="Y652" s="40">
        <f t="shared" si="51"/>
        <v>1820</v>
      </c>
      <c r="Z652" s="59">
        <v>0.48020000000000002</v>
      </c>
      <c r="AA652" s="59">
        <v>0.51980000000000004</v>
      </c>
      <c r="AB652" s="61">
        <v>2.7472527472527475E-3</v>
      </c>
      <c r="AC652" s="61">
        <v>6.0439560439560442E-3</v>
      </c>
      <c r="AD652" s="61">
        <v>0.42142857142857143</v>
      </c>
      <c r="AE652" s="61">
        <v>0.13626373626373625</v>
      </c>
      <c r="AF652" s="61">
        <v>2.1978021978021978E-3</v>
      </c>
      <c r="AG652" s="61">
        <v>0.42307692307692307</v>
      </c>
      <c r="AH652" s="61">
        <v>8.241758241758242E-3</v>
      </c>
      <c r="AI652" s="61">
        <v>0.57692307692307687</v>
      </c>
      <c r="AJ652" s="59">
        <v>0.64500000000000002</v>
      </c>
      <c r="AK652" s="59">
        <v>3.2399999999999998E-2</v>
      </c>
      <c r="AL652" s="3">
        <v>0</v>
      </c>
      <c r="AM652" s="3">
        <v>0</v>
      </c>
      <c r="AN652" s="3">
        <v>44</v>
      </c>
      <c r="AO652" s="3">
        <v>418</v>
      </c>
      <c r="AP652" s="3">
        <v>452</v>
      </c>
      <c r="AQ652" s="3">
        <v>462</v>
      </c>
      <c r="AR652" s="3">
        <v>444</v>
      </c>
      <c r="AS652" s="59">
        <v>9.5238095238095233E-2</v>
      </c>
      <c r="AT652" s="3">
        <v>9</v>
      </c>
      <c r="AU652" s="3">
        <v>6</v>
      </c>
      <c r="AV652" s="49">
        <v>59.601990049751194</v>
      </c>
      <c r="AW652" s="49">
        <v>23.18407960199</v>
      </c>
      <c r="AX652" s="49">
        <v>14.925373134328401</v>
      </c>
      <c r="AY652" s="67">
        <v>2.2885572139303498</v>
      </c>
      <c r="AZ652" s="62">
        <v>0.16164241164241164</v>
      </c>
      <c r="BA652" s="62">
        <v>6.3409563409563413E-2</v>
      </c>
      <c r="BB652" s="77">
        <v>93.436408334394201</v>
      </c>
      <c r="BC652" s="49">
        <v>25.025746652935101</v>
      </c>
      <c r="BD652" s="90" t="s">
        <v>83</v>
      </c>
      <c r="BE652" s="90" t="s">
        <v>83</v>
      </c>
      <c r="BF652" s="87">
        <v>9.9</v>
      </c>
      <c r="BG652" s="87">
        <v>7.1</v>
      </c>
      <c r="BH652" s="87">
        <v>3.2</v>
      </c>
      <c r="BI652" s="87">
        <v>2.7</v>
      </c>
      <c r="BJ652" s="49">
        <v>19.3</v>
      </c>
      <c r="BK652" s="126">
        <v>13080</v>
      </c>
      <c r="BL652" s="126">
        <v>52420</v>
      </c>
      <c r="BM652" s="126">
        <v>50449</v>
      </c>
      <c r="BN652" s="126">
        <v>45601</v>
      </c>
      <c r="BO652" s="59">
        <v>0</v>
      </c>
      <c r="BP652" s="59">
        <v>0.38329999999999997</v>
      </c>
      <c r="BQ652" s="59">
        <v>0.21959999999999999</v>
      </c>
      <c r="BR652" s="59">
        <v>4.7000000000000002E-3</v>
      </c>
      <c r="BS652" s="59">
        <v>1.89E-2</v>
      </c>
      <c r="BT652" s="49">
        <v>10.7</v>
      </c>
      <c r="BU652" s="59">
        <f t="shared" si="52"/>
        <v>0.62650000000000006</v>
      </c>
      <c r="BV652" s="59">
        <v>2.8400000000000002E-2</v>
      </c>
      <c r="BW652" s="59">
        <v>4.7000000000000002E-3</v>
      </c>
      <c r="BX652" s="59">
        <v>2.8400000000000002E-2</v>
      </c>
      <c r="BY652" s="59">
        <v>0</v>
      </c>
      <c r="BZ652" s="59">
        <v>4.7000000000000002E-3</v>
      </c>
      <c r="CA652" s="49">
        <v>11.3</v>
      </c>
      <c r="CB652" s="59">
        <f t="shared" si="53"/>
        <v>6.6200000000000009E-2</v>
      </c>
      <c r="CC652" s="59">
        <v>0.26050000000000001</v>
      </c>
      <c r="CD652" s="59">
        <v>0.4022</v>
      </c>
      <c r="CE652" s="59">
        <v>0.30420000000000003</v>
      </c>
      <c r="CF652" s="59">
        <v>9.4999999999999998E-3</v>
      </c>
      <c r="CG652" s="59">
        <v>2.3599999999999999E-2</v>
      </c>
      <c r="CH652" s="49">
        <v>10.7</v>
      </c>
      <c r="CI652" s="25" t="s">
        <v>97</v>
      </c>
      <c r="CJ652" s="18" t="s">
        <v>489</v>
      </c>
      <c r="CK652" s="20"/>
    </row>
    <row r="653" spans="1:89" x14ac:dyDescent="0.25">
      <c r="A653" s="18" t="s">
        <v>489</v>
      </c>
      <c r="B653" s="19" t="s">
        <v>95</v>
      </c>
      <c r="C653" s="25" t="s">
        <v>98</v>
      </c>
      <c r="D653" s="6">
        <v>33</v>
      </c>
      <c r="E653" s="40" t="s">
        <v>83</v>
      </c>
      <c r="F653" s="6">
        <v>33</v>
      </c>
      <c r="G653" s="162" t="s">
        <v>83</v>
      </c>
      <c r="H653" s="162" t="s">
        <v>83</v>
      </c>
      <c r="I653" s="163">
        <v>1</v>
      </c>
      <c r="J653" s="163">
        <v>7</v>
      </c>
      <c r="K653" s="163">
        <v>11</v>
      </c>
      <c r="L653" s="163">
        <v>7</v>
      </c>
      <c r="M653" s="163">
        <v>7</v>
      </c>
      <c r="N653" s="115">
        <v>1.57668418537984E-2</v>
      </c>
      <c r="O653" s="115">
        <v>1.57668418537984E-2</v>
      </c>
      <c r="P653" s="116" t="s">
        <v>83</v>
      </c>
      <c r="Q653" s="116" t="s">
        <v>83</v>
      </c>
      <c r="R653" s="115">
        <v>2.8571428571428598E-2</v>
      </c>
      <c r="S653" s="115">
        <v>1.33587786259542E-2</v>
      </c>
      <c r="T653" s="115">
        <v>1.9642857142857101E-2</v>
      </c>
      <c r="U653" s="115">
        <v>1.3698630136986301E-2</v>
      </c>
      <c r="V653" s="115">
        <v>1.51187904967603E-2</v>
      </c>
      <c r="W653" s="6">
        <v>1970</v>
      </c>
      <c r="X653" s="40">
        <f t="shared" si="50"/>
        <v>1970</v>
      </c>
      <c r="Y653" s="40">
        <f t="shared" si="51"/>
        <v>1970</v>
      </c>
      <c r="Z653" s="59">
        <v>0.47720000000000001</v>
      </c>
      <c r="AA653" s="59">
        <v>0.52280000000000004</v>
      </c>
      <c r="AB653" s="61">
        <v>3.0456852791878172E-3</v>
      </c>
      <c r="AC653" s="61">
        <v>2.5380710659898475E-3</v>
      </c>
      <c r="AD653" s="61">
        <v>0.14213197969543148</v>
      </c>
      <c r="AE653" s="61">
        <v>4.6700507614213196E-2</v>
      </c>
      <c r="AF653" s="61">
        <v>1.0152284263959391E-3</v>
      </c>
      <c r="AG653" s="61">
        <v>0.79441624365482233</v>
      </c>
      <c r="AH653" s="61">
        <v>1.015228426395939E-2</v>
      </c>
      <c r="AI653" s="61">
        <v>0.20558375634517767</v>
      </c>
      <c r="AJ653" s="59">
        <v>0.57699999999999996</v>
      </c>
      <c r="AK653" s="59">
        <v>4.1000000000000003E-3</v>
      </c>
      <c r="AL653" s="3">
        <v>0</v>
      </c>
      <c r="AM653" s="3">
        <v>0</v>
      </c>
      <c r="AN653" s="3">
        <v>32</v>
      </c>
      <c r="AO653" s="3">
        <v>494</v>
      </c>
      <c r="AP653" s="3">
        <v>517</v>
      </c>
      <c r="AQ653" s="3">
        <v>484</v>
      </c>
      <c r="AR653" s="3">
        <v>443</v>
      </c>
      <c r="AS653" s="59">
        <v>6.0836501901140684E-2</v>
      </c>
      <c r="AT653" s="3">
        <v>9</v>
      </c>
      <c r="AU653" s="3">
        <v>6</v>
      </c>
      <c r="AV653" s="49">
        <v>44.653349001175101</v>
      </c>
      <c r="AW653" s="49">
        <v>31.9623971797885</v>
      </c>
      <c r="AX653" s="49">
        <v>22.326674500587501</v>
      </c>
      <c r="AY653" s="67">
        <v>1.05757931844888</v>
      </c>
      <c r="AZ653" s="62">
        <v>9.0733590733590733E-2</v>
      </c>
      <c r="BA653" s="62">
        <v>5.2606177606177605E-2</v>
      </c>
      <c r="BB653" s="78">
        <v>94.360099704861398</v>
      </c>
      <c r="BC653" s="49">
        <v>0.94831673779042203</v>
      </c>
      <c r="BD653" s="90" t="s">
        <v>83</v>
      </c>
      <c r="BE653" s="90" t="s">
        <v>83</v>
      </c>
      <c r="BF653" s="87">
        <v>2.2999999999999998</v>
      </c>
      <c r="BG653" s="87">
        <v>2.2000000000000002</v>
      </c>
      <c r="BH653" s="87">
        <v>6.2</v>
      </c>
      <c r="BI653" s="87">
        <v>0.9</v>
      </c>
      <c r="BJ653" s="49">
        <v>20.2</v>
      </c>
      <c r="BK653" s="126">
        <v>11314</v>
      </c>
      <c r="BL653" s="126">
        <v>53063</v>
      </c>
      <c r="BM653" s="126">
        <v>50618</v>
      </c>
      <c r="BN653" s="126">
        <v>45738</v>
      </c>
      <c r="BO653" s="59">
        <v>0</v>
      </c>
      <c r="BP653" s="59">
        <v>0.43509999999999999</v>
      </c>
      <c r="BQ653" s="59">
        <v>0.17560000000000001</v>
      </c>
      <c r="BR653" s="59">
        <v>5.4000000000000003E-3</v>
      </c>
      <c r="BS653" s="59">
        <v>8.2000000000000007E-3</v>
      </c>
      <c r="BT653" s="49">
        <v>10.3</v>
      </c>
      <c r="BU653" s="59">
        <f t="shared" si="52"/>
        <v>0.62429999999999997</v>
      </c>
      <c r="BV653" s="59">
        <v>3.2599999999999997E-2</v>
      </c>
      <c r="BW653" s="59">
        <v>0</v>
      </c>
      <c r="BX653" s="59">
        <v>2.7199999999999998E-2</v>
      </c>
      <c r="BY653" s="59">
        <v>5.4000000000000003E-3</v>
      </c>
      <c r="BZ653" s="59">
        <v>0</v>
      </c>
      <c r="CA653" s="49">
        <v>16.600000000000001</v>
      </c>
      <c r="CB653" s="59">
        <f t="shared" si="53"/>
        <v>6.5199999999999994E-2</v>
      </c>
      <c r="CC653" s="59">
        <v>0.26700000000000002</v>
      </c>
      <c r="CD653" s="59">
        <v>0.45679999999999998</v>
      </c>
      <c r="CE653" s="59">
        <v>0.24079999999999999</v>
      </c>
      <c r="CF653" s="59">
        <v>2.7199999999999998E-2</v>
      </c>
      <c r="CG653" s="59">
        <v>8.2000000000000007E-3</v>
      </c>
      <c r="CH653" s="49">
        <v>10.3</v>
      </c>
      <c r="CI653" s="25" t="s">
        <v>98</v>
      </c>
      <c r="CJ653" s="18" t="s">
        <v>489</v>
      </c>
      <c r="CK653" s="20"/>
    </row>
    <row r="654" spans="1:89" x14ac:dyDescent="0.25">
      <c r="A654" s="18" t="s">
        <v>489</v>
      </c>
      <c r="B654" s="19" t="s">
        <v>95</v>
      </c>
      <c r="C654" s="25" t="s">
        <v>99</v>
      </c>
      <c r="D654" s="6">
        <v>37</v>
      </c>
      <c r="E654" s="40" t="s">
        <v>83</v>
      </c>
      <c r="F654" s="6">
        <v>37</v>
      </c>
      <c r="G654" s="162" t="s">
        <v>83</v>
      </c>
      <c r="H654" s="162" t="s">
        <v>83</v>
      </c>
      <c r="I654" s="163">
        <v>1</v>
      </c>
      <c r="J654" s="163">
        <v>9</v>
      </c>
      <c r="K654" s="163">
        <v>4</v>
      </c>
      <c r="L654" s="163">
        <v>10</v>
      </c>
      <c r="M654" s="163">
        <v>13</v>
      </c>
      <c r="N654" s="115">
        <v>1.55723905723906E-2</v>
      </c>
      <c r="O654" s="115">
        <v>1.55723905723906E-2</v>
      </c>
      <c r="P654" s="116" t="s">
        <v>83</v>
      </c>
      <c r="Q654" s="116" t="s">
        <v>83</v>
      </c>
      <c r="R654" s="115">
        <v>4.7619047619047603E-2</v>
      </c>
      <c r="S654" s="115">
        <v>1.3595166163142E-2</v>
      </c>
      <c r="T654" s="115">
        <v>6.4308681672025697E-3</v>
      </c>
      <c r="U654" s="115">
        <v>1.7361111111111101E-2</v>
      </c>
      <c r="V654" s="115">
        <v>2.62626262626263E-2</v>
      </c>
      <c r="W654" s="6">
        <v>2265</v>
      </c>
      <c r="X654" s="40">
        <f t="shared" si="50"/>
        <v>2265</v>
      </c>
      <c r="Y654" s="40">
        <f t="shared" si="51"/>
        <v>2265</v>
      </c>
      <c r="Z654" s="59">
        <v>0.49980000000000002</v>
      </c>
      <c r="AA654" s="59">
        <v>0.50019999999999998</v>
      </c>
      <c r="AB654" s="61">
        <v>2.6490066225165563E-3</v>
      </c>
      <c r="AC654" s="61">
        <v>2.781456953642384E-2</v>
      </c>
      <c r="AD654" s="61">
        <v>0.21589403973509932</v>
      </c>
      <c r="AE654" s="61">
        <v>4.150110375275938E-2</v>
      </c>
      <c r="AF654" s="61">
        <v>1.3245033112582781E-3</v>
      </c>
      <c r="AG654" s="61">
        <v>0.6940397350993377</v>
      </c>
      <c r="AH654" s="61">
        <v>1.6777041942604858E-2</v>
      </c>
      <c r="AI654" s="61">
        <v>0.30596026490066225</v>
      </c>
      <c r="AJ654" s="59">
        <v>0.34699999999999998</v>
      </c>
      <c r="AK654" s="59">
        <v>5.7000000000000002E-3</v>
      </c>
      <c r="AL654" s="3">
        <v>0</v>
      </c>
      <c r="AM654" s="3">
        <v>0</v>
      </c>
      <c r="AN654" s="3">
        <v>21</v>
      </c>
      <c r="AO654" s="3">
        <v>624</v>
      </c>
      <c r="AP654" s="3">
        <v>597</v>
      </c>
      <c r="AQ654" s="3">
        <v>570</v>
      </c>
      <c r="AR654" s="3">
        <v>453</v>
      </c>
      <c r="AS654" s="59">
        <v>3.255813953488372E-2</v>
      </c>
      <c r="AT654" s="3">
        <v>9</v>
      </c>
      <c r="AU654" s="3">
        <v>6</v>
      </c>
      <c r="AV654" s="49">
        <v>42.460317460317498</v>
      </c>
      <c r="AW654" s="49">
        <v>32.440476190476197</v>
      </c>
      <c r="AX654" s="49">
        <v>23.511904761904802</v>
      </c>
      <c r="AY654" s="67">
        <v>1.5873015873015901</v>
      </c>
      <c r="AZ654" s="62">
        <v>0.11607142857142858</v>
      </c>
      <c r="BA654" s="62">
        <v>3.6989795918367346E-2</v>
      </c>
      <c r="BB654" s="77">
        <v>95.220497627225299</v>
      </c>
      <c r="BC654" s="49">
        <v>0.46335299073294001</v>
      </c>
      <c r="BD654" s="90" t="s">
        <v>83</v>
      </c>
      <c r="BE654" s="90" t="s">
        <v>83</v>
      </c>
      <c r="BF654" s="87">
        <v>7.1</v>
      </c>
      <c r="BG654" s="87">
        <v>3.6</v>
      </c>
      <c r="BH654" s="87">
        <v>4.9000000000000004</v>
      </c>
      <c r="BI654" s="87">
        <v>2.1</v>
      </c>
      <c r="BJ654" s="49">
        <v>22.4</v>
      </c>
      <c r="BK654" s="126">
        <v>10596</v>
      </c>
      <c r="BL654" s="126">
        <v>53749</v>
      </c>
      <c r="BM654" s="126">
        <v>53199</v>
      </c>
      <c r="BN654" s="126">
        <v>45599</v>
      </c>
      <c r="BO654" s="59">
        <v>0</v>
      </c>
      <c r="BP654" s="59">
        <v>0.39279999999999998</v>
      </c>
      <c r="BQ654" s="59">
        <v>0.2356</v>
      </c>
      <c r="BR654" s="59">
        <v>1.0200000000000001E-2</v>
      </c>
      <c r="BS654" s="59">
        <v>1.0200000000000001E-2</v>
      </c>
      <c r="BT654" s="49">
        <v>12.7</v>
      </c>
      <c r="BU654" s="59">
        <f t="shared" si="52"/>
        <v>0.64879999999999993</v>
      </c>
      <c r="BV654" s="59">
        <v>2.0299999999999999E-2</v>
      </c>
      <c r="BW654" s="59">
        <v>0</v>
      </c>
      <c r="BX654" s="59">
        <v>2.5399999999999999E-2</v>
      </c>
      <c r="BY654" s="59">
        <v>0</v>
      </c>
      <c r="BZ654" s="59">
        <v>0</v>
      </c>
      <c r="CA654" s="49">
        <v>17.2</v>
      </c>
      <c r="CB654" s="59">
        <f t="shared" si="53"/>
        <v>4.5699999999999998E-2</v>
      </c>
      <c r="CC654" s="59">
        <v>0.27300000000000002</v>
      </c>
      <c r="CD654" s="59">
        <v>0.39279999999999998</v>
      </c>
      <c r="CE654" s="59">
        <v>0.31180000000000002</v>
      </c>
      <c r="CF654" s="59">
        <v>1.2200000000000001E-2</v>
      </c>
      <c r="CG654" s="59">
        <v>1.0200000000000001E-2</v>
      </c>
      <c r="CH654" s="49">
        <v>11.7</v>
      </c>
      <c r="CI654" s="25" t="s">
        <v>99</v>
      </c>
      <c r="CJ654" s="18" t="s">
        <v>489</v>
      </c>
      <c r="CK654" s="20"/>
    </row>
    <row r="655" spans="1:89" x14ac:dyDescent="0.25">
      <c r="A655" s="18" t="s">
        <v>489</v>
      </c>
      <c r="B655" s="19" t="s">
        <v>100</v>
      </c>
      <c r="C655" s="25" t="s">
        <v>101</v>
      </c>
      <c r="D655" s="6">
        <v>17</v>
      </c>
      <c r="E655" s="40" t="s">
        <v>83</v>
      </c>
      <c r="F655" s="6">
        <v>17</v>
      </c>
      <c r="G655" s="162" t="s">
        <v>83</v>
      </c>
      <c r="H655" s="162" t="s">
        <v>83</v>
      </c>
      <c r="I655" s="163">
        <v>0</v>
      </c>
      <c r="J655" s="163">
        <v>3</v>
      </c>
      <c r="K655" s="163">
        <v>6</v>
      </c>
      <c r="L655" s="163">
        <v>4</v>
      </c>
      <c r="M655" s="163">
        <v>4</v>
      </c>
      <c r="N655" s="115">
        <v>1.53429602888087E-2</v>
      </c>
      <c r="O655" s="115">
        <v>1.53429602888087E-2</v>
      </c>
      <c r="P655" s="116" t="s">
        <v>83</v>
      </c>
      <c r="Q655" s="116" t="s">
        <v>83</v>
      </c>
      <c r="R655" s="115">
        <v>0</v>
      </c>
      <c r="S655" s="115">
        <v>9.8039215686274508E-3</v>
      </c>
      <c r="T655" s="115">
        <v>2.1818181818181799E-2</v>
      </c>
      <c r="U655" s="115">
        <v>1.41843971631206E-2</v>
      </c>
      <c r="V655" s="115">
        <v>1.8181818181818198E-2</v>
      </c>
      <c r="W655" s="6">
        <v>1043</v>
      </c>
      <c r="X655" s="40">
        <f t="shared" si="50"/>
        <v>1043</v>
      </c>
      <c r="Y655" s="40">
        <f t="shared" si="51"/>
        <v>1043</v>
      </c>
      <c r="Z655" s="59">
        <v>0.48320000000000002</v>
      </c>
      <c r="AA655" s="59">
        <v>0.51680000000000004</v>
      </c>
      <c r="AB655" s="61">
        <v>2.8763183125599234E-3</v>
      </c>
      <c r="AC655" s="61">
        <v>3.8350910834132309E-3</v>
      </c>
      <c r="AD655" s="61">
        <v>0.39884947267497606</v>
      </c>
      <c r="AE655" s="61">
        <v>3.6433365292425697E-2</v>
      </c>
      <c r="AF655" s="61">
        <v>0</v>
      </c>
      <c r="AG655" s="61">
        <v>0.55417066155321193</v>
      </c>
      <c r="AH655" s="61">
        <v>3.8350910834132309E-3</v>
      </c>
      <c r="AI655" s="61">
        <v>0.44582933844678813</v>
      </c>
      <c r="AJ655" s="59">
        <v>0.61899999999999999</v>
      </c>
      <c r="AK655" s="59">
        <v>1.0500000000000001E-2</v>
      </c>
      <c r="AL655" s="3">
        <v>0</v>
      </c>
      <c r="AM655" s="3">
        <v>0</v>
      </c>
      <c r="AN655" s="3">
        <v>24</v>
      </c>
      <c r="AO655" s="3">
        <v>282</v>
      </c>
      <c r="AP655" s="3">
        <v>258</v>
      </c>
      <c r="AQ655" s="3">
        <v>271</v>
      </c>
      <c r="AR655" s="3">
        <v>208</v>
      </c>
      <c r="AS655" s="59">
        <v>7.8431372549019607E-2</v>
      </c>
      <c r="AT655" s="3">
        <v>9</v>
      </c>
      <c r="AU655" s="3">
        <v>6</v>
      </c>
      <c r="AV655" s="49">
        <v>60.919540229885108</v>
      </c>
      <c r="AW655" s="49">
        <v>28.927203065134101</v>
      </c>
      <c r="AX655" s="49">
        <v>9.7701149425287408</v>
      </c>
      <c r="AY655" s="67">
        <v>0.38314176245210702</v>
      </c>
      <c r="AZ655" s="62">
        <v>0.16134913400182316</v>
      </c>
      <c r="BA655" s="62">
        <v>0.11303555150410209</v>
      </c>
      <c r="BB655" s="78">
        <v>94.136965348149303</v>
      </c>
      <c r="BC655" s="49">
        <v>15.045045045045001</v>
      </c>
      <c r="BD655" s="90" t="s">
        <v>83</v>
      </c>
      <c r="BE655" s="90" t="s">
        <v>83</v>
      </c>
      <c r="BF655" s="87">
        <v>4.5</v>
      </c>
      <c r="BG655" s="87">
        <v>2</v>
      </c>
      <c r="BH655" s="87">
        <v>2</v>
      </c>
      <c r="BI655" s="87">
        <v>2.2999999999999998</v>
      </c>
      <c r="BJ655" s="49">
        <v>18.8</v>
      </c>
      <c r="BK655" s="126">
        <v>11867</v>
      </c>
      <c r="BL655" s="126">
        <v>52213</v>
      </c>
      <c r="BM655" s="126">
        <v>52033</v>
      </c>
      <c r="BN655" s="126">
        <v>41732</v>
      </c>
      <c r="BO655" s="59">
        <v>3.8399999999999997E-2</v>
      </c>
      <c r="BP655" s="59">
        <v>0.28870000000000001</v>
      </c>
      <c r="BQ655" s="59">
        <v>0.2218</v>
      </c>
      <c r="BR655" s="59">
        <v>8.3000000000000001E-3</v>
      </c>
      <c r="BS655" s="59">
        <v>0</v>
      </c>
      <c r="BT655" s="49">
        <v>15.2</v>
      </c>
      <c r="BU655" s="59">
        <f t="shared" si="52"/>
        <v>0.55719999999999992</v>
      </c>
      <c r="BV655" s="59">
        <v>3.32E-2</v>
      </c>
      <c r="BW655" s="59">
        <v>0</v>
      </c>
      <c r="BX655" s="59">
        <v>3.32E-2</v>
      </c>
      <c r="BY655" s="59">
        <v>0</v>
      </c>
      <c r="BZ655" s="59">
        <v>0</v>
      </c>
      <c r="CA655" s="49">
        <v>16</v>
      </c>
      <c r="CB655" s="59">
        <f t="shared" si="53"/>
        <v>6.6400000000000001E-2</v>
      </c>
      <c r="CC655" s="59">
        <v>0.39140000000000003</v>
      </c>
      <c r="CD655" s="59">
        <v>0.30109999999999998</v>
      </c>
      <c r="CE655" s="59">
        <v>0.2979</v>
      </c>
      <c r="CF655" s="59">
        <v>8.3000000000000001E-3</v>
      </c>
      <c r="CG655" s="59">
        <v>1.1999999999999999E-3</v>
      </c>
      <c r="CH655" s="49">
        <v>14.9</v>
      </c>
      <c r="CI655" s="25" t="s">
        <v>101</v>
      </c>
      <c r="CJ655" s="18" t="s">
        <v>489</v>
      </c>
      <c r="CK655" s="20"/>
    </row>
    <row r="656" spans="1:89" x14ac:dyDescent="0.25">
      <c r="A656" s="18" t="s">
        <v>489</v>
      </c>
      <c r="B656" s="19" t="s">
        <v>102</v>
      </c>
      <c r="C656" s="25" t="s">
        <v>490</v>
      </c>
      <c r="D656" s="6">
        <v>15</v>
      </c>
      <c r="E656" s="6">
        <v>0</v>
      </c>
      <c r="F656" s="6">
        <v>15</v>
      </c>
      <c r="G656" s="163">
        <v>0</v>
      </c>
      <c r="H656" s="163">
        <v>0</v>
      </c>
      <c r="I656" s="163">
        <v>1</v>
      </c>
      <c r="J656" s="163">
        <v>0</v>
      </c>
      <c r="K656" s="163">
        <v>5</v>
      </c>
      <c r="L656" s="163">
        <v>6</v>
      </c>
      <c r="M656" s="163">
        <v>3</v>
      </c>
      <c r="N656" s="115">
        <v>2.4429967426710102E-2</v>
      </c>
      <c r="O656" s="115">
        <v>3.8759689922480599E-2</v>
      </c>
      <c r="P656" s="115">
        <v>0</v>
      </c>
      <c r="Q656" s="115">
        <v>0</v>
      </c>
      <c r="R656" s="115">
        <v>0.25</v>
      </c>
      <c r="S656" s="115">
        <v>0</v>
      </c>
      <c r="T656" s="115">
        <v>5.7471264367816098E-2</v>
      </c>
      <c r="U656" s="115">
        <v>7.4074074074074098E-2</v>
      </c>
      <c r="V656" s="115">
        <v>4.5454545454545497E-2</v>
      </c>
      <c r="W656" s="6">
        <v>555</v>
      </c>
      <c r="X656" s="40">
        <f t="shared" si="50"/>
        <v>349</v>
      </c>
      <c r="Y656" s="40">
        <f t="shared" si="51"/>
        <v>555</v>
      </c>
      <c r="Z656" s="59">
        <v>0.50270000000000004</v>
      </c>
      <c r="AA656" s="59">
        <v>0.49730000000000002</v>
      </c>
      <c r="AB656" s="61">
        <v>1.8018018018018018E-3</v>
      </c>
      <c r="AC656" s="61">
        <v>3.6036036036036037E-3</v>
      </c>
      <c r="AD656" s="61">
        <v>0.59459459459459463</v>
      </c>
      <c r="AE656" s="61">
        <v>2.5225225225225224E-2</v>
      </c>
      <c r="AF656" s="61">
        <v>0</v>
      </c>
      <c r="AG656" s="61">
        <v>0.36756756756756759</v>
      </c>
      <c r="AH656" s="61">
        <v>7.2072072072072073E-3</v>
      </c>
      <c r="AI656" s="61">
        <v>0.63243243243243241</v>
      </c>
      <c r="AJ656" s="59">
        <v>0.79500000000000004</v>
      </c>
      <c r="AK656" s="59">
        <v>3.5999999999999999E-3</v>
      </c>
      <c r="AL656" s="3">
        <v>116</v>
      </c>
      <c r="AM656" s="3">
        <v>90</v>
      </c>
      <c r="AN656" s="3">
        <v>3</v>
      </c>
      <c r="AO656" s="3">
        <v>135</v>
      </c>
      <c r="AP656" s="3">
        <v>79</v>
      </c>
      <c r="AQ656" s="3">
        <v>69</v>
      </c>
      <c r="AR656" s="3">
        <v>63</v>
      </c>
      <c r="AS656" s="59">
        <v>2.1739130434782608E-2</v>
      </c>
      <c r="AT656" s="3">
        <v>7</v>
      </c>
      <c r="AU656" s="3">
        <v>6</v>
      </c>
      <c r="AV656" s="49">
        <v>60.074626865671597</v>
      </c>
      <c r="AW656" s="49">
        <v>13.0597014925373</v>
      </c>
      <c r="AX656" s="49">
        <v>20.8955223880597</v>
      </c>
      <c r="AY656" s="67">
        <v>5.9701492537313401</v>
      </c>
      <c r="AZ656" s="62">
        <v>0.2441860465116279</v>
      </c>
      <c r="BA656" s="62">
        <v>0.43189368770764119</v>
      </c>
      <c r="BB656" s="77">
        <v>89.973410267727402</v>
      </c>
      <c r="BC656" s="49">
        <v>40.558292282430202</v>
      </c>
      <c r="BD656" s="87">
        <v>0.9</v>
      </c>
      <c r="BE656" s="87">
        <v>2.4</v>
      </c>
      <c r="BF656" s="87">
        <v>21.3</v>
      </c>
      <c r="BG656" s="87">
        <v>12.5</v>
      </c>
      <c r="BH656" s="87">
        <v>7.9</v>
      </c>
      <c r="BI656" s="87">
        <v>3.2</v>
      </c>
      <c r="BJ656" s="49">
        <v>17.600000000000001</v>
      </c>
      <c r="BK656" s="126">
        <v>8627</v>
      </c>
      <c r="BL656" s="126">
        <v>44277</v>
      </c>
      <c r="BM656" s="126">
        <v>32768</v>
      </c>
      <c r="BN656" s="126">
        <v>36620</v>
      </c>
      <c r="BO656" s="59">
        <v>0</v>
      </c>
      <c r="BP656" s="59">
        <v>0.40670000000000001</v>
      </c>
      <c r="BQ656" s="59">
        <v>0.14960000000000001</v>
      </c>
      <c r="BR656" s="59">
        <v>0</v>
      </c>
      <c r="BS656" s="59">
        <v>0</v>
      </c>
      <c r="BT656" s="49">
        <v>15.8</v>
      </c>
      <c r="BU656" s="59">
        <f t="shared" si="52"/>
        <v>0.55630000000000002</v>
      </c>
      <c r="BV656" s="59">
        <v>4.99E-2</v>
      </c>
      <c r="BW656" s="59">
        <v>2.4899999999999999E-2</v>
      </c>
      <c r="BX656" s="59">
        <v>2.4899999999999999E-2</v>
      </c>
      <c r="BY656" s="59">
        <v>0</v>
      </c>
      <c r="BZ656" s="59">
        <v>0</v>
      </c>
      <c r="CA656" s="49">
        <v>11.8</v>
      </c>
      <c r="CB656" s="59">
        <f t="shared" si="53"/>
        <v>9.9700000000000011E-2</v>
      </c>
      <c r="CC656" s="59">
        <v>0.31900000000000001</v>
      </c>
      <c r="CD656" s="59">
        <v>0.43169999999999997</v>
      </c>
      <c r="CE656" s="59">
        <v>0.22439999999999999</v>
      </c>
      <c r="CF656" s="59">
        <v>2.4899999999999999E-2</v>
      </c>
      <c r="CG656" s="59">
        <v>0</v>
      </c>
      <c r="CH656" s="49">
        <v>13.9</v>
      </c>
      <c r="CI656" s="25" t="s">
        <v>490</v>
      </c>
      <c r="CJ656" s="18" t="s">
        <v>489</v>
      </c>
      <c r="CK656" s="20"/>
    </row>
    <row r="657" spans="1:89" x14ac:dyDescent="0.25">
      <c r="A657" s="18" t="s">
        <v>489</v>
      </c>
      <c r="B657" s="19" t="s">
        <v>102</v>
      </c>
      <c r="C657" s="25" t="s">
        <v>104</v>
      </c>
      <c r="D657" s="6">
        <v>14</v>
      </c>
      <c r="E657" s="6">
        <v>1</v>
      </c>
      <c r="F657" s="6">
        <v>13</v>
      </c>
      <c r="G657" s="163">
        <v>0</v>
      </c>
      <c r="H657" s="163">
        <v>1</v>
      </c>
      <c r="I657" s="162" t="s">
        <v>83</v>
      </c>
      <c r="J657" s="163">
        <v>2</v>
      </c>
      <c r="K657" s="163">
        <v>5</v>
      </c>
      <c r="L657" s="163">
        <v>3</v>
      </c>
      <c r="M657" s="163">
        <v>3</v>
      </c>
      <c r="N657" s="115">
        <v>1.5503875968992199E-2</v>
      </c>
      <c r="O657" s="115">
        <v>2.24137931034483E-2</v>
      </c>
      <c r="P657" s="115">
        <v>0</v>
      </c>
      <c r="Q657" s="115">
        <v>6.5789473684210497E-3</v>
      </c>
      <c r="R657" s="116" t="s">
        <v>83</v>
      </c>
      <c r="S657" s="115">
        <v>1.5748031496062999E-2</v>
      </c>
      <c r="T657" s="115">
        <v>2.7322404371584699E-2</v>
      </c>
      <c r="U657" s="115">
        <v>1.9867549668874201E-2</v>
      </c>
      <c r="V657" s="115">
        <v>2.5210084033613401E-2</v>
      </c>
      <c r="W657" s="6">
        <v>804</v>
      </c>
      <c r="X657" s="40">
        <f t="shared" si="50"/>
        <v>522</v>
      </c>
      <c r="Y657" s="40">
        <f t="shared" si="51"/>
        <v>804</v>
      </c>
      <c r="Z657" s="59">
        <v>0.495</v>
      </c>
      <c r="AA657" s="59">
        <v>0.505</v>
      </c>
      <c r="AB657" s="61">
        <v>2.6119402985074626E-2</v>
      </c>
      <c r="AC657" s="61">
        <v>1.9900497512437811E-2</v>
      </c>
      <c r="AD657" s="61">
        <v>0.47885572139303484</v>
      </c>
      <c r="AE657" s="61">
        <v>7.462686567164179E-3</v>
      </c>
      <c r="AF657" s="61">
        <v>0</v>
      </c>
      <c r="AG657" s="61">
        <v>0.46019900497512439</v>
      </c>
      <c r="AH657" s="61">
        <v>7.462686567164179E-3</v>
      </c>
      <c r="AI657" s="61">
        <v>0.53980099502487566</v>
      </c>
      <c r="AJ657" s="59">
        <v>0.83199999999999996</v>
      </c>
      <c r="AK657" s="59">
        <v>1.12E-2</v>
      </c>
      <c r="AL657" s="3">
        <v>144</v>
      </c>
      <c r="AM657" s="3">
        <v>138</v>
      </c>
      <c r="AN657" s="3">
        <v>0</v>
      </c>
      <c r="AO657" s="3">
        <v>114</v>
      </c>
      <c r="AP657" s="3">
        <v>161</v>
      </c>
      <c r="AQ657" s="3">
        <v>137</v>
      </c>
      <c r="AR657" s="3">
        <v>110</v>
      </c>
      <c r="AS657" s="59">
        <v>0</v>
      </c>
      <c r="AT657" s="3">
        <v>7</v>
      </c>
      <c r="AU657" s="3">
        <v>6</v>
      </c>
      <c r="AV657" s="49">
        <v>43.288590604026801</v>
      </c>
      <c r="AW657" s="49">
        <v>29.194630872483202</v>
      </c>
      <c r="AX657" s="49">
        <v>25.838926174496603</v>
      </c>
      <c r="AY657" s="67">
        <v>1.6778523489932899</v>
      </c>
      <c r="AZ657" s="62">
        <v>0.19217877094972066</v>
      </c>
      <c r="BA657" s="62">
        <v>0.33631284916201115</v>
      </c>
      <c r="BB657" s="78">
        <v>88.880985032377296</v>
      </c>
      <c r="BC657" s="49">
        <v>35.320088300220803</v>
      </c>
      <c r="BD657" s="87">
        <v>22.4</v>
      </c>
      <c r="BE657" s="87">
        <v>8</v>
      </c>
      <c r="BF657" s="87">
        <v>5.0999999999999996</v>
      </c>
      <c r="BG657" s="87">
        <v>16.8</v>
      </c>
      <c r="BH657" s="87">
        <v>10.7</v>
      </c>
      <c r="BI657" s="87">
        <v>1.9</v>
      </c>
      <c r="BJ657" s="49">
        <v>18.3</v>
      </c>
      <c r="BK657" s="126">
        <v>8888</v>
      </c>
      <c r="BL657" s="126">
        <v>44650</v>
      </c>
      <c r="BM657" s="126">
        <v>53972</v>
      </c>
      <c r="BN657" s="126">
        <v>36360</v>
      </c>
      <c r="BO657" s="59">
        <v>0</v>
      </c>
      <c r="BP657" s="59">
        <v>0.40770000000000001</v>
      </c>
      <c r="BQ657" s="59">
        <v>0.12670000000000001</v>
      </c>
      <c r="BR657" s="59">
        <v>0</v>
      </c>
      <c r="BS657" s="59">
        <v>0</v>
      </c>
      <c r="BT657" s="49">
        <v>12</v>
      </c>
      <c r="BU657" s="59">
        <f t="shared" si="52"/>
        <v>0.53439999999999999</v>
      </c>
      <c r="BV657" s="59">
        <v>1.5800000000000002E-2</v>
      </c>
      <c r="BW657" s="59">
        <v>0</v>
      </c>
      <c r="BX657" s="59">
        <v>6.3299999999999995E-2</v>
      </c>
      <c r="BY657" s="59">
        <v>0</v>
      </c>
      <c r="BZ657" s="59">
        <v>0</v>
      </c>
      <c r="CA657" s="49">
        <v>14</v>
      </c>
      <c r="CB657" s="59">
        <f t="shared" si="53"/>
        <v>7.9100000000000004E-2</v>
      </c>
      <c r="CC657" s="59">
        <v>0.3548</v>
      </c>
      <c r="CD657" s="59">
        <v>0.43940000000000001</v>
      </c>
      <c r="CE657" s="59">
        <v>0.2059</v>
      </c>
      <c r="CF657" s="59">
        <v>0</v>
      </c>
      <c r="CG657" s="59">
        <v>0</v>
      </c>
      <c r="CH657" s="49">
        <v>12.4</v>
      </c>
      <c r="CI657" s="25" t="s">
        <v>104</v>
      </c>
      <c r="CJ657" s="18" t="s">
        <v>489</v>
      </c>
      <c r="CK657" s="20"/>
    </row>
    <row r="658" spans="1:89" x14ac:dyDescent="0.25">
      <c r="A658" s="18" t="s">
        <v>489</v>
      </c>
      <c r="B658" s="19" t="s">
        <v>102</v>
      </c>
      <c r="C658" s="25" t="s">
        <v>105</v>
      </c>
      <c r="D658" s="6">
        <v>6</v>
      </c>
      <c r="E658" s="6">
        <v>2</v>
      </c>
      <c r="F658" s="6">
        <v>4</v>
      </c>
      <c r="G658" s="163">
        <v>2</v>
      </c>
      <c r="H658" s="163">
        <v>0</v>
      </c>
      <c r="I658" s="163">
        <v>0</v>
      </c>
      <c r="J658" s="163">
        <v>2</v>
      </c>
      <c r="K658" s="163">
        <v>1</v>
      </c>
      <c r="L658" s="163">
        <v>1</v>
      </c>
      <c r="M658" s="163">
        <v>0</v>
      </c>
      <c r="N658" s="115">
        <v>8.6206896551724102E-3</v>
      </c>
      <c r="O658" s="115">
        <v>9.3023255813953504E-3</v>
      </c>
      <c r="P658" s="115">
        <v>1.3986013986014E-2</v>
      </c>
      <c r="Q658" s="115">
        <v>0</v>
      </c>
      <c r="R658" s="115">
        <v>0</v>
      </c>
      <c r="S658" s="115">
        <v>2.27272727272727E-2</v>
      </c>
      <c r="T658" s="115">
        <v>8.6956521739130401E-3</v>
      </c>
      <c r="U658" s="115">
        <v>9.4339622641509396E-3</v>
      </c>
      <c r="V658" s="115">
        <v>0</v>
      </c>
      <c r="W658" s="6">
        <v>650</v>
      </c>
      <c r="X658" s="40">
        <f t="shared" si="50"/>
        <v>401</v>
      </c>
      <c r="Y658" s="40">
        <f t="shared" si="51"/>
        <v>650</v>
      </c>
      <c r="Z658" s="59">
        <v>0.44</v>
      </c>
      <c r="AA658" s="59">
        <v>0.56000000000000005</v>
      </c>
      <c r="AB658" s="61">
        <v>9.2307692307692316E-3</v>
      </c>
      <c r="AC658" s="61">
        <v>4.6153846153846158E-3</v>
      </c>
      <c r="AD658" s="61">
        <v>0.48615384615384616</v>
      </c>
      <c r="AE658" s="61">
        <v>1.0769230769230769E-2</v>
      </c>
      <c r="AF658" s="61">
        <v>0</v>
      </c>
      <c r="AG658" s="61">
        <v>0.48461538461538461</v>
      </c>
      <c r="AH658" s="61">
        <v>4.6153846153846158E-3</v>
      </c>
      <c r="AI658" s="61">
        <v>0.51538461538461533</v>
      </c>
      <c r="AJ658" s="59">
        <v>0.77200000000000002</v>
      </c>
      <c r="AK658" s="59">
        <v>3.0999999999999999E-3</v>
      </c>
      <c r="AL658" s="3">
        <v>131</v>
      </c>
      <c r="AM658" s="3">
        <v>118</v>
      </c>
      <c r="AN658" s="3">
        <v>43</v>
      </c>
      <c r="AO658" s="3">
        <v>73</v>
      </c>
      <c r="AP658" s="3">
        <v>108</v>
      </c>
      <c r="AQ658" s="3">
        <v>102</v>
      </c>
      <c r="AR658" s="3">
        <v>75</v>
      </c>
      <c r="AS658" s="59">
        <v>0.37068965517241381</v>
      </c>
      <c r="AT658" s="3">
        <v>7</v>
      </c>
      <c r="AU658" s="3">
        <v>6</v>
      </c>
      <c r="AV658" s="49">
        <v>55.517241379310299</v>
      </c>
      <c r="AW658" s="49">
        <v>13.7931034482759</v>
      </c>
      <c r="AX658" s="49">
        <v>26.551724137931</v>
      </c>
      <c r="AY658" s="67">
        <v>4.1379310344827598</v>
      </c>
      <c r="AZ658" s="62">
        <v>0.34676258992805753</v>
      </c>
      <c r="BA658" s="62">
        <v>0.39712230215827338</v>
      </c>
      <c r="BB658" s="77">
        <v>90.976031945194904</v>
      </c>
      <c r="BC658" s="49">
        <v>39.548022598870098</v>
      </c>
      <c r="BD658" s="87">
        <v>7.9</v>
      </c>
      <c r="BE658" s="87">
        <v>9.5</v>
      </c>
      <c r="BF658" s="87">
        <v>4.3</v>
      </c>
      <c r="BG658" s="87">
        <v>3.2</v>
      </c>
      <c r="BH658" s="87">
        <v>2.4</v>
      </c>
      <c r="BI658" s="87">
        <v>0</v>
      </c>
      <c r="BJ658" s="49">
        <v>17.8</v>
      </c>
      <c r="BK658" s="126">
        <v>9638</v>
      </c>
      <c r="BL658" s="126">
        <v>43763</v>
      </c>
      <c r="BM658" s="126">
        <v>44118</v>
      </c>
      <c r="BN658" s="126">
        <v>34663</v>
      </c>
      <c r="BO658" s="59">
        <v>0</v>
      </c>
      <c r="BP658" s="59">
        <v>0.39479999999999998</v>
      </c>
      <c r="BQ658" s="59">
        <v>8.77E-2</v>
      </c>
      <c r="BR658" s="59">
        <v>0</v>
      </c>
      <c r="BS658" s="59">
        <v>0</v>
      </c>
      <c r="BT658" s="49">
        <v>10.8</v>
      </c>
      <c r="BU658" s="59">
        <f t="shared" si="52"/>
        <v>0.48249999999999998</v>
      </c>
      <c r="BV658" s="59">
        <v>3.5099999999999999E-2</v>
      </c>
      <c r="BW658" s="59">
        <v>1.7500000000000002E-2</v>
      </c>
      <c r="BX658" s="59">
        <v>3.5099999999999999E-2</v>
      </c>
      <c r="BY658" s="59">
        <v>0</v>
      </c>
      <c r="BZ658" s="59">
        <v>0</v>
      </c>
      <c r="CA658" s="49">
        <v>15.2</v>
      </c>
      <c r="CB658" s="59">
        <f t="shared" si="53"/>
        <v>8.77E-2</v>
      </c>
      <c r="CC658" s="59">
        <v>0.4123</v>
      </c>
      <c r="CD658" s="59">
        <v>0.4299</v>
      </c>
      <c r="CE658" s="59">
        <v>0.15790000000000001</v>
      </c>
      <c r="CF658" s="59">
        <v>0</v>
      </c>
      <c r="CG658" s="59">
        <v>0</v>
      </c>
      <c r="CH658" s="49">
        <v>11.5</v>
      </c>
      <c r="CI658" s="25" t="s">
        <v>105</v>
      </c>
      <c r="CJ658" s="18" t="s">
        <v>489</v>
      </c>
      <c r="CK658" s="20"/>
    </row>
    <row r="659" spans="1:89" x14ac:dyDescent="0.25">
      <c r="A659" s="18" t="s">
        <v>489</v>
      </c>
      <c r="B659" s="19" t="s">
        <v>102</v>
      </c>
      <c r="C659" s="25" t="s">
        <v>106</v>
      </c>
      <c r="D659" s="6">
        <v>3</v>
      </c>
      <c r="E659" s="6">
        <v>1</v>
      </c>
      <c r="F659" s="6">
        <v>2</v>
      </c>
      <c r="G659" s="163">
        <v>0</v>
      </c>
      <c r="H659" s="163">
        <v>1</v>
      </c>
      <c r="I659" s="162" t="s">
        <v>83</v>
      </c>
      <c r="J659" s="163">
        <v>0</v>
      </c>
      <c r="K659" s="163">
        <v>0</v>
      </c>
      <c r="L659" s="163">
        <v>2</v>
      </c>
      <c r="M659" s="163">
        <v>0</v>
      </c>
      <c r="N659" s="115">
        <v>7.3349633251833697E-3</v>
      </c>
      <c r="O659" s="115">
        <v>7.9365079365079395E-3</v>
      </c>
      <c r="P659" s="115">
        <v>0</v>
      </c>
      <c r="Q659" s="115">
        <v>1.20481927710843E-2</v>
      </c>
      <c r="R659" s="116" t="s">
        <v>83</v>
      </c>
      <c r="S659" s="115">
        <v>0</v>
      </c>
      <c r="T659" s="115">
        <v>0</v>
      </c>
      <c r="U659" s="115">
        <v>3.5087719298245598E-2</v>
      </c>
      <c r="V659" s="115">
        <v>0</v>
      </c>
      <c r="W659" s="6">
        <v>403</v>
      </c>
      <c r="X659" s="40">
        <f t="shared" si="50"/>
        <v>247</v>
      </c>
      <c r="Y659" s="40">
        <f t="shared" si="51"/>
        <v>403</v>
      </c>
      <c r="Z659" s="59">
        <v>0.51859999999999995</v>
      </c>
      <c r="AA659" s="59">
        <v>0.48139999999999999</v>
      </c>
      <c r="AB659" s="61">
        <v>7.4441687344913151E-3</v>
      </c>
      <c r="AC659" s="61">
        <v>0</v>
      </c>
      <c r="AD659" s="61">
        <v>0.31265508684863524</v>
      </c>
      <c r="AE659" s="61">
        <v>1.488833746898263E-2</v>
      </c>
      <c r="AF659" s="61">
        <v>0</v>
      </c>
      <c r="AG659" s="61">
        <v>0.65260545905707201</v>
      </c>
      <c r="AH659" s="61">
        <v>1.2406947890818859E-2</v>
      </c>
      <c r="AI659" s="61">
        <v>0.34739454094292804</v>
      </c>
      <c r="AJ659" s="59">
        <v>0.57799999999999996</v>
      </c>
      <c r="AK659" s="59">
        <v>0</v>
      </c>
      <c r="AL659" s="3">
        <v>74</v>
      </c>
      <c r="AM659" s="3">
        <v>82</v>
      </c>
      <c r="AN659" s="3">
        <v>0</v>
      </c>
      <c r="AO659" s="3">
        <v>72</v>
      </c>
      <c r="AP659" s="3">
        <v>67</v>
      </c>
      <c r="AQ659" s="3">
        <v>56</v>
      </c>
      <c r="AR659" s="3">
        <v>52</v>
      </c>
      <c r="AS659" s="59">
        <v>0</v>
      </c>
      <c r="AT659" s="3">
        <v>7</v>
      </c>
      <c r="AU659" s="3">
        <v>4</v>
      </c>
      <c r="AV659" s="49">
        <v>50.649350649350602</v>
      </c>
      <c r="AW659" s="49">
        <v>29.870129870129901</v>
      </c>
      <c r="AX659" s="49">
        <v>16.883116883116898</v>
      </c>
      <c r="AY659" s="67">
        <v>2.5974025974026</v>
      </c>
      <c r="AZ659" s="62">
        <v>8.3129584352078234E-2</v>
      </c>
      <c r="BA659" s="62">
        <v>0.12224938875305623</v>
      </c>
      <c r="BB659" s="78">
        <v>94.000292205420394</v>
      </c>
      <c r="BC659" s="49">
        <v>21.153846153846199</v>
      </c>
      <c r="BD659" s="87">
        <v>0</v>
      </c>
      <c r="BE659" s="87">
        <v>0</v>
      </c>
      <c r="BF659" s="87">
        <v>3</v>
      </c>
      <c r="BG659" s="87">
        <v>0</v>
      </c>
      <c r="BH659" s="87">
        <v>0</v>
      </c>
      <c r="BI659" s="87">
        <v>0</v>
      </c>
      <c r="BJ659" s="49">
        <v>18.3</v>
      </c>
      <c r="BK659" s="126">
        <v>9517</v>
      </c>
      <c r="BL659" s="126">
        <v>47732</v>
      </c>
      <c r="BM659" s="126">
        <v>50738</v>
      </c>
      <c r="BN659" s="126">
        <v>41047</v>
      </c>
      <c r="BO659" s="59">
        <v>0</v>
      </c>
      <c r="BP659" s="59">
        <v>0.46960000000000002</v>
      </c>
      <c r="BQ659" s="59">
        <v>0.156</v>
      </c>
      <c r="BR659" s="59">
        <v>0</v>
      </c>
      <c r="BS659" s="59">
        <v>0</v>
      </c>
      <c r="BT659" s="49">
        <v>17.8</v>
      </c>
      <c r="BU659" s="59">
        <f t="shared" si="52"/>
        <v>0.62560000000000004</v>
      </c>
      <c r="BV659" s="59">
        <v>3.1199999999999999E-2</v>
      </c>
      <c r="BW659" s="59">
        <v>0</v>
      </c>
      <c r="BX659" s="59">
        <v>3.1199999999999999E-2</v>
      </c>
      <c r="BY659" s="59">
        <v>0</v>
      </c>
      <c r="BZ659" s="59">
        <v>0</v>
      </c>
      <c r="CA659" s="49">
        <v>25</v>
      </c>
      <c r="CB659" s="59">
        <f t="shared" si="53"/>
        <v>6.2399999999999997E-2</v>
      </c>
      <c r="CC659" s="59">
        <v>0.24959999999999999</v>
      </c>
      <c r="CD659" s="59">
        <v>0.50080000000000002</v>
      </c>
      <c r="CE659" s="59">
        <v>0.24959999999999999</v>
      </c>
      <c r="CF659" s="59">
        <v>0</v>
      </c>
      <c r="CG659" s="59">
        <v>0</v>
      </c>
      <c r="CH659" s="49">
        <v>16.899999999999999</v>
      </c>
      <c r="CI659" s="25" t="s">
        <v>106</v>
      </c>
      <c r="CJ659" s="18" t="s">
        <v>489</v>
      </c>
      <c r="CK659" s="20"/>
    </row>
    <row r="660" spans="1:89" x14ac:dyDescent="0.25">
      <c r="A660" s="18" t="s">
        <v>489</v>
      </c>
      <c r="B660" s="19" t="s">
        <v>107</v>
      </c>
      <c r="C660" s="25" t="s">
        <v>108</v>
      </c>
      <c r="D660" s="6">
        <v>8</v>
      </c>
      <c r="E660" s="40" t="s">
        <v>83</v>
      </c>
      <c r="F660" s="6">
        <v>8</v>
      </c>
      <c r="G660" s="162" t="s">
        <v>83</v>
      </c>
      <c r="H660" s="162" t="s">
        <v>83</v>
      </c>
      <c r="I660" s="162" t="s">
        <v>83</v>
      </c>
      <c r="J660" s="163">
        <v>1</v>
      </c>
      <c r="K660" s="163">
        <v>2</v>
      </c>
      <c r="L660" s="163">
        <v>4</v>
      </c>
      <c r="M660" s="163">
        <v>1</v>
      </c>
      <c r="N660" s="115">
        <v>9.4117647058823504E-3</v>
      </c>
      <c r="O660" s="115">
        <v>9.4117647058823504E-3</v>
      </c>
      <c r="P660" s="116" t="s">
        <v>83</v>
      </c>
      <c r="Q660" s="116" t="s">
        <v>83</v>
      </c>
      <c r="R660" s="116" t="s">
        <v>83</v>
      </c>
      <c r="S660" s="115">
        <v>4.78468899521531E-3</v>
      </c>
      <c r="T660" s="115">
        <v>9.2592592592592605E-3</v>
      </c>
      <c r="U660" s="115">
        <v>1.8099547511312201E-2</v>
      </c>
      <c r="V660" s="115">
        <v>4.9019607843137298E-3</v>
      </c>
      <c r="W660" s="6">
        <v>787</v>
      </c>
      <c r="X660" s="40">
        <f t="shared" si="50"/>
        <v>787</v>
      </c>
      <c r="Y660" s="40">
        <f t="shared" si="51"/>
        <v>787</v>
      </c>
      <c r="Z660" s="59">
        <v>0.50319999999999998</v>
      </c>
      <c r="AA660" s="59">
        <v>0.49680000000000002</v>
      </c>
      <c r="AB660" s="61">
        <v>5.0825921219822112E-3</v>
      </c>
      <c r="AC660" s="61">
        <v>1.1435832274459974E-2</v>
      </c>
      <c r="AD660" s="61">
        <v>0.28843710292249047</v>
      </c>
      <c r="AE660" s="61">
        <v>4.5743329097839895E-2</v>
      </c>
      <c r="AF660" s="61">
        <v>1.2706480304955528E-3</v>
      </c>
      <c r="AG660" s="61">
        <v>0.58068614993646761</v>
      </c>
      <c r="AH660" s="61">
        <v>6.734434561626429E-2</v>
      </c>
      <c r="AI660" s="61">
        <v>0.41931385006353239</v>
      </c>
      <c r="AJ660" s="59">
        <v>0.48299999999999998</v>
      </c>
      <c r="AK660" s="59">
        <v>6.4000000000000003E-3</v>
      </c>
      <c r="AL660" s="3">
        <v>0</v>
      </c>
      <c r="AM660" s="3">
        <v>0</v>
      </c>
      <c r="AN660" s="3">
        <v>0</v>
      </c>
      <c r="AO660" s="3">
        <v>186</v>
      </c>
      <c r="AP660" s="3">
        <v>199</v>
      </c>
      <c r="AQ660" s="3">
        <v>205</v>
      </c>
      <c r="AR660" s="3">
        <v>197</v>
      </c>
      <c r="AS660" s="59">
        <v>0</v>
      </c>
      <c r="AT660" s="3">
        <v>9</v>
      </c>
      <c r="AU660" s="3">
        <v>6</v>
      </c>
      <c r="AV660" s="49">
        <v>72.321428571428598</v>
      </c>
      <c r="AW660" s="49">
        <v>15.401785714285701</v>
      </c>
      <c r="AX660" s="49">
        <v>11.8303571428571</v>
      </c>
      <c r="AY660" s="67">
        <v>0.44642857142857095</v>
      </c>
      <c r="AZ660" s="62">
        <v>0.19811320754716982</v>
      </c>
      <c r="BA660" s="62">
        <v>0.13797169811320756</v>
      </c>
      <c r="BB660" s="77">
        <v>93.840315228078495</v>
      </c>
      <c r="BC660" s="49">
        <v>54.440599769319498</v>
      </c>
      <c r="BD660" s="90" t="s">
        <v>83</v>
      </c>
      <c r="BE660" s="90" t="s">
        <v>83</v>
      </c>
      <c r="BF660" s="87">
        <v>3.8</v>
      </c>
      <c r="BG660" s="87">
        <v>3.8</v>
      </c>
      <c r="BH660" s="87">
        <v>1</v>
      </c>
      <c r="BI660" s="87">
        <v>1.6</v>
      </c>
      <c r="BJ660" s="49">
        <v>19.7</v>
      </c>
      <c r="BK660" s="126">
        <v>9272</v>
      </c>
      <c r="BL660" s="126">
        <v>47517</v>
      </c>
      <c r="BM660" s="126">
        <v>41113</v>
      </c>
      <c r="BN660" s="126">
        <v>39566</v>
      </c>
      <c r="BO660" s="59">
        <v>0</v>
      </c>
      <c r="BP660" s="59">
        <v>0.41760000000000003</v>
      </c>
      <c r="BQ660" s="59">
        <v>0.16159999999999999</v>
      </c>
      <c r="BR660" s="59">
        <v>0</v>
      </c>
      <c r="BS660" s="59">
        <v>0</v>
      </c>
      <c r="BT660" s="49">
        <v>14.1</v>
      </c>
      <c r="BU660" s="59">
        <f t="shared" si="52"/>
        <v>0.57920000000000005</v>
      </c>
      <c r="BV660" s="59">
        <v>4.7899999999999998E-2</v>
      </c>
      <c r="BW660" s="59">
        <v>0</v>
      </c>
      <c r="BX660" s="59">
        <v>4.1700000000000001E-2</v>
      </c>
      <c r="BY660" s="59">
        <v>0</v>
      </c>
      <c r="BZ660" s="59">
        <v>0</v>
      </c>
      <c r="CA660" s="49">
        <v>12.1</v>
      </c>
      <c r="CB660" s="59">
        <f t="shared" si="53"/>
        <v>8.9599999999999999E-2</v>
      </c>
      <c r="CC660" s="59">
        <v>0.30399999999999999</v>
      </c>
      <c r="CD660" s="59">
        <v>0.45619999999999999</v>
      </c>
      <c r="CE660" s="59">
        <v>0.23980000000000001</v>
      </c>
      <c r="CF660" s="59">
        <v>0</v>
      </c>
      <c r="CG660" s="59">
        <v>0</v>
      </c>
      <c r="CH660" s="49">
        <v>13.6</v>
      </c>
      <c r="CI660" s="25" t="s">
        <v>108</v>
      </c>
      <c r="CJ660" s="18" t="s">
        <v>489</v>
      </c>
      <c r="CK660" s="20"/>
    </row>
    <row r="661" spans="1:89" x14ac:dyDescent="0.25">
      <c r="A661" s="18" t="s">
        <v>489</v>
      </c>
      <c r="B661" s="19" t="s">
        <v>107</v>
      </c>
      <c r="C661" s="25" t="s">
        <v>109</v>
      </c>
      <c r="D661" s="6">
        <v>1</v>
      </c>
      <c r="E661" s="6">
        <v>0</v>
      </c>
      <c r="F661" s="6">
        <v>1</v>
      </c>
      <c r="G661" s="163">
        <v>0</v>
      </c>
      <c r="H661" s="163">
        <v>0</v>
      </c>
      <c r="I661" s="162" t="s">
        <v>83</v>
      </c>
      <c r="J661" s="163">
        <v>1</v>
      </c>
      <c r="K661" s="163">
        <v>0</v>
      </c>
      <c r="L661" s="163">
        <v>0</v>
      </c>
      <c r="M661" s="163">
        <v>0</v>
      </c>
      <c r="N661" s="115">
        <v>2.5188916876574298E-3</v>
      </c>
      <c r="O661" s="115">
        <v>3.6764705882352902E-3</v>
      </c>
      <c r="P661" s="115">
        <v>0</v>
      </c>
      <c r="Q661" s="115">
        <v>0</v>
      </c>
      <c r="R661" s="116" t="s">
        <v>83</v>
      </c>
      <c r="S661" s="115">
        <v>1.2987012987013E-2</v>
      </c>
      <c r="T661" s="115">
        <v>0</v>
      </c>
      <c r="U661" s="115">
        <v>0</v>
      </c>
      <c r="V661" s="115">
        <v>0</v>
      </c>
      <c r="W661" s="6">
        <v>426</v>
      </c>
      <c r="X661" s="40">
        <f t="shared" si="50"/>
        <v>256</v>
      </c>
      <c r="Y661" s="40">
        <f t="shared" si="51"/>
        <v>363</v>
      </c>
      <c r="Z661" s="59">
        <v>0.43190000000000001</v>
      </c>
      <c r="AA661" s="59">
        <v>0.56810000000000005</v>
      </c>
      <c r="AB661" s="61">
        <v>2.1126760563380281E-2</v>
      </c>
      <c r="AC661" s="61">
        <v>4.6948356807511738E-3</v>
      </c>
      <c r="AD661" s="61">
        <v>9.3896713615023476E-3</v>
      </c>
      <c r="AE661" s="61">
        <v>1.8779342723004695E-2</v>
      </c>
      <c r="AF661" s="61">
        <v>0</v>
      </c>
      <c r="AG661" s="61">
        <v>0.9061032863849765</v>
      </c>
      <c r="AH661" s="61">
        <v>3.9906103286384977E-2</v>
      </c>
      <c r="AI661" s="61">
        <v>9.3896713615023469E-2</v>
      </c>
      <c r="AJ661" s="59">
        <v>0.56999999999999995</v>
      </c>
      <c r="AK661" s="59">
        <v>2.3E-3</v>
      </c>
      <c r="AL661" s="3">
        <v>48</v>
      </c>
      <c r="AM661" s="3">
        <v>59</v>
      </c>
      <c r="AN661" s="3">
        <v>0</v>
      </c>
      <c r="AO661" s="3">
        <v>72</v>
      </c>
      <c r="AP661" s="3">
        <v>67</v>
      </c>
      <c r="AQ661" s="3">
        <v>63</v>
      </c>
      <c r="AR661" s="3">
        <v>54</v>
      </c>
      <c r="AS661" s="59">
        <v>0</v>
      </c>
      <c r="AT661" s="3">
        <v>6</v>
      </c>
      <c r="AU661" s="3">
        <v>6</v>
      </c>
      <c r="AV661" s="49">
        <v>84.775086505190302</v>
      </c>
      <c r="AW661" s="49">
        <v>10.380622837370201</v>
      </c>
      <c r="AX661" s="49">
        <v>4.1522491349481001</v>
      </c>
      <c r="AY661" s="67">
        <v>0.69204152249134998</v>
      </c>
      <c r="AZ661" s="62">
        <v>0.15301724137931033</v>
      </c>
      <c r="BA661" s="62">
        <v>6.25E-2</v>
      </c>
      <c r="BB661" s="78">
        <v>94.407414979894995</v>
      </c>
      <c r="BC661" s="49">
        <v>47.2103004291845</v>
      </c>
      <c r="BD661" s="87">
        <v>0</v>
      </c>
      <c r="BE661" s="87">
        <v>0</v>
      </c>
      <c r="BF661" s="87">
        <v>1.5</v>
      </c>
      <c r="BG661" s="87">
        <v>1.6</v>
      </c>
      <c r="BH661" s="87">
        <v>0</v>
      </c>
      <c r="BI661" s="87">
        <v>3.6</v>
      </c>
      <c r="BJ661" s="49">
        <v>19.8</v>
      </c>
      <c r="BK661" s="126">
        <v>10725</v>
      </c>
      <c r="BL661" s="126">
        <v>50102</v>
      </c>
      <c r="BM661" s="126">
        <v>37300</v>
      </c>
      <c r="BN661" s="126">
        <v>39209</v>
      </c>
      <c r="BO661" s="59">
        <v>0</v>
      </c>
      <c r="BP661" s="59">
        <v>0.30059999999999998</v>
      </c>
      <c r="BQ661" s="59">
        <v>0.214</v>
      </c>
      <c r="BR661" s="59">
        <v>0</v>
      </c>
      <c r="BS661" s="59">
        <v>0</v>
      </c>
      <c r="BT661" s="49">
        <v>15.9</v>
      </c>
      <c r="BU661" s="59">
        <f t="shared" si="52"/>
        <v>0.51459999999999995</v>
      </c>
      <c r="BV661" s="59">
        <v>5.3100000000000001E-2</v>
      </c>
      <c r="BW661" s="59">
        <v>0</v>
      </c>
      <c r="BX661" s="59">
        <v>3.3099999999999997E-2</v>
      </c>
      <c r="BY661" s="59">
        <v>0</v>
      </c>
      <c r="BZ661" s="59">
        <v>0</v>
      </c>
      <c r="CA661" s="49">
        <v>6.5</v>
      </c>
      <c r="CB661" s="59">
        <f t="shared" si="53"/>
        <v>8.6199999999999999E-2</v>
      </c>
      <c r="CC661" s="59">
        <v>0.37159999999999999</v>
      </c>
      <c r="CD661" s="59">
        <v>0.3276</v>
      </c>
      <c r="CE661" s="59">
        <v>0.30080000000000001</v>
      </c>
      <c r="CF661" s="59">
        <v>0</v>
      </c>
      <c r="CG661" s="59">
        <v>0</v>
      </c>
      <c r="CH661" s="49">
        <v>13.2</v>
      </c>
      <c r="CI661" s="25" t="s">
        <v>109</v>
      </c>
      <c r="CJ661" s="18" t="s">
        <v>489</v>
      </c>
      <c r="CK661" s="20"/>
    </row>
    <row r="662" spans="1:89" x14ac:dyDescent="0.25">
      <c r="A662" s="18" t="s">
        <v>489</v>
      </c>
      <c r="B662" s="19" t="s">
        <v>107</v>
      </c>
      <c r="C662" s="25" t="s">
        <v>110</v>
      </c>
      <c r="D662" s="6">
        <v>0</v>
      </c>
      <c r="E662" s="6">
        <v>0</v>
      </c>
      <c r="F662" s="6">
        <v>0</v>
      </c>
      <c r="G662" s="163">
        <v>0</v>
      </c>
      <c r="H662" s="163">
        <v>0</v>
      </c>
      <c r="I662" s="162" t="s">
        <v>83</v>
      </c>
      <c r="J662" s="163">
        <v>0</v>
      </c>
      <c r="K662" s="163">
        <v>0</v>
      </c>
      <c r="L662" s="163">
        <v>0</v>
      </c>
      <c r="M662" s="163">
        <v>0</v>
      </c>
      <c r="N662" s="115">
        <v>0</v>
      </c>
      <c r="O662" s="115">
        <v>0</v>
      </c>
      <c r="P662" s="115">
        <v>0</v>
      </c>
      <c r="Q662" s="115">
        <v>0</v>
      </c>
      <c r="R662" s="116" t="s">
        <v>83</v>
      </c>
      <c r="S662" s="115">
        <v>0</v>
      </c>
      <c r="T662" s="115">
        <v>0</v>
      </c>
      <c r="U662" s="115">
        <v>0</v>
      </c>
      <c r="V662" s="115">
        <v>0</v>
      </c>
      <c r="W662" s="6">
        <v>513</v>
      </c>
      <c r="X662" s="40">
        <f t="shared" si="50"/>
        <v>144</v>
      </c>
      <c r="Y662" s="40">
        <f t="shared" si="51"/>
        <v>230</v>
      </c>
      <c r="Z662" s="59">
        <v>0.499</v>
      </c>
      <c r="AA662" s="59">
        <v>0.501</v>
      </c>
      <c r="AB662" s="61">
        <v>5.8479532163742687E-3</v>
      </c>
      <c r="AC662" s="61">
        <v>7.7972709551656916E-3</v>
      </c>
      <c r="AD662" s="61">
        <v>8.9668615984405453E-2</v>
      </c>
      <c r="AE662" s="61">
        <v>2.7290448343079921E-2</v>
      </c>
      <c r="AF662" s="61">
        <v>0</v>
      </c>
      <c r="AG662" s="61">
        <v>0.83235867446393763</v>
      </c>
      <c r="AH662" s="61">
        <v>3.7037037037037035E-2</v>
      </c>
      <c r="AI662" s="61">
        <v>0.16764132553606237</v>
      </c>
      <c r="AJ662" s="59">
        <v>0.622</v>
      </c>
      <c r="AK662" s="59">
        <v>0</v>
      </c>
      <c r="AL662" s="3">
        <v>41</v>
      </c>
      <c r="AM662" s="3">
        <v>45</v>
      </c>
      <c r="AN662" s="3">
        <v>0</v>
      </c>
      <c r="AO662" s="3">
        <v>39</v>
      </c>
      <c r="AP662" s="3">
        <v>42</v>
      </c>
      <c r="AQ662" s="3">
        <v>30</v>
      </c>
      <c r="AR662" s="3">
        <v>33</v>
      </c>
      <c r="AS662" s="59">
        <v>0</v>
      </c>
      <c r="AT662" s="3">
        <v>1</v>
      </c>
      <c r="AU662" s="3">
        <v>6</v>
      </c>
      <c r="AV662" s="49">
        <v>80.864197530864203</v>
      </c>
      <c r="AW662" s="49">
        <v>18.518518518518501</v>
      </c>
      <c r="AX662" s="49">
        <v>0.30864197530864201</v>
      </c>
      <c r="AY662" s="67">
        <v>0.30864197530864201</v>
      </c>
      <c r="AZ662" s="62">
        <v>0.13818181818181818</v>
      </c>
      <c r="BA662" s="62">
        <v>8.1818181818181818E-2</v>
      </c>
      <c r="BB662" s="77">
        <v>94.039156506890095</v>
      </c>
      <c r="BC662" s="49">
        <v>38.764044943820203</v>
      </c>
      <c r="BD662" s="87">
        <v>0</v>
      </c>
      <c r="BE662" s="87">
        <v>0</v>
      </c>
      <c r="BF662" s="87">
        <v>0</v>
      </c>
      <c r="BG662" s="87">
        <v>0</v>
      </c>
      <c r="BH662" s="87">
        <v>0</v>
      </c>
      <c r="BI662" s="87">
        <v>3.1</v>
      </c>
      <c r="BJ662" s="49">
        <v>19.100000000000001</v>
      </c>
      <c r="BK662" s="126">
        <v>11546</v>
      </c>
      <c r="BL662" s="126">
        <v>48241</v>
      </c>
      <c r="BM662" s="126">
        <v>38691</v>
      </c>
      <c r="BN662" s="126">
        <v>37083</v>
      </c>
      <c r="BO662" s="59">
        <v>0</v>
      </c>
      <c r="BP662" s="59">
        <v>0.38790000000000002</v>
      </c>
      <c r="BQ662" s="59">
        <v>0.13059999999999999</v>
      </c>
      <c r="BR662" s="59">
        <v>1.4200000000000001E-2</v>
      </c>
      <c r="BS662" s="59">
        <v>0</v>
      </c>
      <c r="BT662" s="49">
        <v>15.4</v>
      </c>
      <c r="BU662" s="59">
        <f t="shared" si="52"/>
        <v>0.53269999999999995</v>
      </c>
      <c r="BV662" s="59">
        <v>3.8899999999999997E-2</v>
      </c>
      <c r="BW662" s="59">
        <v>0</v>
      </c>
      <c r="BX662" s="59">
        <v>2.5899999999999999E-2</v>
      </c>
      <c r="BY662" s="59">
        <v>0</v>
      </c>
      <c r="BZ662" s="59">
        <v>0</v>
      </c>
      <c r="CA662" s="49">
        <v>9.8000000000000007</v>
      </c>
      <c r="CB662" s="59">
        <f t="shared" si="53"/>
        <v>6.4799999999999996E-2</v>
      </c>
      <c r="CC662" s="59">
        <v>0.33679999999999999</v>
      </c>
      <c r="CD662" s="59">
        <v>0.45340000000000003</v>
      </c>
      <c r="CE662" s="59">
        <v>0.1696</v>
      </c>
      <c r="CF662" s="59">
        <v>4.02E-2</v>
      </c>
      <c r="CG662" s="59">
        <v>0</v>
      </c>
      <c r="CH662" s="49">
        <v>13.1</v>
      </c>
      <c r="CI662" s="25" t="s">
        <v>110</v>
      </c>
      <c r="CJ662" s="18" t="s">
        <v>489</v>
      </c>
      <c r="CK662" s="20"/>
    </row>
    <row r="663" spans="1:89" x14ac:dyDescent="0.25">
      <c r="A663" s="18" t="s">
        <v>489</v>
      </c>
      <c r="B663" s="19" t="s">
        <v>107</v>
      </c>
      <c r="C663" s="25" t="s">
        <v>111</v>
      </c>
      <c r="D663" s="6">
        <v>0</v>
      </c>
      <c r="E663" s="6">
        <v>0</v>
      </c>
      <c r="F663" s="6">
        <v>0</v>
      </c>
      <c r="G663" s="163">
        <v>0</v>
      </c>
      <c r="H663" s="163">
        <v>0</v>
      </c>
      <c r="I663" s="163">
        <v>0</v>
      </c>
      <c r="J663" s="163">
        <v>0</v>
      </c>
      <c r="K663" s="163">
        <v>0</v>
      </c>
      <c r="L663" s="163">
        <v>0</v>
      </c>
      <c r="M663" s="163">
        <v>0</v>
      </c>
      <c r="N663" s="115">
        <v>0</v>
      </c>
      <c r="O663" s="115">
        <v>0</v>
      </c>
      <c r="P663" s="115">
        <v>0</v>
      </c>
      <c r="Q663" s="115">
        <v>0</v>
      </c>
      <c r="R663" s="115">
        <v>0</v>
      </c>
      <c r="S663" s="115">
        <v>0</v>
      </c>
      <c r="T663" s="115">
        <v>0</v>
      </c>
      <c r="U663" s="115">
        <v>0</v>
      </c>
      <c r="V663" s="115">
        <v>0</v>
      </c>
      <c r="W663" s="6">
        <v>337</v>
      </c>
      <c r="X663" s="40">
        <f t="shared" si="50"/>
        <v>94</v>
      </c>
      <c r="Y663" s="40">
        <f t="shared" si="51"/>
        <v>147</v>
      </c>
      <c r="Z663" s="59">
        <v>0.47770000000000001</v>
      </c>
      <c r="AA663" s="59">
        <v>0.52229999999999999</v>
      </c>
      <c r="AB663" s="61">
        <v>5.9347181008902079E-3</v>
      </c>
      <c r="AC663" s="61">
        <v>0</v>
      </c>
      <c r="AD663" s="61">
        <v>3.2640949554896145E-2</v>
      </c>
      <c r="AE663" s="61">
        <v>1.7804154302670624E-2</v>
      </c>
      <c r="AF663" s="61">
        <v>0</v>
      </c>
      <c r="AG663" s="61">
        <v>0.92878338278931749</v>
      </c>
      <c r="AH663" s="61">
        <v>1.483679525222552E-2</v>
      </c>
      <c r="AI663" s="61">
        <v>7.1216617210682495E-2</v>
      </c>
      <c r="AJ663" s="59">
        <v>0.69099999999999995</v>
      </c>
      <c r="AK663" s="59">
        <v>0</v>
      </c>
      <c r="AL663" s="3">
        <v>26</v>
      </c>
      <c r="AM663" s="3">
        <v>27</v>
      </c>
      <c r="AN663" s="3">
        <v>3</v>
      </c>
      <c r="AO663" s="3">
        <v>22</v>
      </c>
      <c r="AP663" s="3">
        <v>30</v>
      </c>
      <c r="AQ663" s="3">
        <v>21</v>
      </c>
      <c r="AR663" s="3">
        <v>18</v>
      </c>
      <c r="AS663" s="59">
        <v>0.12</v>
      </c>
      <c r="AT663" s="3">
        <v>1</v>
      </c>
      <c r="AU663" s="3">
        <v>6</v>
      </c>
      <c r="AV663" s="49">
        <v>88.353413654618493</v>
      </c>
      <c r="AW663" s="49">
        <v>11.2449799196787</v>
      </c>
      <c r="AX663" s="49">
        <v>0.40160642570281102</v>
      </c>
      <c r="AY663" s="67">
        <v>0</v>
      </c>
      <c r="AZ663" s="62">
        <v>0.20626631853785901</v>
      </c>
      <c r="BA663" s="62">
        <v>8.0939947780678853E-2</v>
      </c>
      <c r="BB663" s="78">
        <v>92.919291338582696</v>
      </c>
      <c r="BC663" s="49">
        <v>50.134048257372697</v>
      </c>
      <c r="BD663" s="87">
        <v>8.3000000000000007</v>
      </c>
      <c r="BE663" s="87">
        <v>0</v>
      </c>
      <c r="BF663" s="87">
        <v>0</v>
      </c>
      <c r="BG663" s="87">
        <v>3.3</v>
      </c>
      <c r="BH663" s="87">
        <v>4.5</v>
      </c>
      <c r="BI663" s="87">
        <v>0</v>
      </c>
      <c r="BJ663" s="49">
        <v>17.5</v>
      </c>
      <c r="BK663" s="126">
        <v>12932</v>
      </c>
      <c r="BL663" s="126">
        <v>47717</v>
      </c>
      <c r="BM663" s="126">
        <v>45479</v>
      </c>
      <c r="BN663" s="126">
        <v>35267</v>
      </c>
      <c r="BO663" s="59">
        <v>0</v>
      </c>
      <c r="BP663" s="59">
        <v>0.30940000000000001</v>
      </c>
      <c r="BQ663" s="59">
        <v>0.18129999999999999</v>
      </c>
      <c r="BR663" s="59">
        <v>0</v>
      </c>
      <c r="BS663" s="59">
        <v>0</v>
      </c>
      <c r="BT663" s="49">
        <v>13.9</v>
      </c>
      <c r="BU663" s="59">
        <f t="shared" si="52"/>
        <v>0.49070000000000003</v>
      </c>
      <c r="BV663" s="59">
        <v>3.2899999999999999E-2</v>
      </c>
      <c r="BW663" s="59">
        <v>0</v>
      </c>
      <c r="BX663" s="59">
        <v>3.2899999999999999E-2</v>
      </c>
      <c r="BY663" s="59">
        <v>0</v>
      </c>
      <c r="BZ663" s="59">
        <v>0</v>
      </c>
      <c r="CA663" s="49">
        <v>16.5</v>
      </c>
      <c r="CB663" s="59">
        <f t="shared" si="53"/>
        <v>6.5799999999999997E-2</v>
      </c>
      <c r="CC663" s="59">
        <v>0.42630000000000001</v>
      </c>
      <c r="CD663" s="59">
        <v>0.34260000000000002</v>
      </c>
      <c r="CE663" s="59">
        <v>0.2311</v>
      </c>
      <c r="CF663" s="59">
        <v>0</v>
      </c>
      <c r="CG663" s="59">
        <v>0</v>
      </c>
      <c r="CH663" s="49">
        <v>12.7</v>
      </c>
      <c r="CI663" s="25" t="s">
        <v>111</v>
      </c>
      <c r="CJ663" s="18" t="s">
        <v>489</v>
      </c>
      <c r="CK663" s="20"/>
    </row>
    <row r="664" spans="1:89" x14ac:dyDescent="0.25">
      <c r="A664" s="18" t="s">
        <v>489</v>
      </c>
      <c r="B664" s="19" t="s">
        <v>107</v>
      </c>
      <c r="C664" s="25" t="s">
        <v>112</v>
      </c>
      <c r="D664" s="6">
        <v>0</v>
      </c>
      <c r="E664" s="6">
        <v>0</v>
      </c>
      <c r="F664" s="6">
        <v>0</v>
      </c>
      <c r="G664" s="163">
        <v>0</v>
      </c>
      <c r="H664" s="163">
        <v>0</v>
      </c>
      <c r="I664" s="162" t="s">
        <v>83</v>
      </c>
      <c r="J664" s="163">
        <v>0</v>
      </c>
      <c r="K664" s="163">
        <v>0</v>
      </c>
      <c r="L664" s="163">
        <v>0</v>
      </c>
      <c r="M664" s="163">
        <v>0</v>
      </c>
      <c r="N664" s="115">
        <v>0</v>
      </c>
      <c r="O664" s="115">
        <v>0</v>
      </c>
      <c r="P664" s="115">
        <v>0</v>
      </c>
      <c r="Q664" s="115">
        <v>0</v>
      </c>
      <c r="R664" s="116" t="s">
        <v>83</v>
      </c>
      <c r="S664" s="115">
        <v>0</v>
      </c>
      <c r="T664" s="115">
        <v>0</v>
      </c>
      <c r="U664" s="115">
        <v>0</v>
      </c>
      <c r="V664" s="115">
        <v>0</v>
      </c>
      <c r="W664" s="6">
        <v>735</v>
      </c>
      <c r="X664" s="40">
        <f t="shared" si="50"/>
        <v>498</v>
      </c>
      <c r="Y664" s="40">
        <f t="shared" si="51"/>
        <v>735</v>
      </c>
      <c r="Z664" s="59">
        <v>0.47070000000000001</v>
      </c>
      <c r="AA664" s="59">
        <v>0.52929999999999999</v>
      </c>
      <c r="AB664" s="61">
        <v>5.4421768707482989E-3</v>
      </c>
      <c r="AC664" s="61">
        <v>0</v>
      </c>
      <c r="AD664" s="61">
        <v>2.4489795918367346E-2</v>
      </c>
      <c r="AE664" s="61">
        <v>1.6326530612244899E-2</v>
      </c>
      <c r="AF664" s="61">
        <v>0</v>
      </c>
      <c r="AG664" s="61">
        <v>0.94013605442176873</v>
      </c>
      <c r="AH664" s="61">
        <v>1.3605442176870748E-2</v>
      </c>
      <c r="AI664" s="61">
        <v>5.9863945578231291E-2</v>
      </c>
      <c r="AJ664" s="59">
        <v>0.45600000000000002</v>
      </c>
      <c r="AK664" s="59">
        <v>0</v>
      </c>
      <c r="AL664" s="3">
        <v>99</v>
      </c>
      <c r="AM664" s="3">
        <v>138</v>
      </c>
      <c r="AN664" s="3">
        <v>0</v>
      </c>
      <c r="AO664" s="3">
        <v>114</v>
      </c>
      <c r="AP664" s="3">
        <v>151</v>
      </c>
      <c r="AQ664" s="3">
        <v>118</v>
      </c>
      <c r="AR664" s="3">
        <v>115</v>
      </c>
      <c r="AS664" s="59">
        <v>0</v>
      </c>
      <c r="AT664" s="3">
        <v>7</v>
      </c>
      <c r="AU664" s="3">
        <v>6</v>
      </c>
      <c r="AV664" s="49">
        <v>65.952380952380992</v>
      </c>
      <c r="AW664" s="49">
        <v>19.523809523809497</v>
      </c>
      <c r="AX664" s="49">
        <v>14.047619047619001</v>
      </c>
      <c r="AY664" s="67">
        <v>0.476190476190476</v>
      </c>
      <c r="AZ664" s="62">
        <v>0.10076530612244898</v>
      </c>
      <c r="BA664" s="62">
        <v>4.336734693877551E-2</v>
      </c>
      <c r="BB664" s="77">
        <v>94.574947597358602</v>
      </c>
      <c r="BC664" s="49">
        <v>40.276035131744003</v>
      </c>
      <c r="BD664" s="87">
        <v>0</v>
      </c>
      <c r="BE664" s="87">
        <v>0</v>
      </c>
      <c r="BF664" s="87">
        <v>2.6</v>
      </c>
      <c r="BG664" s="87">
        <v>2.2000000000000002</v>
      </c>
      <c r="BH664" s="87">
        <v>0</v>
      </c>
      <c r="BI664" s="87">
        <v>0</v>
      </c>
      <c r="BJ664" s="49">
        <v>19.399999999999999</v>
      </c>
      <c r="BK664" s="126">
        <v>9452</v>
      </c>
      <c r="BL664" s="126">
        <v>50121</v>
      </c>
      <c r="BM664" s="126">
        <v>39715</v>
      </c>
      <c r="BN664" s="126">
        <v>37580</v>
      </c>
      <c r="BO664" s="59">
        <v>0</v>
      </c>
      <c r="BP664" s="59">
        <v>0.28960000000000002</v>
      </c>
      <c r="BQ664" s="59">
        <v>0.183</v>
      </c>
      <c r="BR664" s="59">
        <v>5.8999999999999999E-3</v>
      </c>
      <c r="BS664" s="59">
        <v>0</v>
      </c>
      <c r="BT664" s="49">
        <v>14.3</v>
      </c>
      <c r="BU664" s="59">
        <f t="shared" si="52"/>
        <v>0.47850000000000004</v>
      </c>
      <c r="BV664" s="59">
        <v>3.4099999999999998E-2</v>
      </c>
      <c r="BW664" s="59">
        <v>1.1599999999999999E-2</v>
      </c>
      <c r="BX664" s="59">
        <v>2.1399999999999999E-2</v>
      </c>
      <c r="BY664" s="59">
        <v>5.8999999999999999E-3</v>
      </c>
      <c r="BZ664" s="59">
        <v>0</v>
      </c>
      <c r="CA664" s="49">
        <v>10.5</v>
      </c>
      <c r="CB664" s="59">
        <f t="shared" si="53"/>
        <v>7.2999999999999995E-2</v>
      </c>
      <c r="CC664" s="59">
        <v>0.40529999999999999</v>
      </c>
      <c r="CD664" s="59">
        <v>0.34860000000000002</v>
      </c>
      <c r="CE664" s="59">
        <v>0.23430000000000001</v>
      </c>
      <c r="CF664" s="59">
        <v>1.17E-2</v>
      </c>
      <c r="CG664" s="59">
        <v>0</v>
      </c>
      <c r="CH664" s="49">
        <v>13.6</v>
      </c>
      <c r="CI664" s="25" t="s">
        <v>112</v>
      </c>
      <c r="CJ664" s="18" t="s">
        <v>489</v>
      </c>
      <c r="CK664" s="20"/>
    </row>
    <row r="665" spans="1:89" x14ac:dyDescent="0.25">
      <c r="A665" s="18" t="s">
        <v>489</v>
      </c>
      <c r="B665" s="19" t="s">
        <v>113</v>
      </c>
      <c r="C665" s="25" t="s">
        <v>118</v>
      </c>
      <c r="D665" s="6">
        <v>0</v>
      </c>
      <c r="E665" s="6">
        <v>0</v>
      </c>
      <c r="F665" s="6">
        <v>0</v>
      </c>
      <c r="G665" s="163">
        <v>0</v>
      </c>
      <c r="H665" s="163">
        <v>0</v>
      </c>
      <c r="I665" s="162" t="s">
        <v>83</v>
      </c>
      <c r="J665" s="163">
        <v>0</v>
      </c>
      <c r="K665" s="163">
        <v>0</v>
      </c>
      <c r="L665" s="163">
        <v>0</v>
      </c>
      <c r="M665" s="163">
        <v>0</v>
      </c>
      <c r="N665" s="115">
        <v>0</v>
      </c>
      <c r="O665" s="115">
        <v>0</v>
      </c>
      <c r="P665" s="115">
        <v>0</v>
      </c>
      <c r="Q665" s="115">
        <v>0</v>
      </c>
      <c r="R665" s="116" t="s">
        <v>83</v>
      </c>
      <c r="S665" s="115">
        <v>0</v>
      </c>
      <c r="T665" s="115">
        <v>0</v>
      </c>
      <c r="U665" s="115">
        <v>0</v>
      </c>
      <c r="V665" s="115">
        <v>0</v>
      </c>
      <c r="W665" s="6">
        <v>245</v>
      </c>
      <c r="X665" s="40">
        <f t="shared" si="50"/>
        <v>133</v>
      </c>
      <c r="Y665" s="40">
        <f t="shared" si="51"/>
        <v>214</v>
      </c>
      <c r="Z665" s="59">
        <v>0.48980000000000001</v>
      </c>
      <c r="AA665" s="59">
        <v>0.51019999999999999</v>
      </c>
      <c r="AB665" s="61">
        <v>4.0816326530612249E-3</v>
      </c>
      <c r="AC665" s="61">
        <v>0</v>
      </c>
      <c r="AD665" s="61">
        <v>0.49795918367346936</v>
      </c>
      <c r="AE665" s="61">
        <v>4.0816326530612249E-3</v>
      </c>
      <c r="AF665" s="61">
        <v>0</v>
      </c>
      <c r="AG665" s="61">
        <v>0.46938775510204084</v>
      </c>
      <c r="AH665" s="61">
        <v>2.4489795918367346E-2</v>
      </c>
      <c r="AI665" s="61">
        <v>0.53061224489795922</v>
      </c>
      <c r="AJ665" s="59">
        <v>0.81200000000000006</v>
      </c>
      <c r="AK665" s="59">
        <v>0</v>
      </c>
      <c r="AL665" s="3">
        <v>41</v>
      </c>
      <c r="AM665" s="3">
        <v>40</v>
      </c>
      <c r="AN665" s="3">
        <v>0</v>
      </c>
      <c r="AO665" s="3">
        <v>38</v>
      </c>
      <c r="AP665" s="3">
        <v>31</v>
      </c>
      <c r="AQ665" s="3">
        <v>30</v>
      </c>
      <c r="AR665" s="3">
        <v>34</v>
      </c>
      <c r="AS665" s="59">
        <v>0</v>
      </c>
      <c r="AT665" s="3">
        <v>6</v>
      </c>
      <c r="AU665" s="3">
        <v>6</v>
      </c>
      <c r="AV665" s="49">
        <v>78.358208955223901</v>
      </c>
      <c r="AW665" s="49">
        <v>16.417910447761201</v>
      </c>
      <c r="AX665" s="49">
        <v>3.7313432835820901</v>
      </c>
      <c r="AY665" s="67">
        <v>1.4925373134328399</v>
      </c>
      <c r="AZ665" s="62">
        <v>2.9090909090909091E-2</v>
      </c>
      <c r="BA665" s="62">
        <v>8.3636363636363634E-2</v>
      </c>
      <c r="BB665" s="78">
        <v>92.942578031927596</v>
      </c>
      <c r="BC665" s="49">
        <v>30.181818181818201</v>
      </c>
      <c r="BD665" s="87">
        <v>0</v>
      </c>
      <c r="BE665" s="87">
        <v>0</v>
      </c>
      <c r="BF665" s="87">
        <v>0</v>
      </c>
      <c r="BG665" s="87">
        <v>0</v>
      </c>
      <c r="BH665" s="87">
        <v>3.6</v>
      </c>
      <c r="BI665" s="87">
        <v>5.6</v>
      </c>
      <c r="BJ665" s="49">
        <v>18</v>
      </c>
      <c r="BK665" s="126">
        <v>14685</v>
      </c>
      <c r="BL665" s="126">
        <v>54505</v>
      </c>
      <c r="BM665" s="126">
        <v>55066</v>
      </c>
      <c r="BN665" s="126">
        <v>41179</v>
      </c>
      <c r="BO665" s="59">
        <v>0</v>
      </c>
      <c r="BP665" s="59">
        <v>0.1835</v>
      </c>
      <c r="BQ665" s="59">
        <v>0.30309999999999998</v>
      </c>
      <c r="BR665" s="59">
        <v>0</v>
      </c>
      <c r="BS665" s="59">
        <v>0</v>
      </c>
      <c r="BT665" s="49">
        <v>16</v>
      </c>
      <c r="BU665" s="59">
        <f t="shared" si="52"/>
        <v>0.48659999999999998</v>
      </c>
      <c r="BV665" s="59">
        <v>2.4400000000000002E-2</v>
      </c>
      <c r="BW665" s="59">
        <v>0</v>
      </c>
      <c r="BX665" s="59">
        <v>2.4799999999999999E-2</v>
      </c>
      <c r="BY665" s="59">
        <v>0</v>
      </c>
      <c r="BZ665" s="59">
        <v>0</v>
      </c>
      <c r="CA665" s="49">
        <v>14</v>
      </c>
      <c r="CB665" s="59">
        <f t="shared" si="53"/>
        <v>4.9200000000000001E-2</v>
      </c>
      <c r="CC665" s="59">
        <v>0.4632</v>
      </c>
      <c r="CD665" s="59">
        <v>0.2079</v>
      </c>
      <c r="CE665" s="59">
        <v>0.32890000000000003</v>
      </c>
      <c r="CF665" s="59">
        <v>0</v>
      </c>
      <c r="CG665" s="59">
        <v>0</v>
      </c>
      <c r="CH665" s="49">
        <v>13.5</v>
      </c>
      <c r="CI665" s="25" t="s">
        <v>118</v>
      </c>
      <c r="CJ665" s="18" t="s">
        <v>489</v>
      </c>
      <c r="CK665" s="20"/>
    </row>
    <row r="666" spans="1:89" x14ac:dyDescent="0.25">
      <c r="A666" s="18" t="s">
        <v>489</v>
      </c>
      <c r="B666" s="19" t="s">
        <v>113</v>
      </c>
      <c r="C666" s="25" t="s">
        <v>119</v>
      </c>
      <c r="D666" s="6">
        <v>0</v>
      </c>
      <c r="E666" s="6">
        <v>0</v>
      </c>
      <c r="F666" s="6">
        <v>0</v>
      </c>
      <c r="G666" s="163">
        <v>0</v>
      </c>
      <c r="H666" s="163">
        <v>0</v>
      </c>
      <c r="I666" s="162" t="s">
        <v>83</v>
      </c>
      <c r="J666" s="163">
        <v>0</v>
      </c>
      <c r="K666" s="163">
        <v>0</v>
      </c>
      <c r="L666" s="163">
        <v>0</v>
      </c>
      <c r="M666" s="163">
        <v>0</v>
      </c>
      <c r="N666" s="115">
        <v>0</v>
      </c>
      <c r="O666" s="115">
        <v>0</v>
      </c>
      <c r="P666" s="115">
        <v>0</v>
      </c>
      <c r="Q666" s="115">
        <v>0</v>
      </c>
      <c r="R666" s="116" t="s">
        <v>83</v>
      </c>
      <c r="S666" s="115">
        <v>0</v>
      </c>
      <c r="T666" s="115">
        <v>0</v>
      </c>
      <c r="U666" s="115">
        <v>0</v>
      </c>
      <c r="V666" s="115">
        <v>0</v>
      </c>
      <c r="W666" s="6">
        <v>370</v>
      </c>
      <c r="X666" s="40">
        <f t="shared" si="50"/>
        <v>111</v>
      </c>
      <c r="Y666" s="40">
        <f t="shared" si="51"/>
        <v>168</v>
      </c>
      <c r="Z666" s="59">
        <v>0.54049999999999998</v>
      </c>
      <c r="AA666" s="59">
        <v>0.45950000000000002</v>
      </c>
      <c r="AB666" s="61">
        <v>0</v>
      </c>
      <c r="AC666" s="61">
        <v>2.7027027027027029E-3</v>
      </c>
      <c r="AD666" s="61">
        <v>0.20540540540540542</v>
      </c>
      <c r="AE666" s="61">
        <v>1.891891891891892E-2</v>
      </c>
      <c r="AF666" s="61">
        <v>0</v>
      </c>
      <c r="AG666" s="61">
        <v>0.76486486486486482</v>
      </c>
      <c r="AH666" s="61">
        <v>8.1081081081081086E-3</v>
      </c>
      <c r="AI666" s="61">
        <v>0.23513513513513515</v>
      </c>
      <c r="AJ666" s="59">
        <v>0.53500000000000003</v>
      </c>
      <c r="AK666" s="59">
        <v>0</v>
      </c>
      <c r="AL666" s="3">
        <v>32</v>
      </c>
      <c r="AM666" s="3">
        <v>25</v>
      </c>
      <c r="AN666" s="3">
        <v>0</v>
      </c>
      <c r="AO666" s="3">
        <v>37</v>
      </c>
      <c r="AP666" s="3">
        <v>22</v>
      </c>
      <c r="AQ666" s="3">
        <v>33</v>
      </c>
      <c r="AR666" s="3">
        <v>19</v>
      </c>
      <c r="AS666" s="59">
        <v>0</v>
      </c>
      <c r="AT666" s="3">
        <v>1</v>
      </c>
      <c r="AU666" s="3">
        <v>6</v>
      </c>
      <c r="AV666" s="49">
        <v>77.272727272727309</v>
      </c>
      <c r="AW666" s="49">
        <v>13.636363636363599</v>
      </c>
      <c r="AX666" s="49">
        <v>7.3863636363636394</v>
      </c>
      <c r="AY666" s="67">
        <v>1.7045454545454499</v>
      </c>
      <c r="AZ666" s="62">
        <v>6.6037735849056603E-2</v>
      </c>
      <c r="BA666" s="62">
        <v>4.7169811320754715E-3</v>
      </c>
      <c r="BB666" s="77">
        <v>94.167870849453806</v>
      </c>
      <c r="BC666" s="49">
        <v>31.3624678663239</v>
      </c>
      <c r="BD666" s="87">
        <v>0</v>
      </c>
      <c r="BE666" s="87">
        <v>0</v>
      </c>
      <c r="BF666" s="87">
        <v>0</v>
      </c>
      <c r="BG666" s="87">
        <v>0</v>
      </c>
      <c r="BH666" s="87">
        <v>0</v>
      </c>
      <c r="BI666" s="87">
        <v>0</v>
      </c>
      <c r="BJ666" s="49">
        <v>19.7</v>
      </c>
      <c r="BK666" s="126">
        <v>13212</v>
      </c>
      <c r="BL666" s="126">
        <v>53899</v>
      </c>
      <c r="BM666" s="126">
        <v>50167</v>
      </c>
      <c r="BN666" s="126">
        <v>42708</v>
      </c>
      <c r="BO666" s="59">
        <v>0</v>
      </c>
      <c r="BP666" s="59">
        <v>0.39419999999999999</v>
      </c>
      <c r="BQ666" s="59">
        <v>0.15390000000000001</v>
      </c>
      <c r="BR666" s="59">
        <v>0</v>
      </c>
      <c r="BS666" s="59">
        <v>1.89E-2</v>
      </c>
      <c r="BT666" s="49">
        <v>15.8</v>
      </c>
      <c r="BU666" s="59">
        <f t="shared" si="52"/>
        <v>0.56700000000000006</v>
      </c>
      <c r="BV666" s="59">
        <v>1.8499999999999999E-2</v>
      </c>
      <c r="BW666" s="59">
        <v>0</v>
      </c>
      <c r="BX666" s="59">
        <v>1.9199999999999998E-2</v>
      </c>
      <c r="BY666" s="59">
        <v>0</v>
      </c>
      <c r="BZ666" s="59">
        <v>2.9999999999999997E-4</v>
      </c>
      <c r="CA666" s="49">
        <v>8.6999999999999993</v>
      </c>
      <c r="CB666" s="59">
        <f t="shared" si="53"/>
        <v>3.7999999999999999E-2</v>
      </c>
      <c r="CC666" s="59">
        <v>0.3654</v>
      </c>
      <c r="CD666" s="59">
        <v>0.44230000000000003</v>
      </c>
      <c r="CE666" s="59">
        <v>0.1731</v>
      </c>
      <c r="CF666" s="59">
        <v>0</v>
      </c>
      <c r="CG666" s="59">
        <v>1.9199999999999998E-2</v>
      </c>
      <c r="CH666" s="49">
        <v>13.6</v>
      </c>
      <c r="CI666" s="25" t="s">
        <v>119</v>
      </c>
      <c r="CJ666" s="18" t="s">
        <v>489</v>
      </c>
      <c r="CK666" s="20"/>
    </row>
    <row r="667" spans="1:89" x14ac:dyDescent="0.25">
      <c r="A667" s="18" t="s">
        <v>489</v>
      </c>
      <c r="B667" s="19" t="s">
        <v>113</v>
      </c>
      <c r="C667" s="25" t="s">
        <v>114</v>
      </c>
      <c r="D667" s="6">
        <v>1</v>
      </c>
      <c r="E667" s="6">
        <v>0</v>
      </c>
      <c r="F667" s="6">
        <v>1</v>
      </c>
      <c r="G667" s="163">
        <v>0</v>
      </c>
      <c r="H667" s="163">
        <v>0</v>
      </c>
      <c r="I667" s="162" t="s">
        <v>83</v>
      </c>
      <c r="J667" s="163">
        <v>0</v>
      </c>
      <c r="K667" s="163">
        <v>0</v>
      </c>
      <c r="L667" s="163">
        <v>1</v>
      </c>
      <c r="M667" s="163">
        <v>0</v>
      </c>
      <c r="N667" s="115">
        <v>3.6101083032491002E-3</v>
      </c>
      <c r="O667" s="115">
        <v>5.9880239520958096E-3</v>
      </c>
      <c r="P667" s="115">
        <v>0</v>
      </c>
      <c r="Q667" s="115">
        <v>0</v>
      </c>
      <c r="R667" s="116" t="s">
        <v>83</v>
      </c>
      <c r="S667" s="115">
        <v>0</v>
      </c>
      <c r="T667" s="115">
        <v>0</v>
      </c>
      <c r="U667" s="115">
        <v>2.5641025641025599E-2</v>
      </c>
      <c r="V667" s="115">
        <v>0</v>
      </c>
      <c r="W667" s="6">
        <v>311</v>
      </c>
      <c r="X667" s="40">
        <f t="shared" si="50"/>
        <v>157</v>
      </c>
      <c r="Y667" s="40">
        <f t="shared" si="51"/>
        <v>260</v>
      </c>
      <c r="Z667" s="59">
        <v>0.48230000000000001</v>
      </c>
      <c r="AA667" s="59">
        <v>0.51770000000000005</v>
      </c>
      <c r="AB667" s="61">
        <v>0</v>
      </c>
      <c r="AC667" s="61">
        <v>0</v>
      </c>
      <c r="AD667" s="61">
        <v>0.92926045016077174</v>
      </c>
      <c r="AE667" s="61">
        <v>1.9292604501607719E-2</v>
      </c>
      <c r="AF667" s="61">
        <v>0</v>
      </c>
      <c r="AG667" s="61">
        <v>5.1446945337620578E-2</v>
      </c>
      <c r="AH667" s="61">
        <v>0</v>
      </c>
      <c r="AI667" s="61">
        <v>0.94855305466237938</v>
      </c>
      <c r="AJ667" s="59">
        <v>0.88400000000000001</v>
      </c>
      <c r="AK667" s="59">
        <v>9.5999999999999992E-3</v>
      </c>
      <c r="AL667" s="3">
        <v>55</v>
      </c>
      <c r="AM667" s="3">
        <v>48</v>
      </c>
      <c r="AN667" s="3">
        <v>0</v>
      </c>
      <c r="AO667" s="3">
        <v>44</v>
      </c>
      <c r="AP667" s="3">
        <v>43</v>
      </c>
      <c r="AQ667" s="3">
        <v>37</v>
      </c>
      <c r="AR667" s="3">
        <v>33</v>
      </c>
      <c r="AS667" s="59">
        <v>0</v>
      </c>
      <c r="AT667" s="3">
        <v>6</v>
      </c>
      <c r="AU667" s="3">
        <v>6</v>
      </c>
      <c r="AV667" s="49">
        <v>84.177215189873394</v>
      </c>
      <c r="AW667" s="49">
        <v>12.025316455696199</v>
      </c>
      <c r="AX667" s="49">
        <v>2.5316455696202498</v>
      </c>
      <c r="AY667" s="67">
        <v>1.26582278481013</v>
      </c>
      <c r="AZ667" s="62">
        <v>0.303951367781155</v>
      </c>
      <c r="BA667" s="62">
        <v>0.22492401215805471</v>
      </c>
      <c r="BB667" s="78">
        <v>96.001426051713096</v>
      </c>
      <c r="BC667" s="49">
        <v>22.188449848024302</v>
      </c>
      <c r="BD667" s="87">
        <v>5.6</v>
      </c>
      <c r="BE667" s="87">
        <v>0</v>
      </c>
      <c r="BF667" s="87">
        <v>0</v>
      </c>
      <c r="BG667" s="87">
        <v>0</v>
      </c>
      <c r="BH667" s="87">
        <v>0</v>
      </c>
      <c r="BI667" s="87">
        <v>0</v>
      </c>
      <c r="BJ667" s="49">
        <v>17.5</v>
      </c>
      <c r="BK667" s="126">
        <v>16877</v>
      </c>
      <c r="BL667" s="126">
        <v>56939</v>
      </c>
      <c r="BM667" s="126">
        <v>58535</v>
      </c>
      <c r="BN667" s="126">
        <v>45336</v>
      </c>
      <c r="BO667" s="59">
        <v>0</v>
      </c>
      <c r="BP667" s="59">
        <v>0.192</v>
      </c>
      <c r="BQ667" s="59">
        <v>0.27639999999999998</v>
      </c>
      <c r="BR667" s="59">
        <v>0</v>
      </c>
      <c r="BS667" s="59">
        <v>0</v>
      </c>
      <c r="BT667" s="49">
        <v>15.7</v>
      </c>
      <c r="BU667" s="59">
        <f t="shared" si="52"/>
        <v>0.46839999999999998</v>
      </c>
      <c r="BV667" s="59">
        <v>0</v>
      </c>
      <c r="BW667" s="59">
        <v>1.7600000000000001E-2</v>
      </c>
      <c r="BX667" s="59">
        <v>1.89E-2</v>
      </c>
      <c r="BY667" s="59">
        <v>0</v>
      </c>
      <c r="BZ667" s="59">
        <v>0</v>
      </c>
      <c r="CA667" s="49">
        <v>19.3</v>
      </c>
      <c r="CB667" s="59">
        <f t="shared" si="53"/>
        <v>3.6500000000000005E-2</v>
      </c>
      <c r="CC667" s="59">
        <v>0.31130000000000002</v>
      </c>
      <c r="CD667" s="59">
        <v>0.2797</v>
      </c>
      <c r="CE667" s="59">
        <v>0.37419999999999998</v>
      </c>
      <c r="CF667" s="59">
        <v>3.4700000000000002E-2</v>
      </c>
      <c r="CG667" s="59">
        <v>0</v>
      </c>
      <c r="CH667" s="49">
        <v>15.3</v>
      </c>
      <c r="CI667" s="25" t="s">
        <v>114</v>
      </c>
      <c r="CJ667" s="18" t="s">
        <v>489</v>
      </c>
      <c r="CK667" s="20"/>
    </row>
    <row r="668" spans="1:89" x14ac:dyDescent="0.25">
      <c r="A668" s="18" t="s">
        <v>489</v>
      </c>
      <c r="B668" s="19" t="s">
        <v>113</v>
      </c>
      <c r="C668" s="25" t="s">
        <v>115</v>
      </c>
      <c r="D668" s="6">
        <v>0</v>
      </c>
      <c r="E668" s="6">
        <v>0</v>
      </c>
      <c r="F668" s="6">
        <v>0</v>
      </c>
      <c r="G668" s="163">
        <v>0</v>
      </c>
      <c r="H668" s="162" t="s">
        <v>83</v>
      </c>
      <c r="I668" s="162" t="s">
        <v>83</v>
      </c>
      <c r="J668" s="163">
        <v>0</v>
      </c>
      <c r="K668" s="163">
        <v>0</v>
      </c>
      <c r="L668" s="163">
        <v>0</v>
      </c>
      <c r="M668" s="163">
        <v>0</v>
      </c>
      <c r="N668" s="115">
        <v>0</v>
      </c>
      <c r="O668" s="115">
        <v>0</v>
      </c>
      <c r="P668" s="115">
        <v>0</v>
      </c>
      <c r="Q668" s="116" t="s">
        <v>83</v>
      </c>
      <c r="R668" s="116" t="s">
        <v>83</v>
      </c>
      <c r="S668" s="115">
        <v>0</v>
      </c>
      <c r="T668" s="115">
        <v>0</v>
      </c>
      <c r="U668" s="115">
        <v>0</v>
      </c>
      <c r="V668" s="115">
        <v>0</v>
      </c>
      <c r="W668" s="6">
        <v>42</v>
      </c>
      <c r="X668" s="40">
        <f t="shared" si="50"/>
        <v>7</v>
      </c>
      <c r="Y668" s="40">
        <f t="shared" si="51"/>
        <v>8</v>
      </c>
      <c r="Z668" s="59">
        <v>0.3095</v>
      </c>
      <c r="AA668" s="59">
        <v>0.6905</v>
      </c>
      <c r="AB668" s="61">
        <v>0</v>
      </c>
      <c r="AC668" s="61">
        <v>0</v>
      </c>
      <c r="AD668" s="61">
        <v>0.6428571428571429</v>
      </c>
      <c r="AE668" s="61">
        <v>0</v>
      </c>
      <c r="AF668" s="61">
        <v>0</v>
      </c>
      <c r="AG668" s="61">
        <v>0.33333333333333331</v>
      </c>
      <c r="AH668" s="61">
        <v>2.3809523809523808E-2</v>
      </c>
      <c r="AI668" s="61">
        <v>0.66666666666666663</v>
      </c>
      <c r="AJ668" s="59">
        <v>0.92900000000000005</v>
      </c>
      <c r="AK668" s="59">
        <v>0</v>
      </c>
      <c r="AL668" s="3">
        <v>1</v>
      </c>
      <c r="AM668" s="3">
        <v>0</v>
      </c>
      <c r="AN668" s="3">
        <v>0</v>
      </c>
      <c r="AO668" s="3">
        <v>1</v>
      </c>
      <c r="AP668" s="3">
        <v>1</v>
      </c>
      <c r="AQ668" s="3">
        <v>1</v>
      </c>
      <c r="AR668" s="3">
        <v>4</v>
      </c>
      <c r="AS668" s="59">
        <v>0</v>
      </c>
      <c r="AT668" s="3">
        <v>1</v>
      </c>
      <c r="AU668" s="3">
        <v>6</v>
      </c>
      <c r="AV668" s="49">
        <v>100</v>
      </c>
      <c r="AW668" s="49">
        <v>0</v>
      </c>
      <c r="AX668" s="49">
        <v>0</v>
      </c>
      <c r="AY668" s="67">
        <v>0</v>
      </c>
      <c r="AZ668" s="62">
        <v>0</v>
      </c>
      <c r="BA668" s="62">
        <v>0</v>
      </c>
      <c r="BB668" s="77">
        <v>87.742099898063202</v>
      </c>
      <c r="BC668" s="49"/>
      <c r="BD668" s="90" t="s">
        <v>83</v>
      </c>
      <c r="BE668" s="87">
        <v>0</v>
      </c>
      <c r="BF668" s="87">
        <v>0</v>
      </c>
      <c r="BG668" s="87">
        <v>0</v>
      </c>
      <c r="BH668" s="87">
        <v>0</v>
      </c>
      <c r="BI668" s="87">
        <v>75</v>
      </c>
      <c r="BJ668" s="3"/>
      <c r="BK668" s="126">
        <v>45079</v>
      </c>
      <c r="BL668" s="126">
        <v>51798</v>
      </c>
      <c r="BM668" s="126">
        <v>26579</v>
      </c>
      <c r="BN668" s="126">
        <v>32168</v>
      </c>
      <c r="BO668" s="59">
        <v>0</v>
      </c>
      <c r="BP668" s="59">
        <v>7.4800000000000005E-2</v>
      </c>
      <c r="BQ668" s="59">
        <v>0.14960000000000001</v>
      </c>
      <c r="BR668" s="59">
        <v>0</v>
      </c>
      <c r="BS668" s="59">
        <v>0</v>
      </c>
      <c r="BT668" s="3">
        <v>12.2</v>
      </c>
      <c r="BU668" s="59">
        <f t="shared" si="52"/>
        <v>0.22440000000000002</v>
      </c>
      <c r="BV668" s="59">
        <v>0</v>
      </c>
      <c r="BW668" s="59">
        <v>3.7400000000000003E-2</v>
      </c>
      <c r="BX668" s="59">
        <v>3.7400000000000003E-2</v>
      </c>
      <c r="BY668" s="59">
        <v>0</v>
      </c>
      <c r="BZ668" s="59">
        <v>0</v>
      </c>
      <c r="CA668" s="49">
        <v>27</v>
      </c>
      <c r="CB668" s="59">
        <f t="shared" si="53"/>
        <v>7.4800000000000005E-2</v>
      </c>
      <c r="CC668" s="59">
        <v>0.626</v>
      </c>
      <c r="CD668" s="59">
        <v>0.16830000000000001</v>
      </c>
      <c r="CE668" s="59">
        <v>0.20569999999999999</v>
      </c>
      <c r="CF668" s="59">
        <v>0</v>
      </c>
      <c r="CG668" s="59">
        <v>0</v>
      </c>
      <c r="CH668" s="3">
        <v>15.5</v>
      </c>
      <c r="CI668" s="25" t="s">
        <v>115</v>
      </c>
      <c r="CJ668" s="18" t="s">
        <v>489</v>
      </c>
      <c r="CK668" s="20"/>
    </row>
    <row r="669" spans="1:89" x14ac:dyDescent="0.25">
      <c r="A669" s="18" t="s">
        <v>489</v>
      </c>
      <c r="B669" s="19" t="s">
        <v>113</v>
      </c>
      <c r="C669" s="25" t="s">
        <v>116</v>
      </c>
      <c r="D669" s="6">
        <v>1</v>
      </c>
      <c r="E669" s="6">
        <v>0</v>
      </c>
      <c r="F669" s="6">
        <v>1</v>
      </c>
      <c r="G669" s="163">
        <v>0</v>
      </c>
      <c r="H669" s="163">
        <v>0</v>
      </c>
      <c r="I669" s="162" t="s">
        <v>83</v>
      </c>
      <c r="J669" s="163">
        <v>1</v>
      </c>
      <c r="K669" s="163">
        <v>0</v>
      </c>
      <c r="L669" s="163">
        <v>0</v>
      </c>
      <c r="M669" s="163">
        <v>0</v>
      </c>
      <c r="N669" s="115">
        <v>4.0000000000000001E-3</v>
      </c>
      <c r="O669" s="115">
        <v>6.0606060606060597E-3</v>
      </c>
      <c r="P669" s="115">
        <v>0</v>
      </c>
      <c r="Q669" s="115">
        <v>0</v>
      </c>
      <c r="R669" s="116" t="s">
        <v>83</v>
      </c>
      <c r="S669" s="115">
        <v>2.2222222222222199E-2</v>
      </c>
      <c r="T669" s="115">
        <v>0</v>
      </c>
      <c r="U669" s="115">
        <v>0</v>
      </c>
      <c r="V669" s="115">
        <v>0</v>
      </c>
      <c r="W669" s="6">
        <v>561</v>
      </c>
      <c r="X669" s="40">
        <f t="shared" si="50"/>
        <v>157</v>
      </c>
      <c r="Y669" s="40">
        <f t="shared" si="51"/>
        <v>237</v>
      </c>
      <c r="Z669" s="59">
        <v>0.53480000000000005</v>
      </c>
      <c r="AA669" s="59">
        <v>0.4652</v>
      </c>
      <c r="AB669" s="61">
        <v>1.7825311942959001E-3</v>
      </c>
      <c r="AC669" s="61">
        <v>5.3475935828877002E-3</v>
      </c>
      <c r="AD669" s="61">
        <v>7.130124777183601E-2</v>
      </c>
      <c r="AE669" s="61">
        <v>3.5650623885918001E-3</v>
      </c>
      <c r="AF669" s="61">
        <v>0</v>
      </c>
      <c r="AG669" s="61">
        <v>0.90374331550802134</v>
      </c>
      <c r="AH669" s="61">
        <v>1.4260249554367201E-2</v>
      </c>
      <c r="AI669" s="61">
        <v>9.6256684491978606E-2</v>
      </c>
      <c r="AJ669" s="59">
        <v>0.626</v>
      </c>
      <c r="AK669" s="59">
        <v>0</v>
      </c>
      <c r="AL669" s="3">
        <v>43</v>
      </c>
      <c r="AM669" s="3">
        <v>37</v>
      </c>
      <c r="AN669" s="3">
        <v>0</v>
      </c>
      <c r="AO669" s="3">
        <v>42</v>
      </c>
      <c r="AP669" s="3">
        <v>45</v>
      </c>
      <c r="AQ669" s="3">
        <v>41</v>
      </c>
      <c r="AR669" s="3">
        <v>29</v>
      </c>
      <c r="AS669" s="59">
        <v>0</v>
      </c>
      <c r="AT669" s="3">
        <v>1</v>
      </c>
      <c r="AU669" s="3">
        <v>6</v>
      </c>
      <c r="AV669" s="49">
        <v>82.006920415224897</v>
      </c>
      <c r="AW669" s="49">
        <v>16.6089965397924</v>
      </c>
      <c r="AX669" s="49">
        <v>1.0380622837370199</v>
      </c>
      <c r="AY669" s="67">
        <v>0.34602076124567499</v>
      </c>
      <c r="AZ669" s="62">
        <v>2.3102310231023101E-2</v>
      </c>
      <c r="BA669" s="62">
        <v>6.1056105610561059E-2</v>
      </c>
      <c r="BB669" s="78">
        <v>93.687061530785797</v>
      </c>
      <c r="BC669" s="49">
        <v>25.5941499085923</v>
      </c>
      <c r="BD669" s="87">
        <v>0</v>
      </c>
      <c r="BE669" s="87">
        <v>0</v>
      </c>
      <c r="BF669" s="87">
        <v>0</v>
      </c>
      <c r="BG669" s="87">
        <v>0</v>
      </c>
      <c r="BH669" s="87">
        <v>0</v>
      </c>
      <c r="BI669" s="87">
        <v>0</v>
      </c>
      <c r="BJ669" s="49">
        <v>19.899999999999999</v>
      </c>
      <c r="BK669" s="126">
        <v>12702</v>
      </c>
      <c r="BL669" s="126">
        <v>53551</v>
      </c>
      <c r="BM669" s="126">
        <v>27765</v>
      </c>
      <c r="BN669" s="126">
        <v>42814</v>
      </c>
      <c r="BO669" s="59">
        <v>1.34E-2</v>
      </c>
      <c r="BP669" s="59">
        <v>0.37369999999999998</v>
      </c>
      <c r="BQ669" s="59">
        <v>0.22839999999999999</v>
      </c>
      <c r="BR669" s="59">
        <v>0</v>
      </c>
      <c r="BS669" s="59">
        <v>0</v>
      </c>
      <c r="BT669" s="49">
        <v>14.4</v>
      </c>
      <c r="BU669" s="59">
        <f t="shared" si="52"/>
        <v>0.61549999999999994</v>
      </c>
      <c r="BV669" s="59">
        <v>1.34E-2</v>
      </c>
      <c r="BW669" s="59">
        <v>2.0000000000000001E-4</v>
      </c>
      <c r="BX669" s="59">
        <v>0</v>
      </c>
      <c r="BY669" s="59">
        <v>0</v>
      </c>
      <c r="BZ669" s="59">
        <v>1.34E-2</v>
      </c>
      <c r="CA669" s="49">
        <v>25</v>
      </c>
      <c r="CB669" s="59">
        <f t="shared" si="53"/>
        <v>2.7000000000000003E-2</v>
      </c>
      <c r="CC669" s="59">
        <v>0.35610000000000003</v>
      </c>
      <c r="CD669" s="59">
        <v>0.3886</v>
      </c>
      <c r="CE669" s="59">
        <v>0.2419</v>
      </c>
      <c r="CF669" s="59">
        <v>0</v>
      </c>
      <c r="CG669" s="59">
        <v>1.34E-2</v>
      </c>
      <c r="CH669" s="49">
        <v>13.5</v>
      </c>
      <c r="CI669" s="25" t="s">
        <v>116</v>
      </c>
      <c r="CJ669" s="18" t="s">
        <v>489</v>
      </c>
      <c r="CK669" s="20"/>
    </row>
    <row r="670" spans="1:89" x14ac:dyDescent="0.25">
      <c r="A670" s="18" t="s">
        <v>489</v>
      </c>
      <c r="B670" s="19" t="s">
        <v>113</v>
      </c>
      <c r="C670" s="25" t="s">
        <v>117</v>
      </c>
      <c r="D670" s="6">
        <v>3</v>
      </c>
      <c r="E670" s="6">
        <v>0</v>
      </c>
      <c r="F670" s="6">
        <v>3</v>
      </c>
      <c r="G670" s="163">
        <v>0</v>
      </c>
      <c r="H670" s="163">
        <v>0</v>
      </c>
      <c r="I670" s="162" t="s">
        <v>83</v>
      </c>
      <c r="J670" s="163">
        <v>1</v>
      </c>
      <c r="K670" s="163">
        <v>1</v>
      </c>
      <c r="L670" s="163">
        <v>1</v>
      </c>
      <c r="M670" s="163">
        <v>0</v>
      </c>
      <c r="N670" s="115">
        <v>3.2608695652173898E-2</v>
      </c>
      <c r="O670" s="115">
        <v>5.4545454545454501E-2</v>
      </c>
      <c r="P670" s="115">
        <v>0</v>
      </c>
      <c r="Q670" s="115">
        <v>0</v>
      </c>
      <c r="R670" s="116" t="s">
        <v>83</v>
      </c>
      <c r="S670" s="115">
        <v>8.3333333333333301E-2</v>
      </c>
      <c r="T670" s="115">
        <v>9.0909090909090898E-2</v>
      </c>
      <c r="U670" s="115">
        <v>0.05</v>
      </c>
      <c r="V670" s="115">
        <v>0</v>
      </c>
      <c r="W670" s="6">
        <v>174</v>
      </c>
      <c r="X670" s="40">
        <f t="shared" si="50"/>
        <v>48</v>
      </c>
      <c r="Y670" s="40">
        <f t="shared" si="51"/>
        <v>80</v>
      </c>
      <c r="Z670" s="59">
        <v>0.44829999999999998</v>
      </c>
      <c r="AA670" s="59">
        <v>0.55169999999999997</v>
      </c>
      <c r="AB670" s="61">
        <v>0</v>
      </c>
      <c r="AC670" s="61">
        <v>0</v>
      </c>
      <c r="AD670" s="61">
        <v>0.90804597701149425</v>
      </c>
      <c r="AE670" s="61">
        <v>1.1494252873563218E-2</v>
      </c>
      <c r="AF670" s="61">
        <v>0</v>
      </c>
      <c r="AG670" s="61">
        <v>5.7471264367816091E-2</v>
      </c>
      <c r="AH670" s="61">
        <v>2.2988505747126436E-2</v>
      </c>
      <c r="AI670" s="61">
        <v>0.94252873563218387</v>
      </c>
      <c r="AJ670" s="59">
        <v>0.86799999999999999</v>
      </c>
      <c r="AK670" s="59">
        <v>0</v>
      </c>
      <c r="AL670" s="3">
        <v>24</v>
      </c>
      <c r="AM670" s="3">
        <v>8</v>
      </c>
      <c r="AN670" s="3">
        <v>0</v>
      </c>
      <c r="AO670" s="3">
        <v>7</v>
      </c>
      <c r="AP670" s="3">
        <v>9</v>
      </c>
      <c r="AQ670" s="3">
        <v>19</v>
      </c>
      <c r="AR670" s="3">
        <v>13</v>
      </c>
      <c r="AS670" s="59">
        <v>0</v>
      </c>
      <c r="AT670" s="3">
        <v>1</v>
      </c>
      <c r="AU670" s="3">
        <v>6</v>
      </c>
      <c r="AV670" s="49">
        <v>94.339622641509408</v>
      </c>
      <c r="AW670" s="49">
        <v>5.6603773584905701</v>
      </c>
      <c r="AX670" s="49">
        <v>0</v>
      </c>
      <c r="AY670" s="67">
        <v>0</v>
      </c>
      <c r="AZ670" s="62">
        <v>4.830917874396135E-3</v>
      </c>
      <c r="BA670" s="62">
        <v>2.4154589371980676E-2</v>
      </c>
      <c r="BB670" s="77">
        <v>97.555370524562903</v>
      </c>
      <c r="BC670" s="49">
        <v>17.3913043478261</v>
      </c>
      <c r="BD670" s="87">
        <v>0</v>
      </c>
      <c r="BE670" s="87">
        <v>0</v>
      </c>
      <c r="BF670" s="87">
        <v>0</v>
      </c>
      <c r="BG670" s="87">
        <v>0</v>
      </c>
      <c r="BH670" s="87">
        <v>0</v>
      </c>
      <c r="BI670" s="87">
        <v>0</v>
      </c>
      <c r="BJ670" s="49">
        <v>18.3</v>
      </c>
      <c r="BK670" s="126">
        <v>18207</v>
      </c>
      <c r="BL670" s="126">
        <v>52307</v>
      </c>
      <c r="BM670" s="126">
        <v>50664</v>
      </c>
      <c r="BN670" s="126">
        <v>42308</v>
      </c>
      <c r="BO670" s="59">
        <v>0</v>
      </c>
      <c r="BP670" s="59">
        <v>0.28210000000000002</v>
      </c>
      <c r="BQ670" s="59">
        <v>0.28170000000000001</v>
      </c>
      <c r="BR670" s="59">
        <v>0</v>
      </c>
      <c r="BS670" s="59">
        <v>0</v>
      </c>
      <c r="BT670" s="49">
        <v>14.9</v>
      </c>
      <c r="BU670" s="59">
        <f t="shared" si="52"/>
        <v>0.56380000000000008</v>
      </c>
      <c r="BV670" s="59">
        <v>0</v>
      </c>
      <c r="BW670" s="59">
        <v>0</v>
      </c>
      <c r="BX670" s="59">
        <v>5.16E-2</v>
      </c>
      <c r="BY670" s="59">
        <v>0</v>
      </c>
      <c r="BZ670" s="59">
        <v>0</v>
      </c>
      <c r="CA670" s="49">
        <v>12.1</v>
      </c>
      <c r="CB670" s="59">
        <f t="shared" si="53"/>
        <v>5.16E-2</v>
      </c>
      <c r="CC670" s="59">
        <v>0.33329999999999999</v>
      </c>
      <c r="CD670" s="59">
        <v>0.33329999999999999</v>
      </c>
      <c r="CE670" s="59">
        <v>0.33329999999999999</v>
      </c>
      <c r="CF670" s="59">
        <v>0</v>
      </c>
      <c r="CG670" s="59">
        <v>0</v>
      </c>
      <c r="CH670" s="49">
        <v>13.5</v>
      </c>
      <c r="CI670" s="25" t="s">
        <v>117</v>
      </c>
      <c r="CJ670" s="18" t="s">
        <v>489</v>
      </c>
      <c r="CK670" s="20"/>
    </row>
    <row r="671" spans="1:89" x14ac:dyDescent="0.25">
      <c r="A671" s="18" t="s">
        <v>489</v>
      </c>
      <c r="B671" s="19" t="s">
        <v>120</v>
      </c>
      <c r="C671" s="25" t="s">
        <v>124</v>
      </c>
      <c r="D671" s="6">
        <v>26</v>
      </c>
      <c r="E671" s="40" t="s">
        <v>83</v>
      </c>
      <c r="F671" s="6">
        <v>26</v>
      </c>
      <c r="G671" s="162" t="s">
        <v>83</v>
      </c>
      <c r="H671" s="162" t="s">
        <v>83</v>
      </c>
      <c r="I671" s="163">
        <v>1</v>
      </c>
      <c r="J671" s="163">
        <v>2</v>
      </c>
      <c r="K671" s="163">
        <v>12</v>
      </c>
      <c r="L671" s="163">
        <v>5</v>
      </c>
      <c r="M671" s="163">
        <v>6</v>
      </c>
      <c r="N671" s="115">
        <v>1.9075568598679399E-2</v>
      </c>
      <c r="O671" s="115">
        <v>1.9075568598679399E-2</v>
      </c>
      <c r="P671" s="116" t="s">
        <v>83</v>
      </c>
      <c r="Q671" s="116" t="s">
        <v>83</v>
      </c>
      <c r="R671" s="115">
        <v>0.14285714285714299</v>
      </c>
      <c r="S671" s="115">
        <v>5.3908355795148303E-3</v>
      </c>
      <c r="T671" s="115">
        <v>3.2171581769436998E-2</v>
      </c>
      <c r="U671" s="115">
        <v>1.5772870662460602E-2</v>
      </c>
      <c r="V671" s="115">
        <v>2.0338983050847501E-2</v>
      </c>
      <c r="W671" s="6">
        <v>1291</v>
      </c>
      <c r="X671" s="40">
        <f t="shared" si="50"/>
        <v>1291</v>
      </c>
      <c r="Y671" s="40">
        <f t="shared" si="51"/>
        <v>1291</v>
      </c>
      <c r="Z671" s="59">
        <v>0.46629999999999999</v>
      </c>
      <c r="AA671" s="59">
        <v>0.53369999999999995</v>
      </c>
      <c r="AB671" s="61">
        <v>3.0983733539891559E-3</v>
      </c>
      <c r="AC671" s="61">
        <v>7.7459333849728895E-3</v>
      </c>
      <c r="AD671" s="61">
        <v>0.14484895429899303</v>
      </c>
      <c r="AE671" s="61">
        <v>5.6545313710302095E-2</v>
      </c>
      <c r="AF671" s="61">
        <v>2.3237800154918666E-3</v>
      </c>
      <c r="AG671" s="61">
        <v>0.75987606506584049</v>
      </c>
      <c r="AH671" s="61">
        <v>2.5561580170410533E-2</v>
      </c>
      <c r="AI671" s="61">
        <v>0.24012393493415957</v>
      </c>
      <c r="AJ671" s="59">
        <v>0.46100000000000002</v>
      </c>
      <c r="AK671" s="59">
        <v>1.0800000000000001E-2</v>
      </c>
      <c r="AL671" s="3">
        <v>0</v>
      </c>
      <c r="AM671" s="3">
        <v>0</v>
      </c>
      <c r="AN671" s="3">
        <v>16</v>
      </c>
      <c r="AO671" s="3">
        <v>338</v>
      </c>
      <c r="AP671" s="3">
        <v>349</v>
      </c>
      <c r="AQ671" s="3">
        <v>308</v>
      </c>
      <c r="AR671" s="3">
        <v>280</v>
      </c>
      <c r="AS671" s="59">
        <v>4.519774011299435E-2</v>
      </c>
      <c r="AT671" s="3">
        <v>9</v>
      </c>
      <c r="AU671" s="3">
        <v>6</v>
      </c>
      <c r="AV671" s="49">
        <v>35.371179039301296</v>
      </c>
      <c r="AW671" s="49">
        <v>25.545851528384301</v>
      </c>
      <c r="AX671" s="49">
        <v>36.026200873362399</v>
      </c>
      <c r="AY671" s="67">
        <v>3.0567685589519602</v>
      </c>
      <c r="AZ671" s="62">
        <v>0.20296296296296296</v>
      </c>
      <c r="BA671" s="62">
        <v>7.6296296296296293E-2</v>
      </c>
      <c r="BB671" s="77">
        <v>91.594380539317399</v>
      </c>
      <c r="BC671" s="49">
        <v>54.799426934097397</v>
      </c>
      <c r="BD671" s="90" t="s">
        <v>83</v>
      </c>
      <c r="BE671" s="90" t="s">
        <v>83</v>
      </c>
      <c r="BF671" s="87">
        <v>6.7</v>
      </c>
      <c r="BG671" s="87">
        <v>6.7</v>
      </c>
      <c r="BH671" s="87">
        <v>2.4</v>
      </c>
      <c r="BI671" s="87">
        <v>3.8</v>
      </c>
      <c r="BJ671" s="49">
        <v>19.8</v>
      </c>
      <c r="BK671" s="126">
        <v>9646</v>
      </c>
      <c r="BL671" s="126">
        <v>55554</v>
      </c>
      <c r="BM671" s="126">
        <v>57613</v>
      </c>
      <c r="BN671" s="126">
        <v>45627</v>
      </c>
      <c r="BO671" s="59">
        <v>0</v>
      </c>
      <c r="BP671" s="59">
        <v>0.34379999999999999</v>
      </c>
      <c r="BQ671" s="59">
        <v>0.23230000000000001</v>
      </c>
      <c r="BR671" s="59">
        <v>0</v>
      </c>
      <c r="BS671" s="59">
        <v>0</v>
      </c>
      <c r="BT671" s="49">
        <v>13.7</v>
      </c>
      <c r="BU671" s="59">
        <f t="shared" si="52"/>
        <v>0.57610000000000006</v>
      </c>
      <c r="BV671" s="59">
        <v>3.32E-2</v>
      </c>
      <c r="BW671" s="59">
        <v>0</v>
      </c>
      <c r="BX671" s="59">
        <v>2.4899999999999999E-2</v>
      </c>
      <c r="BY671" s="59">
        <v>0</v>
      </c>
      <c r="BZ671" s="59">
        <v>0</v>
      </c>
      <c r="CA671" s="49">
        <v>25.7</v>
      </c>
      <c r="CB671" s="59">
        <f t="shared" si="53"/>
        <v>5.8099999999999999E-2</v>
      </c>
      <c r="CC671" s="59">
        <v>0.3493</v>
      </c>
      <c r="CD671" s="59">
        <v>0.34379999999999999</v>
      </c>
      <c r="CE671" s="59">
        <v>0.30690000000000001</v>
      </c>
      <c r="CF671" s="59">
        <v>0</v>
      </c>
      <c r="CG671" s="59">
        <v>0</v>
      </c>
      <c r="CH671" s="49">
        <v>13.5</v>
      </c>
      <c r="CI671" s="25" t="s">
        <v>124</v>
      </c>
      <c r="CJ671" s="18" t="s">
        <v>489</v>
      </c>
      <c r="CK671" s="20"/>
    </row>
    <row r="672" spans="1:89" x14ac:dyDescent="0.25">
      <c r="A672" s="18" t="s">
        <v>489</v>
      </c>
      <c r="B672" s="19" t="s">
        <v>120</v>
      </c>
      <c r="C672" s="25" t="s">
        <v>125</v>
      </c>
      <c r="D672" s="6">
        <v>28</v>
      </c>
      <c r="E672" s="40" t="s">
        <v>83</v>
      </c>
      <c r="F672" s="6">
        <v>28</v>
      </c>
      <c r="G672" s="162" t="s">
        <v>83</v>
      </c>
      <c r="H672" s="162" t="s">
        <v>83</v>
      </c>
      <c r="I672" s="163">
        <v>0</v>
      </c>
      <c r="J672" s="163">
        <v>3</v>
      </c>
      <c r="K672" s="163">
        <v>13</v>
      </c>
      <c r="L672" s="163">
        <v>4</v>
      </c>
      <c r="M672" s="163">
        <v>8</v>
      </c>
      <c r="N672" s="115">
        <v>1.9787985865724399E-2</v>
      </c>
      <c r="O672" s="115">
        <v>1.9787985865724399E-2</v>
      </c>
      <c r="P672" s="116" t="s">
        <v>83</v>
      </c>
      <c r="Q672" s="116" t="s">
        <v>83</v>
      </c>
      <c r="R672" s="115">
        <v>0</v>
      </c>
      <c r="S672" s="115">
        <v>7.3349633251833697E-3</v>
      </c>
      <c r="T672" s="115">
        <v>3.55191256830601E-2</v>
      </c>
      <c r="U672" s="115">
        <v>1.2307692307692301E-2</v>
      </c>
      <c r="V672" s="115">
        <v>2.61437908496732E-2</v>
      </c>
      <c r="W672" s="6">
        <v>1301</v>
      </c>
      <c r="X672" s="40">
        <f t="shared" si="50"/>
        <v>1301</v>
      </c>
      <c r="Y672" s="40">
        <f t="shared" si="51"/>
        <v>1301</v>
      </c>
      <c r="Z672" s="59">
        <v>0.4612</v>
      </c>
      <c r="AA672" s="59">
        <v>0.53879999999999995</v>
      </c>
      <c r="AB672" s="61">
        <v>9.2236740968485772E-3</v>
      </c>
      <c r="AC672" s="61">
        <v>1.7678708685626442E-2</v>
      </c>
      <c r="AD672" s="61">
        <v>0.2328977709454266</v>
      </c>
      <c r="AE672" s="61">
        <v>6.6871637202152195E-2</v>
      </c>
      <c r="AF672" s="61">
        <v>2.3059185242121443E-3</v>
      </c>
      <c r="AG672" s="61">
        <v>0.6249039200614912</v>
      </c>
      <c r="AH672" s="61">
        <v>4.6118370484242888E-2</v>
      </c>
      <c r="AI672" s="61">
        <v>0.37509607993850885</v>
      </c>
      <c r="AJ672" s="59">
        <v>0.378</v>
      </c>
      <c r="AK672" s="59">
        <v>7.7000000000000002E-3</v>
      </c>
      <c r="AL672" s="3">
        <v>0</v>
      </c>
      <c r="AM672" s="3">
        <v>0</v>
      </c>
      <c r="AN672" s="3">
        <v>8</v>
      </c>
      <c r="AO672" s="3">
        <v>377</v>
      </c>
      <c r="AP672" s="3">
        <v>327</v>
      </c>
      <c r="AQ672" s="3">
        <v>302</v>
      </c>
      <c r="AR672" s="3">
        <v>287</v>
      </c>
      <c r="AS672" s="59">
        <v>2.0779220779220779E-2</v>
      </c>
      <c r="AT672" s="3">
        <v>9</v>
      </c>
      <c r="AU672" s="3">
        <v>6</v>
      </c>
      <c r="AV672" s="49">
        <v>38.126361655773401</v>
      </c>
      <c r="AW672" s="49">
        <v>29.847494553376901</v>
      </c>
      <c r="AX672" s="49">
        <v>28.540305010893203</v>
      </c>
      <c r="AY672" s="67">
        <v>3.4858387799564303</v>
      </c>
      <c r="AZ672" s="62">
        <v>0.20156695156695156</v>
      </c>
      <c r="BA672" s="62">
        <v>7.5498575498575499E-2</v>
      </c>
      <c r="BB672" s="78">
        <v>92.222810464093698</v>
      </c>
      <c r="BC672" s="49">
        <v>53.181189488243398</v>
      </c>
      <c r="BD672" s="90" t="s">
        <v>83</v>
      </c>
      <c r="BE672" s="90" t="s">
        <v>83</v>
      </c>
      <c r="BF672" s="87">
        <v>5.7</v>
      </c>
      <c r="BG672" s="87">
        <v>6.7</v>
      </c>
      <c r="BH672" s="87">
        <v>2.9</v>
      </c>
      <c r="BI672" s="87">
        <v>2.2000000000000002</v>
      </c>
      <c r="BJ672" s="49">
        <v>21.3</v>
      </c>
      <c r="BK672" s="126">
        <v>9024</v>
      </c>
      <c r="BL672" s="126">
        <v>54064</v>
      </c>
      <c r="BM672" s="126">
        <v>58044</v>
      </c>
      <c r="BN672" s="126">
        <v>44372</v>
      </c>
      <c r="BO672" s="59">
        <v>0</v>
      </c>
      <c r="BP672" s="59">
        <v>0.40379999999999999</v>
      </c>
      <c r="BQ672" s="59">
        <v>0.1754</v>
      </c>
      <c r="BR672" s="59">
        <v>0</v>
      </c>
      <c r="BS672" s="59">
        <v>0</v>
      </c>
      <c r="BT672" s="49">
        <v>12.9</v>
      </c>
      <c r="BU672" s="59">
        <f t="shared" si="52"/>
        <v>0.57919999999999994</v>
      </c>
      <c r="BV672" s="59">
        <v>2.5700000000000001E-2</v>
      </c>
      <c r="BW672" s="59">
        <v>0</v>
      </c>
      <c r="BX672" s="59">
        <v>2.5700000000000001E-2</v>
      </c>
      <c r="BY672" s="59">
        <v>0</v>
      </c>
      <c r="BZ672" s="59">
        <v>0</v>
      </c>
      <c r="CA672" s="49">
        <v>17.3</v>
      </c>
      <c r="CB672" s="59">
        <f t="shared" si="53"/>
        <v>5.1400000000000001E-2</v>
      </c>
      <c r="CC672" s="59">
        <v>0.32529999999999998</v>
      </c>
      <c r="CD672" s="59">
        <v>0.42230000000000001</v>
      </c>
      <c r="CE672" s="59">
        <v>0.25230000000000002</v>
      </c>
      <c r="CF672" s="59">
        <v>0</v>
      </c>
      <c r="CG672" s="59">
        <v>0</v>
      </c>
      <c r="CH672" s="49">
        <v>11.6</v>
      </c>
      <c r="CI672" s="25" t="s">
        <v>125</v>
      </c>
      <c r="CJ672" s="18" t="s">
        <v>489</v>
      </c>
      <c r="CK672" s="20"/>
    </row>
    <row r="673" spans="1:99" x14ac:dyDescent="0.25">
      <c r="A673" s="18" t="s">
        <v>489</v>
      </c>
      <c r="B673" s="19" t="s">
        <v>120</v>
      </c>
      <c r="C673" s="25" t="s">
        <v>126</v>
      </c>
      <c r="D673" s="6">
        <v>8</v>
      </c>
      <c r="E673" s="6">
        <v>1</v>
      </c>
      <c r="F673" s="6">
        <v>7</v>
      </c>
      <c r="G673" s="163">
        <v>1</v>
      </c>
      <c r="H673" s="163">
        <v>0</v>
      </c>
      <c r="I673" s="163">
        <v>0</v>
      </c>
      <c r="J673" s="163">
        <v>0</v>
      </c>
      <c r="K673" s="163">
        <v>2</v>
      </c>
      <c r="L673" s="163">
        <v>4</v>
      </c>
      <c r="M673" s="163">
        <v>1</v>
      </c>
      <c r="N673" s="115">
        <v>3.7558685446009397E-2</v>
      </c>
      <c r="O673" s="115">
        <v>4.72972972972973E-2</v>
      </c>
      <c r="P673" s="115">
        <v>3.2258064516128997E-2</v>
      </c>
      <c r="Q673" s="115">
        <v>0</v>
      </c>
      <c r="R673" s="115">
        <v>0</v>
      </c>
      <c r="S673" s="115">
        <v>0</v>
      </c>
      <c r="T673" s="115">
        <v>4.6511627906976702E-2</v>
      </c>
      <c r="U673" s="115">
        <v>9.7560975609756101E-2</v>
      </c>
      <c r="V673" s="115">
        <v>0.04</v>
      </c>
      <c r="W673" s="6">
        <v>211</v>
      </c>
      <c r="X673" s="40">
        <f t="shared" si="50"/>
        <v>127</v>
      </c>
      <c r="Y673" s="40">
        <f t="shared" si="51"/>
        <v>185</v>
      </c>
      <c r="Z673" s="59">
        <v>0.44550000000000001</v>
      </c>
      <c r="AA673" s="59">
        <v>0.55449999999999999</v>
      </c>
      <c r="AB673" s="61">
        <v>0</v>
      </c>
      <c r="AC673" s="61">
        <v>4.7393364928909956E-3</v>
      </c>
      <c r="AD673" s="61">
        <v>0.58293838862559244</v>
      </c>
      <c r="AE673" s="61">
        <v>0</v>
      </c>
      <c r="AF673" s="61">
        <v>4.7393364928909956E-3</v>
      </c>
      <c r="AG673" s="61">
        <v>0.40284360189573459</v>
      </c>
      <c r="AH673" s="61">
        <v>4.7393364928909956E-3</v>
      </c>
      <c r="AI673" s="61">
        <v>0.59715639810426535</v>
      </c>
      <c r="AJ673" s="59">
        <v>0.78200000000000003</v>
      </c>
      <c r="AK673" s="59">
        <v>4.7000000000000002E-3</v>
      </c>
      <c r="AL673" s="3">
        <v>26</v>
      </c>
      <c r="AM673" s="3">
        <v>32</v>
      </c>
      <c r="AN673" s="3">
        <v>15</v>
      </c>
      <c r="AO673" s="3">
        <v>18</v>
      </c>
      <c r="AP673" s="3">
        <v>35</v>
      </c>
      <c r="AQ673" s="3">
        <v>35</v>
      </c>
      <c r="AR673" s="3">
        <v>24</v>
      </c>
      <c r="AS673" s="59">
        <v>0.45454545454545453</v>
      </c>
      <c r="AT673" s="3">
        <v>6</v>
      </c>
      <c r="AU673" s="3">
        <v>6</v>
      </c>
      <c r="AV673" s="49">
        <v>97.237569060773495</v>
      </c>
      <c r="AW673" s="49">
        <v>1.65745856353591</v>
      </c>
      <c r="AX673" s="49">
        <v>1.10497237569061</v>
      </c>
      <c r="AY673" s="67">
        <v>0</v>
      </c>
      <c r="AZ673" s="62">
        <v>0.2510460251046025</v>
      </c>
      <c r="BA673" s="62">
        <v>0.13389121338912133</v>
      </c>
      <c r="BB673" s="77">
        <v>92.3736018491458</v>
      </c>
      <c r="BC673" s="49">
        <v>56.790123456790099</v>
      </c>
      <c r="BD673" s="87">
        <v>0</v>
      </c>
      <c r="BE673" s="87">
        <v>0</v>
      </c>
      <c r="BF673" s="87">
        <v>0</v>
      </c>
      <c r="BG673" s="87">
        <v>0</v>
      </c>
      <c r="BH673" s="87">
        <v>0</v>
      </c>
      <c r="BI673" s="87">
        <v>8.3000000000000007</v>
      </c>
      <c r="BJ673" s="49">
        <v>17.5</v>
      </c>
      <c r="BK673" s="126">
        <v>22359</v>
      </c>
      <c r="BL673" s="126">
        <v>54840</v>
      </c>
      <c r="BM673" s="126">
        <v>51246</v>
      </c>
      <c r="BN673" s="126">
        <v>43740</v>
      </c>
      <c r="BO673" s="59">
        <v>0</v>
      </c>
      <c r="BP673" s="59">
        <v>0.32129999999999997</v>
      </c>
      <c r="BQ673" s="59">
        <v>0.1772</v>
      </c>
      <c r="BR673" s="59">
        <v>0</v>
      </c>
      <c r="BS673" s="59">
        <v>0</v>
      </c>
      <c r="BT673" s="49">
        <v>12.5</v>
      </c>
      <c r="BU673" s="59">
        <f t="shared" si="52"/>
        <v>0.49849999999999994</v>
      </c>
      <c r="BV673" s="59">
        <v>5.3499999999999999E-2</v>
      </c>
      <c r="BW673" s="59">
        <v>0</v>
      </c>
      <c r="BX673" s="59">
        <v>3.5700000000000003E-2</v>
      </c>
      <c r="BY673" s="59">
        <v>0</v>
      </c>
      <c r="BZ673" s="59">
        <v>0</v>
      </c>
      <c r="CA673" s="49">
        <v>18.8</v>
      </c>
      <c r="CB673" s="59">
        <f t="shared" si="53"/>
        <v>8.9200000000000002E-2</v>
      </c>
      <c r="CC673" s="59">
        <v>0.39439999999999997</v>
      </c>
      <c r="CD673" s="59">
        <v>0.32129999999999997</v>
      </c>
      <c r="CE673" s="59">
        <v>0.2843</v>
      </c>
      <c r="CF673" s="59">
        <v>0</v>
      </c>
      <c r="CG673" s="59">
        <v>0</v>
      </c>
      <c r="CH673" s="49">
        <v>13.1</v>
      </c>
      <c r="CI673" s="25" t="s">
        <v>126</v>
      </c>
      <c r="CJ673" s="18" t="s">
        <v>489</v>
      </c>
      <c r="CK673" s="20"/>
    </row>
    <row r="674" spans="1:99" x14ac:dyDescent="0.25">
      <c r="A674" s="18" t="s">
        <v>489</v>
      </c>
      <c r="B674" s="19" t="s">
        <v>120</v>
      </c>
      <c r="C674" s="25" t="s">
        <v>121</v>
      </c>
      <c r="D674" s="6">
        <v>39</v>
      </c>
      <c r="E674" s="40" t="s">
        <v>83</v>
      </c>
      <c r="F674" s="6">
        <v>39</v>
      </c>
      <c r="G674" s="162" t="s">
        <v>83</v>
      </c>
      <c r="H674" s="162" t="s">
        <v>83</v>
      </c>
      <c r="I674" s="163">
        <v>1</v>
      </c>
      <c r="J674" s="163">
        <v>6</v>
      </c>
      <c r="K674" s="163">
        <v>8</v>
      </c>
      <c r="L674" s="163">
        <v>10</v>
      </c>
      <c r="M674" s="163">
        <v>14</v>
      </c>
      <c r="N674" s="115">
        <v>1.9316493313521501E-2</v>
      </c>
      <c r="O674" s="115">
        <v>1.9316493313521501E-2</v>
      </c>
      <c r="P674" s="116" t="s">
        <v>83</v>
      </c>
      <c r="Q674" s="116" t="s">
        <v>83</v>
      </c>
      <c r="R674" s="115">
        <v>1.88679245283019E-2</v>
      </c>
      <c r="S674" s="115">
        <v>1.1538461538461499E-2</v>
      </c>
      <c r="T674" s="115">
        <v>1.4981273408239701E-2</v>
      </c>
      <c r="U674" s="115">
        <v>2.11416490486258E-2</v>
      </c>
      <c r="V674" s="115">
        <v>3.18906605922551E-2</v>
      </c>
      <c r="W674" s="6">
        <v>1863</v>
      </c>
      <c r="X674" s="40">
        <f t="shared" si="50"/>
        <v>1863</v>
      </c>
      <c r="Y674" s="40">
        <f t="shared" si="51"/>
        <v>1863</v>
      </c>
      <c r="Z674" s="59">
        <v>0.50029999999999997</v>
      </c>
      <c r="AA674" s="59">
        <v>0.49969999999999998</v>
      </c>
      <c r="AB674" s="61">
        <v>3.2206119162640902E-3</v>
      </c>
      <c r="AC674" s="61">
        <v>2.2544283413848631E-2</v>
      </c>
      <c r="AD674" s="61">
        <v>0.34245840042941494</v>
      </c>
      <c r="AE674" s="61">
        <v>6.3875469672571128E-2</v>
      </c>
      <c r="AF674" s="61">
        <v>1.0735373054213634E-3</v>
      </c>
      <c r="AG674" s="61">
        <v>0.53998926462694574</v>
      </c>
      <c r="AH674" s="61">
        <v>2.6838432635534086E-2</v>
      </c>
      <c r="AI674" s="61">
        <v>0.4600107353730542</v>
      </c>
      <c r="AJ674" s="59">
        <v>0.43</v>
      </c>
      <c r="AK674" s="59">
        <v>1.4999999999999999E-2</v>
      </c>
      <c r="AL674" s="3">
        <v>0</v>
      </c>
      <c r="AM674" s="3">
        <v>0</v>
      </c>
      <c r="AN674" s="3">
        <v>51</v>
      </c>
      <c r="AO674" s="3">
        <v>470</v>
      </c>
      <c r="AP674" s="3">
        <v>498</v>
      </c>
      <c r="AQ674" s="3">
        <v>437</v>
      </c>
      <c r="AR674" s="3">
        <v>407</v>
      </c>
      <c r="AS674" s="59">
        <v>9.7888675623800381E-2</v>
      </c>
      <c r="AT674" s="3">
        <v>9</v>
      </c>
      <c r="AU674" s="3">
        <v>6</v>
      </c>
      <c r="AV674" s="49">
        <v>44.903225806451601</v>
      </c>
      <c r="AW674" s="49">
        <v>23.2258064516129</v>
      </c>
      <c r="AX674" s="49">
        <v>28.258064516129</v>
      </c>
      <c r="AY674" s="67">
        <v>3.6129032258064497</v>
      </c>
      <c r="AZ674" s="62">
        <v>0.15172759138708061</v>
      </c>
      <c r="BA674" s="62">
        <v>9.3640460691036556E-2</v>
      </c>
      <c r="BB674" s="78">
        <v>92.534050730207497</v>
      </c>
      <c r="BC674" s="49">
        <v>46.421568627451002</v>
      </c>
      <c r="BD674" s="90" t="s">
        <v>83</v>
      </c>
      <c r="BE674" s="90" t="s">
        <v>83</v>
      </c>
      <c r="BF674" s="87">
        <v>5.5</v>
      </c>
      <c r="BG674" s="87">
        <v>3.3</v>
      </c>
      <c r="BH674" s="87">
        <v>0.2</v>
      </c>
      <c r="BI674" s="87">
        <v>1.5</v>
      </c>
      <c r="BJ674" s="49">
        <v>21.4</v>
      </c>
      <c r="BK674" s="126">
        <v>8979</v>
      </c>
      <c r="BL674" s="126">
        <v>54217</v>
      </c>
      <c r="BM674" s="126">
        <v>50896</v>
      </c>
      <c r="BN674" s="126">
        <v>44406</v>
      </c>
      <c r="BO674" s="59">
        <v>0</v>
      </c>
      <c r="BP674" s="59">
        <v>0.32329999999999998</v>
      </c>
      <c r="BQ674" s="59">
        <v>0.26250000000000001</v>
      </c>
      <c r="BR674" s="59">
        <v>0</v>
      </c>
      <c r="BS674" s="59">
        <v>0</v>
      </c>
      <c r="BT674" s="49">
        <v>13.7</v>
      </c>
      <c r="BU674" s="59">
        <f t="shared" si="52"/>
        <v>0.58579999999999999</v>
      </c>
      <c r="BV674" s="59">
        <v>2.46E-2</v>
      </c>
      <c r="BW674" s="59">
        <v>1.23E-2</v>
      </c>
      <c r="BX674" s="59">
        <v>2.46E-2</v>
      </c>
      <c r="BY674" s="59">
        <v>0</v>
      </c>
      <c r="BZ674" s="59">
        <v>0</v>
      </c>
      <c r="CA674" s="49">
        <v>17.100000000000001</v>
      </c>
      <c r="CB674" s="59">
        <f t="shared" si="53"/>
        <v>6.1499999999999999E-2</v>
      </c>
      <c r="CC674" s="59">
        <v>0.29249999999999998</v>
      </c>
      <c r="CD674" s="59">
        <v>0.37109999999999999</v>
      </c>
      <c r="CE674" s="59">
        <v>0.33019999999999999</v>
      </c>
      <c r="CF674" s="59">
        <v>6.1999999999999998E-3</v>
      </c>
      <c r="CG674" s="59">
        <v>0</v>
      </c>
      <c r="CH674" s="49">
        <v>12.4</v>
      </c>
      <c r="CI674" s="25" t="s">
        <v>121</v>
      </c>
      <c r="CJ674" s="18" t="s">
        <v>489</v>
      </c>
      <c r="CK674" s="20"/>
    </row>
    <row r="675" spans="1:99" x14ac:dyDescent="0.25">
      <c r="A675" s="18" t="s">
        <v>489</v>
      </c>
      <c r="B675" s="19" t="s">
        <v>120</v>
      </c>
      <c r="C675" s="25" t="s">
        <v>122</v>
      </c>
      <c r="D675" s="6">
        <v>8</v>
      </c>
      <c r="E675" s="40" t="s">
        <v>83</v>
      </c>
      <c r="F675" s="6">
        <v>8</v>
      </c>
      <c r="G675" s="162" t="s">
        <v>83</v>
      </c>
      <c r="H675" s="162" t="s">
        <v>83</v>
      </c>
      <c r="I675" s="163">
        <v>0</v>
      </c>
      <c r="J675" s="163">
        <v>1</v>
      </c>
      <c r="K675" s="163">
        <v>1</v>
      </c>
      <c r="L675" s="163">
        <v>1</v>
      </c>
      <c r="M675" s="163">
        <v>5</v>
      </c>
      <c r="N675" s="115">
        <v>7.2992700729926996E-3</v>
      </c>
      <c r="O675" s="115">
        <v>7.2992700729926996E-3</v>
      </c>
      <c r="P675" s="116" t="s">
        <v>83</v>
      </c>
      <c r="Q675" s="116" t="s">
        <v>83</v>
      </c>
      <c r="R675" s="115">
        <v>0</v>
      </c>
      <c r="S675" s="115">
        <v>3.1152647975077898E-3</v>
      </c>
      <c r="T675" s="115">
        <v>3.6496350364963498E-3</v>
      </c>
      <c r="U675" s="115">
        <v>4.0160642570281103E-3</v>
      </c>
      <c r="V675" s="115">
        <v>2.2624434389140299E-2</v>
      </c>
      <c r="W675" s="6">
        <v>1029</v>
      </c>
      <c r="X675" s="40">
        <f t="shared" si="50"/>
        <v>1029</v>
      </c>
      <c r="Y675" s="40">
        <f t="shared" si="51"/>
        <v>1029</v>
      </c>
      <c r="Z675" s="59">
        <v>0.48010000000000003</v>
      </c>
      <c r="AA675" s="59">
        <v>0.51990000000000003</v>
      </c>
      <c r="AB675" s="61">
        <v>1.9436345966958211E-3</v>
      </c>
      <c r="AC675" s="61">
        <v>8.7463556851311956E-3</v>
      </c>
      <c r="AD675" s="61">
        <v>0.14868804664723032</v>
      </c>
      <c r="AE675" s="61">
        <v>3.9844509232264333E-2</v>
      </c>
      <c r="AF675" s="61">
        <v>0</v>
      </c>
      <c r="AG675" s="61">
        <v>0.77259475218658891</v>
      </c>
      <c r="AH675" s="61">
        <v>2.8182701652089408E-2</v>
      </c>
      <c r="AI675" s="61">
        <v>0.22740524781341107</v>
      </c>
      <c r="AJ675" s="111">
        <v>0.23129251700680273</v>
      </c>
      <c r="AK675" s="59">
        <v>1E-3</v>
      </c>
      <c r="AL675" s="3">
        <v>0</v>
      </c>
      <c r="AM675" s="3">
        <v>0</v>
      </c>
      <c r="AN675" s="3">
        <v>29</v>
      </c>
      <c r="AO675" s="3">
        <v>302</v>
      </c>
      <c r="AP675" s="3">
        <v>256</v>
      </c>
      <c r="AQ675" s="3">
        <v>230</v>
      </c>
      <c r="AR675" s="3">
        <v>212</v>
      </c>
      <c r="AS675" s="59">
        <v>8.7613293051359523E-2</v>
      </c>
      <c r="AT675" s="3">
        <v>9</v>
      </c>
      <c r="AU675" s="3">
        <v>6</v>
      </c>
      <c r="AV675" s="49">
        <v>54.525386313465795</v>
      </c>
      <c r="AW675" s="49">
        <v>22.737306843267099</v>
      </c>
      <c r="AX675" s="49">
        <v>21.633554083885201</v>
      </c>
      <c r="AY675" s="67">
        <v>1.1037527593818999</v>
      </c>
      <c r="AZ675" s="62">
        <v>0.10968921389396709</v>
      </c>
      <c r="BA675" s="62">
        <v>4.113345521023766E-2</v>
      </c>
      <c r="BB675" s="77">
        <v>92.344952193707499</v>
      </c>
      <c r="BC675" s="49">
        <v>49.155555555555601</v>
      </c>
      <c r="BD675" s="90" t="s">
        <v>83</v>
      </c>
      <c r="BE675" s="90" t="s">
        <v>83</v>
      </c>
      <c r="BF675" s="87">
        <v>2.1</v>
      </c>
      <c r="BG675" s="87">
        <v>2.4</v>
      </c>
      <c r="BH675" s="87">
        <v>2.7</v>
      </c>
      <c r="BI675" s="87">
        <v>0.9</v>
      </c>
      <c r="BJ675" s="49">
        <v>22.2</v>
      </c>
      <c r="BK675" s="126">
        <v>10086</v>
      </c>
      <c r="BL675" s="126">
        <v>55521</v>
      </c>
      <c r="BM675" s="126">
        <v>54650</v>
      </c>
      <c r="BN675" s="126">
        <v>44234</v>
      </c>
      <c r="BO675" s="59">
        <v>0</v>
      </c>
      <c r="BP675" s="59">
        <v>0.34150000000000003</v>
      </c>
      <c r="BQ675" s="59">
        <v>0.2087</v>
      </c>
      <c r="BR675" s="59">
        <v>0</v>
      </c>
      <c r="BS675" s="59">
        <v>0</v>
      </c>
      <c r="BT675" s="49">
        <v>13.6</v>
      </c>
      <c r="BU675" s="59">
        <f t="shared" si="52"/>
        <v>0.55020000000000002</v>
      </c>
      <c r="BV675" s="59">
        <v>2.8500000000000001E-2</v>
      </c>
      <c r="BW675" s="59">
        <v>0</v>
      </c>
      <c r="BX675" s="59">
        <v>2.8500000000000001E-2</v>
      </c>
      <c r="BY675" s="59">
        <v>0</v>
      </c>
      <c r="BZ675" s="59">
        <v>0</v>
      </c>
      <c r="CA675" s="49">
        <v>13</v>
      </c>
      <c r="CB675" s="59">
        <f t="shared" si="53"/>
        <v>5.7000000000000002E-2</v>
      </c>
      <c r="CC675" s="59">
        <v>0.33910000000000001</v>
      </c>
      <c r="CD675" s="59">
        <v>0.3795</v>
      </c>
      <c r="CE675" s="59">
        <v>0.28139999999999998</v>
      </c>
      <c r="CF675" s="59">
        <v>0</v>
      </c>
      <c r="CG675" s="59">
        <v>0</v>
      </c>
      <c r="CH675" s="49">
        <v>12.4</v>
      </c>
      <c r="CI675" s="25" t="s">
        <v>122</v>
      </c>
      <c r="CJ675" s="18" t="s">
        <v>489</v>
      </c>
      <c r="CK675" s="20"/>
    </row>
    <row r="676" spans="1:99" ht="15.75" thickBot="1" x14ac:dyDescent="0.3">
      <c r="A676" s="18" t="s">
        <v>489</v>
      </c>
      <c r="B676" s="19" t="s">
        <v>120</v>
      </c>
      <c r="C676" s="25" t="s">
        <v>123</v>
      </c>
      <c r="D676" s="6">
        <v>40</v>
      </c>
      <c r="E676" s="40" t="s">
        <v>83</v>
      </c>
      <c r="F676" s="6">
        <v>40</v>
      </c>
      <c r="G676" s="162" t="s">
        <v>83</v>
      </c>
      <c r="H676" s="162" t="s">
        <v>83</v>
      </c>
      <c r="I676" s="163">
        <v>2</v>
      </c>
      <c r="J676" s="163">
        <v>10</v>
      </c>
      <c r="K676" s="163">
        <v>10</v>
      </c>
      <c r="L676" s="163">
        <v>6</v>
      </c>
      <c r="M676" s="163">
        <v>12</v>
      </c>
      <c r="N676" s="115">
        <v>4.4052863436123399E-2</v>
      </c>
      <c r="O676" s="115">
        <v>4.4052863436123399E-2</v>
      </c>
      <c r="P676" s="116" t="s">
        <v>83</v>
      </c>
      <c r="Q676" s="116" t="s">
        <v>83</v>
      </c>
      <c r="R676" s="115">
        <v>0.05</v>
      </c>
      <c r="S676" s="115">
        <v>4.2553191489361701E-2</v>
      </c>
      <c r="T676" s="115">
        <v>4.52488687782805E-2</v>
      </c>
      <c r="U676" s="115">
        <v>2.7027027027027001E-2</v>
      </c>
      <c r="V676" s="115">
        <v>6.3157894736842093E-2</v>
      </c>
      <c r="W676" s="6">
        <v>754</v>
      </c>
      <c r="X676" s="40">
        <f t="shared" si="50"/>
        <v>754</v>
      </c>
      <c r="Y676" s="40">
        <f t="shared" si="51"/>
        <v>754</v>
      </c>
      <c r="Z676" s="59">
        <v>0.51329999999999998</v>
      </c>
      <c r="AA676" s="59">
        <v>0.48670000000000002</v>
      </c>
      <c r="AB676" s="61">
        <v>2.6525198938992041E-3</v>
      </c>
      <c r="AC676" s="61">
        <v>9.2838196286472146E-3</v>
      </c>
      <c r="AD676" s="61">
        <v>0.59018567639257291</v>
      </c>
      <c r="AE676" s="61">
        <v>0.16180371352785147</v>
      </c>
      <c r="AF676" s="61">
        <v>1.3262599469496021E-3</v>
      </c>
      <c r="AG676" s="61">
        <v>0.19761273209549071</v>
      </c>
      <c r="AH676" s="61">
        <v>3.7135278514588858E-2</v>
      </c>
      <c r="AI676" s="61">
        <v>0.80238726790450932</v>
      </c>
      <c r="AJ676" s="111">
        <v>0.79708222811671092</v>
      </c>
      <c r="AK676" s="59">
        <v>6.2300000000000001E-2</v>
      </c>
      <c r="AL676" s="3">
        <v>0</v>
      </c>
      <c r="AM676" s="3">
        <v>0</v>
      </c>
      <c r="AN676" s="3">
        <v>35</v>
      </c>
      <c r="AO676" s="3">
        <v>186</v>
      </c>
      <c r="AP676" s="3">
        <v>179</v>
      </c>
      <c r="AQ676" s="3">
        <v>188</v>
      </c>
      <c r="AR676" s="3">
        <v>166</v>
      </c>
      <c r="AS676" s="59">
        <v>0.15837104072398189</v>
      </c>
      <c r="AT676" s="3">
        <v>9</v>
      </c>
      <c r="AU676" s="3">
        <v>6</v>
      </c>
      <c r="AV676" s="49">
        <v>68.702290076335899</v>
      </c>
      <c r="AW676" s="49">
        <v>23.918575063613201</v>
      </c>
      <c r="AX676" s="49">
        <v>6.61577608142494</v>
      </c>
      <c r="AY676" s="67">
        <v>0.76335877862595403</v>
      </c>
      <c r="AZ676" s="62">
        <v>4.7830923248053395E-2</v>
      </c>
      <c r="BA676" s="62">
        <v>0.11345939933259176</v>
      </c>
      <c r="BB676" s="78">
        <v>89.587574653495096</v>
      </c>
      <c r="BC676" s="49">
        <v>51.531151003167899</v>
      </c>
      <c r="BD676" s="90" t="s">
        <v>83</v>
      </c>
      <c r="BE676" s="90" t="s">
        <v>83</v>
      </c>
      <c r="BF676" s="87">
        <v>11.7</v>
      </c>
      <c r="BG676" s="87">
        <v>21.1</v>
      </c>
      <c r="BH676" s="87">
        <v>6.6</v>
      </c>
      <c r="BI676" s="87">
        <v>14.4</v>
      </c>
      <c r="BJ676" s="49">
        <v>17.8</v>
      </c>
      <c r="BK676" s="126">
        <v>11438</v>
      </c>
      <c r="BL676" s="126">
        <v>54937</v>
      </c>
      <c r="BM676" s="126">
        <v>59407</v>
      </c>
      <c r="BN676" s="126">
        <v>45032</v>
      </c>
      <c r="BO676" s="59">
        <v>0</v>
      </c>
      <c r="BP676" s="59">
        <v>0.36620000000000003</v>
      </c>
      <c r="BQ676" s="59">
        <v>0.1759</v>
      </c>
      <c r="BR676" s="59">
        <v>0</v>
      </c>
      <c r="BS676" s="59">
        <v>0</v>
      </c>
      <c r="BT676" s="49">
        <v>11.2</v>
      </c>
      <c r="BU676" s="59">
        <f t="shared" si="52"/>
        <v>0.54210000000000003</v>
      </c>
      <c r="BV676" s="59">
        <v>3.95E-2</v>
      </c>
      <c r="BW676" s="59">
        <v>0</v>
      </c>
      <c r="BX676" s="59">
        <v>4.5100000000000001E-2</v>
      </c>
      <c r="BY676" s="59">
        <v>0</v>
      </c>
      <c r="BZ676" s="59">
        <v>0</v>
      </c>
      <c r="CA676" s="49">
        <v>17.899999999999999</v>
      </c>
      <c r="CB676" s="59">
        <f t="shared" si="53"/>
        <v>8.4600000000000009E-2</v>
      </c>
      <c r="CC676" s="59">
        <v>0.34960000000000002</v>
      </c>
      <c r="CD676" s="59">
        <v>0.38429999999999997</v>
      </c>
      <c r="CE676" s="59">
        <v>0.2661</v>
      </c>
      <c r="CF676" s="59">
        <v>0</v>
      </c>
      <c r="CG676" s="59">
        <v>0</v>
      </c>
      <c r="CH676" s="49">
        <v>11.5</v>
      </c>
      <c r="CI676" s="25" t="s">
        <v>123</v>
      </c>
      <c r="CJ676" s="18" t="s">
        <v>489</v>
      </c>
      <c r="CK676" s="20"/>
    </row>
    <row r="677" spans="1:99" s="1" customFormat="1" ht="21" customHeight="1" x14ac:dyDescent="0.25">
      <c r="A677" s="21" t="s">
        <v>0</v>
      </c>
      <c r="B677" s="22" t="s">
        <v>1</v>
      </c>
      <c r="C677" s="22" t="s">
        <v>2</v>
      </c>
      <c r="D677" s="9" t="s">
        <v>3</v>
      </c>
      <c r="E677" s="9" t="s">
        <v>4</v>
      </c>
      <c r="F677" s="9" t="s">
        <v>5</v>
      </c>
      <c r="G677" s="161" t="s">
        <v>565</v>
      </c>
      <c r="H677" s="161" t="s">
        <v>566</v>
      </c>
      <c r="I677" s="161" t="s">
        <v>567</v>
      </c>
      <c r="J677" s="161" t="s">
        <v>568</v>
      </c>
      <c r="K677" s="161" t="s">
        <v>569</v>
      </c>
      <c r="L677" s="161" t="s">
        <v>570</v>
      </c>
      <c r="M677" s="161" t="s">
        <v>571</v>
      </c>
      <c r="N677" s="120" t="s">
        <v>6</v>
      </c>
      <c r="O677" s="120" t="s">
        <v>7</v>
      </c>
      <c r="P677" s="120" t="s">
        <v>8</v>
      </c>
      <c r="Q677" s="120" t="s">
        <v>9</v>
      </c>
      <c r="R677" s="120" t="s">
        <v>10</v>
      </c>
      <c r="S677" s="120" t="s">
        <v>11</v>
      </c>
      <c r="T677" s="120" t="s">
        <v>12</v>
      </c>
      <c r="U677" s="120" t="s">
        <v>13</v>
      </c>
      <c r="V677" s="120" t="s">
        <v>14</v>
      </c>
      <c r="W677" s="41" t="s">
        <v>15</v>
      </c>
      <c r="X677" s="41" t="s">
        <v>16</v>
      </c>
      <c r="Y677" s="41" t="s">
        <v>17</v>
      </c>
      <c r="Z677" s="107" t="s">
        <v>18</v>
      </c>
      <c r="AA677" s="107" t="s">
        <v>19</v>
      </c>
      <c r="AB677" s="95" t="s">
        <v>20</v>
      </c>
      <c r="AC677" s="95" t="s">
        <v>21</v>
      </c>
      <c r="AD677" s="95" t="s">
        <v>22</v>
      </c>
      <c r="AE677" s="95" t="s">
        <v>23</v>
      </c>
      <c r="AF677" s="95" t="s">
        <v>24</v>
      </c>
      <c r="AG677" s="95" t="s">
        <v>25</v>
      </c>
      <c r="AH677" s="95" t="s">
        <v>26</v>
      </c>
      <c r="AI677" s="95" t="s">
        <v>27</v>
      </c>
      <c r="AJ677" s="95" t="s">
        <v>28</v>
      </c>
      <c r="AK677" s="107" t="s">
        <v>29</v>
      </c>
      <c r="AL677" s="42" t="s">
        <v>30</v>
      </c>
      <c r="AM677" s="42" t="s">
        <v>31</v>
      </c>
      <c r="AN677" s="42" t="s">
        <v>32</v>
      </c>
      <c r="AO677" s="42" t="s">
        <v>33</v>
      </c>
      <c r="AP677" s="42" t="s">
        <v>34</v>
      </c>
      <c r="AQ677" s="42" t="s">
        <v>35</v>
      </c>
      <c r="AR677" s="42" t="s">
        <v>36</v>
      </c>
      <c r="AS677" s="100" t="s">
        <v>37</v>
      </c>
      <c r="AT677" s="41" t="s">
        <v>38</v>
      </c>
      <c r="AU677" s="23" t="s">
        <v>39</v>
      </c>
      <c r="AV677" s="51" t="s">
        <v>40</v>
      </c>
      <c r="AW677" s="51" t="s">
        <v>41</v>
      </c>
      <c r="AX677" s="51" t="s">
        <v>42</v>
      </c>
      <c r="AY677" s="66" t="s">
        <v>43</v>
      </c>
      <c r="AZ677" s="58" t="s">
        <v>44</v>
      </c>
      <c r="BA677" s="58" t="s">
        <v>45</v>
      </c>
      <c r="BB677" s="75" t="s">
        <v>46</v>
      </c>
      <c r="BC677" s="83" t="s">
        <v>47</v>
      </c>
      <c r="BD677" s="89" t="s">
        <v>48</v>
      </c>
      <c r="BE677" s="89" t="s">
        <v>49</v>
      </c>
      <c r="BF677" s="89" t="s">
        <v>50</v>
      </c>
      <c r="BG677" s="89" t="s">
        <v>51</v>
      </c>
      <c r="BH677" s="89" t="s">
        <v>52</v>
      </c>
      <c r="BI677" s="89" t="s">
        <v>53</v>
      </c>
      <c r="BJ677" s="86" t="s">
        <v>54</v>
      </c>
      <c r="BK677" s="123" t="s">
        <v>55</v>
      </c>
      <c r="BL677" s="123" t="s">
        <v>56</v>
      </c>
      <c r="BM677" s="123" t="s">
        <v>57</v>
      </c>
      <c r="BN677" s="123" t="s">
        <v>58</v>
      </c>
      <c r="BO677" s="131" t="s">
        <v>59</v>
      </c>
      <c r="BP677" s="131" t="s">
        <v>60</v>
      </c>
      <c r="BQ677" s="131" t="s">
        <v>61</v>
      </c>
      <c r="BR677" s="131" t="s">
        <v>62</v>
      </c>
      <c r="BS677" s="131" t="s">
        <v>63</v>
      </c>
      <c r="BT677" s="131" t="s">
        <v>64</v>
      </c>
      <c r="BU677" s="131" t="s">
        <v>65</v>
      </c>
      <c r="BV677" s="132" t="s">
        <v>66</v>
      </c>
      <c r="BW677" s="132" t="s">
        <v>67</v>
      </c>
      <c r="BX677" s="132" t="s">
        <v>68</v>
      </c>
      <c r="BY677" s="132" t="s">
        <v>69</v>
      </c>
      <c r="BZ677" s="132" t="s">
        <v>70</v>
      </c>
      <c r="CA677" s="132" t="s">
        <v>71</v>
      </c>
      <c r="CB677" s="132" t="s">
        <v>72</v>
      </c>
      <c r="CC677" s="123" t="s">
        <v>73</v>
      </c>
      <c r="CD677" s="123" t="s">
        <v>74</v>
      </c>
      <c r="CE677" s="123" t="s">
        <v>75</v>
      </c>
      <c r="CF677" s="123" t="s">
        <v>76</v>
      </c>
      <c r="CG677" s="123" t="s">
        <v>77</v>
      </c>
      <c r="CH677" s="123" t="s">
        <v>78</v>
      </c>
      <c r="CI677" s="22" t="s">
        <v>2</v>
      </c>
      <c r="CJ677" s="21" t="s">
        <v>0</v>
      </c>
      <c r="CK677" s="24" t="s">
        <v>79</v>
      </c>
      <c r="CL677"/>
      <c r="CM677"/>
      <c r="CN677"/>
      <c r="CO677"/>
      <c r="CP677"/>
      <c r="CQ677"/>
      <c r="CU677"/>
    </row>
    <row r="678" spans="1:99" x14ac:dyDescent="0.25">
      <c r="A678" s="18" t="s">
        <v>489</v>
      </c>
      <c r="B678" s="26" t="s">
        <v>127</v>
      </c>
      <c r="C678" s="25" t="s">
        <v>128</v>
      </c>
      <c r="D678" s="6">
        <v>34</v>
      </c>
      <c r="E678" s="40" t="s">
        <v>83</v>
      </c>
      <c r="F678" s="6">
        <v>34</v>
      </c>
      <c r="G678" s="162" t="s">
        <v>83</v>
      </c>
      <c r="H678" s="162" t="s">
        <v>83</v>
      </c>
      <c r="I678" s="163">
        <v>0</v>
      </c>
      <c r="J678" s="163">
        <v>14</v>
      </c>
      <c r="K678" s="163">
        <v>7</v>
      </c>
      <c r="L678" s="163">
        <v>4</v>
      </c>
      <c r="M678" s="163">
        <v>9</v>
      </c>
      <c r="N678" s="115">
        <v>1.47122457810472E-2</v>
      </c>
      <c r="O678" s="115">
        <v>1.47122457810472E-2</v>
      </c>
      <c r="P678" s="116" t="s">
        <v>83</v>
      </c>
      <c r="Q678" s="116" t="s">
        <v>83</v>
      </c>
      <c r="R678" s="115">
        <v>0</v>
      </c>
      <c r="S678" s="115">
        <v>2.1705426356589098E-2</v>
      </c>
      <c r="T678" s="115">
        <v>1.1844331641286E-2</v>
      </c>
      <c r="U678" s="115">
        <v>7.63358778625954E-3</v>
      </c>
      <c r="V678" s="115">
        <v>1.70132325141777E-2</v>
      </c>
      <c r="W678" s="6">
        <v>2185</v>
      </c>
      <c r="X678" s="40">
        <f t="shared" si="50"/>
        <v>2185</v>
      </c>
      <c r="Y678" s="40">
        <f t="shared" si="51"/>
        <v>2185</v>
      </c>
      <c r="Z678" s="59">
        <v>0.55059999999999998</v>
      </c>
      <c r="AA678" s="59">
        <v>0.44940000000000002</v>
      </c>
      <c r="AB678" s="61">
        <v>1.8306636155606408E-3</v>
      </c>
      <c r="AC678" s="61">
        <v>7.7803203661327234E-3</v>
      </c>
      <c r="AD678" s="61">
        <v>0.47093821510297484</v>
      </c>
      <c r="AE678" s="61">
        <v>4.6224256292906177E-2</v>
      </c>
      <c r="AF678" s="61">
        <v>9.1533180778032041E-4</v>
      </c>
      <c r="AG678" s="61">
        <v>0.45400457665903893</v>
      </c>
      <c r="AH678" s="61">
        <v>1.8306636155606407E-2</v>
      </c>
      <c r="AI678" s="61">
        <v>0.54599542334096107</v>
      </c>
      <c r="AJ678" s="59">
        <v>0.47899999999999998</v>
      </c>
      <c r="AK678" s="59">
        <v>1.2800000000000001E-2</v>
      </c>
      <c r="AL678" s="3">
        <v>0</v>
      </c>
      <c r="AM678" s="3">
        <v>0</v>
      </c>
      <c r="AN678" s="3">
        <v>16</v>
      </c>
      <c r="AO678" s="3">
        <v>598</v>
      </c>
      <c r="AP678" s="3">
        <v>561</v>
      </c>
      <c r="AQ678" s="3">
        <v>498</v>
      </c>
      <c r="AR678" s="3">
        <v>512</v>
      </c>
      <c r="AS678" s="59">
        <v>2.6058631921824105E-2</v>
      </c>
      <c r="AT678" s="3">
        <v>9</v>
      </c>
      <c r="AU678" s="3">
        <v>6</v>
      </c>
      <c r="AV678" s="49">
        <v>50.832408435072097</v>
      </c>
      <c r="AW678" s="49">
        <v>10.099889012208701</v>
      </c>
      <c r="AX678" s="49">
        <v>28.967813540510502</v>
      </c>
      <c r="AY678" s="67">
        <v>10.099889012208701</v>
      </c>
      <c r="AZ678" s="62">
        <v>0.2006105538595726</v>
      </c>
      <c r="BA678" s="62">
        <v>9.8560837331007414E-2</v>
      </c>
      <c r="BB678" s="77">
        <v>93.856607556794998</v>
      </c>
      <c r="BC678" s="49">
        <v>31.606217616580299</v>
      </c>
      <c r="BD678" s="90" t="s">
        <v>83</v>
      </c>
      <c r="BE678" s="90" t="s">
        <v>83</v>
      </c>
      <c r="BF678" s="87">
        <v>5.0999999999999996</v>
      </c>
      <c r="BG678" s="87">
        <v>4.0999999999999996</v>
      </c>
      <c r="BH678" s="87">
        <v>2.5</v>
      </c>
      <c r="BI678" s="87">
        <v>0.4</v>
      </c>
      <c r="BJ678" s="49">
        <v>22.4</v>
      </c>
      <c r="BK678" s="129">
        <v>9217</v>
      </c>
      <c r="BL678" s="129">
        <v>53502</v>
      </c>
      <c r="BM678" s="129">
        <v>56323</v>
      </c>
      <c r="BN678" s="129">
        <v>48360</v>
      </c>
      <c r="BO678" s="59">
        <v>6.6E-3</v>
      </c>
      <c r="BP678" s="59">
        <v>0.34660000000000002</v>
      </c>
      <c r="BQ678" s="59">
        <v>0.27260000000000001</v>
      </c>
      <c r="BR678" s="59">
        <v>0</v>
      </c>
      <c r="BS678" s="59">
        <v>6.6E-3</v>
      </c>
      <c r="BT678" s="49">
        <v>14.9</v>
      </c>
      <c r="BU678" s="59">
        <f t="shared" si="52"/>
        <v>0.63240000000000007</v>
      </c>
      <c r="BV678" s="59">
        <v>5.2499999999999998E-2</v>
      </c>
      <c r="BW678" s="59">
        <v>0</v>
      </c>
      <c r="BX678" s="59">
        <v>3.95E-2</v>
      </c>
      <c r="BY678" s="59">
        <v>0</v>
      </c>
      <c r="BZ678" s="59">
        <v>0</v>
      </c>
      <c r="CA678" s="49">
        <v>22.4</v>
      </c>
      <c r="CB678" s="59">
        <f t="shared" si="53"/>
        <v>9.1999999999999998E-2</v>
      </c>
      <c r="CC678" s="59">
        <v>0.24779999999999999</v>
      </c>
      <c r="CD678" s="59">
        <v>0.39040000000000002</v>
      </c>
      <c r="CE678" s="59">
        <v>0.35520000000000002</v>
      </c>
      <c r="CF678" s="59">
        <v>0</v>
      </c>
      <c r="CG678" s="59">
        <v>6.6E-3</v>
      </c>
      <c r="CH678" s="49">
        <v>15.5</v>
      </c>
      <c r="CI678" s="25" t="s">
        <v>128</v>
      </c>
      <c r="CJ678" s="18" t="s">
        <v>489</v>
      </c>
      <c r="CK678" s="20"/>
    </row>
    <row r="679" spans="1:99" x14ac:dyDescent="0.25">
      <c r="A679" s="18" t="s">
        <v>489</v>
      </c>
      <c r="B679" s="26" t="s">
        <v>127</v>
      </c>
      <c r="C679" s="25" t="s">
        <v>129</v>
      </c>
      <c r="D679" s="6">
        <v>0</v>
      </c>
      <c r="E679" s="40" t="s">
        <v>83</v>
      </c>
      <c r="F679" s="6">
        <v>0</v>
      </c>
      <c r="G679" s="162" t="s">
        <v>83</v>
      </c>
      <c r="H679" s="162" t="s">
        <v>83</v>
      </c>
      <c r="I679" s="162" t="s">
        <v>83</v>
      </c>
      <c r="J679" s="163">
        <v>0</v>
      </c>
      <c r="K679" s="163">
        <v>0</v>
      </c>
      <c r="L679" s="163">
        <v>0</v>
      </c>
      <c r="M679" s="163">
        <v>0</v>
      </c>
      <c r="N679" s="115">
        <v>0</v>
      </c>
      <c r="O679" s="115">
        <v>0</v>
      </c>
      <c r="P679" s="116" t="s">
        <v>83</v>
      </c>
      <c r="Q679" s="116" t="s">
        <v>83</v>
      </c>
      <c r="R679" s="116" t="s">
        <v>83</v>
      </c>
      <c r="S679" s="115">
        <v>0</v>
      </c>
      <c r="T679" s="115">
        <v>0</v>
      </c>
      <c r="U679" s="115">
        <v>0</v>
      </c>
      <c r="V679" s="115">
        <v>0</v>
      </c>
      <c r="W679" s="6">
        <v>1036</v>
      </c>
      <c r="X679" s="40">
        <f t="shared" si="50"/>
        <v>1036</v>
      </c>
      <c r="Y679" s="40">
        <f t="shared" si="51"/>
        <v>1036</v>
      </c>
      <c r="Z679" s="59">
        <v>0.61970000000000003</v>
      </c>
      <c r="AA679" s="59">
        <v>0.38030000000000003</v>
      </c>
      <c r="AB679" s="61">
        <v>4.8262548262548262E-3</v>
      </c>
      <c r="AC679" s="61">
        <v>7.6254826254826255E-2</v>
      </c>
      <c r="AD679" s="61">
        <v>0.20849420849420849</v>
      </c>
      <c r="AE679" s="61">
        <v>4.5366795366795366E-2</v>
      </c>
      <c r="AF679" s="61">
        <v>9.6525096525096527E-4</v>
      </c>
      <c r="AG679" s="61">
        <v>0.63223938223938225</v>
      </c>
      <c r="AH679" s="61">
        <v>3.1853281853281852E-2</v>
      </c>
      <c r="AI679" s="61">
        <v>0.36776061776061775</v>
      </c>
      <c r="AJ679" s="59">
        <v>0.245</v>
      </c>
      <c r="AK679" s="59">
        <v>1E-3</v>
      </c>
      <c r="AL679" s="3">
        <v>0</v>
      </c>
      <c r="AM679" s="3">
        <v>0</v>
      </c>
      <c r="AN679" s="3">
        <v>0</v>
      </c>
      <c r="AO679" s="3">
        <v>270</v>
      </c>
      <c r="AP679" s="3">
        <v>256</v>
      </c>
      <c r="AQ679" s="3">
        <v>249</v>
      </c>
      <c r="AR679" s="3">
        <v>261</v>
      </c>
      <c r="AS679" s="59">
        <v>0</v>
      </c>
      <c r="AT679" s="3">
        <v>9</v>
      </c>
      <c r="AU679" s="3">
        <v>7</v>
      </c>
      <c r="AV679" s="49">
        <v>72.377622377622401</v>
      </c>
      <c r="AW679" s="49">
        <v>14.860139860139901</v>
      </c>
      <c r="AX679" s="49">
        <v>12.412587412587401</v>
      </c>
      <c r="AY679" s="67">
        <v>0.34965034965035002</v>
      </c>
      <c r="AZ679" s="62">
        <v>3.8461538461538464E-3</v>
      </c>
      <c r="BA679" s="62">
        <v>1.7307692307692309E-2</v>
      </c>
      <c r="BB679" s="78">
        <v>96.1022490604675</v>
      </c>
      <c r="BC679" s="49">
        <v>11.8269230769231</v>
      </c>
      <c r="BD679" s="90" t="s">
        <v>83</v>
      </c>
      <c r="BE679" s="90" t="s">
        <v>83</v>
      </c>
      <c r="BF679" s="87">
        <v>0.4</v>
      </c>
      <c r="BG679" s="87">
        <v>0</v>
      </c>
      <c r="BH679" s="87">
        <v>0</v>
      </c>
      <c r="BI679" s="87">
        <v>0</v>
      </c>
      <c r="BJ679" s="49">
        <v>26.3</v>
      </c>
      <c r="BK679" s="129">
        <v>10838</v>
      </c>
      <c r="BL679" s="129">
        <v>53956</v>
      </c>
      <c r="BM679" s="129">
        <v>53956</v>
      </c>
      <c r="BN679" s="129">
        <v>47947</v>
      </c>
      <c r="BO679" s="59">
        <v>0</v>
      </c>
      <c r="BP679" s="59">
        <v>0.2359</v>
      </c>
      <c r="BQ679" s="59">
        <v>0.34150000000000003</v>
      </c>
      <c r="BR679" s="59">
        <v>0</v>
      </c>
      <c r="BS679" s="59">
        <v>2.6599999999999999E-2</v>
      </c>
      <c r="BT679" s="49">
        <v>19.3</v>
      </c>
      <c r="BU679" s="59">
        <f t="shared" si="52"/>
        <v>0.60399999999999998</v>
      </c>
      <c r="BV679" s="59">
        <v>4.3099999999999999E-2</v>
      </c>
      <c r="BW679" s="59">
        <v>1.0800000000000001E-2</v>
      </c>
      <c r="BX679" s="59">
        <v>4.7500000000000001E-2</v>
      </c>
      <c r="BY679" s="59">
        <v>0</v>
      </c>
      <c r="BZ679" s="59">
        <v>0</v>
      </c>
      <c r="CA679" s="49">
        <v>23.9</v>
      </c>
      <c r="CB679" s="59">
        <f t="shared" si="53"/>
        <v>0.1014</v>
      </c>
      <c r="CC679" s="59">
        <v>0.26879999999999998</v>
      </c>
      <c r="CD679" s="59">
        <v>0.25900000000000001</v>
      </c>
      <c r="CE679" s="59">
        <v>0.4456</v>
      </c>
      <c r="CF679" s="59">
        <v>0</v>
      </c>
      <c r="CG679" s="59">
        <v>2.6599999999999999E-2</v>
      </c>
      <c r="CH679" s="49">
        <v>18.399999999999999</v>
      </c>
      <c r="CI679" s="25" t="s">
        <v>129</v>
      </c>
      <c r="CJ679" s="18" t="s">
        <v>489</v>
      </c>
      <c r="CK679" s="20"/>
    </row>
    <row r="680" spans="1:99" x14ac:dyDescent="0.25">
      <c r="A680" s="18" t="s">
        <v>489</v>
      </c>
      <c r="B680" s="26" t="s">
        <v>127</v>
      </c>
      <c r="C680" s="25" t="s">
        <v>130</v>
      </c>
      <c r="D680" s="6">
        <v>19</v>
      </c>
      <c r="E680" s="40" t="s">
        <v>83</v>
      </c>
      <c r="F680" s="6">
        <v>19</v>
      </c>
      <c r="G680" s="162" t="s">
        <v>83</v>
      </c>
      <c r="H680" s="162" t="s">
        <v>83</v>
      </c>
      <c r="I680" s="163">
        <v>0</v>
      </c>
      <c r="J680" s="163">
        <v>3</v>
      </c>
      <c r="K680" s="163">
        <v>6</v>
      </c>
      <c r="L680" s="163">
        <v>6</v>
      </c>
      <c r="M680" s="163">
        <v>4</v>
      </c>
      <c r="N680" s="115">
        <v>1.2345679012345699E-2</v>
      </c>
      <c r="O680" s="115">
        <v>1.2345679012345699E-2</v>
      </c>
      <c r="P680" s="116" t="s">
        <v>83</v>
      </c>
      <c r="Q680" s="116" t="s">
        <v>83</v>
      </c>
      <c r="R680" s="115">
        <v>0</v>
      </c>
      <c r="S680" s="115">
        <v>6.7873303167420799E-3</v>
      </c>
      <c r="T680" s="115">
        <v>1.5503875968992199E-2</v>
      </c>
      <c r="U680" s="115">
        <v>1.5228426395939101E-2</v>
      </c>
      <c r="V680" s="115">
        <v>1.2944983818770199E-2</v>
      </c>
      <c r="W680" s="6">
        <v>1468</v>
      </c>
      <c r="X680" s="40">
        <f t="shared" si="50"/>
        <v>1468</v>
      </c>
      <c r="Y680" s="40">
        <f t="shared" si="51"/>
        <v>1468</v>
      </c>
      <c r="Z680" s="59">
        <v>0.51229999999999998</v>
      </c>
      <c r="AA680" s="59">
        <v>0.48770000000000002</v>
      </c>
      <c r="AB680" s="61">
        <v>2.7247956403269754E-3</v>
      </c>
      <c r="AC680" s="61">
        <v>1.0217983651226158E-2</v>
      </c>
      <c r="AD680" s="61">
        <v>0.52452316076294281</v>
      </c>
      <c r="AE680" s="61">
        <v>2.8610354223433242E-2</v>
      </c>
      <c r="AF680" s="61">
        <v>6.8119891008174384E-4</v>
      </c>
      <c r="AG680" s="61">
        <v>0.41416893732970028</v>
      </c>
      <c r="AH680" s="61">
        <v>1.9073569482288829E-2</v>
      </c>
      <c r="AI680" s="61">
        <v>0.58583106267029972</v>
      </c>
      <c r="AJ680" s="59">
        <v>0.50700000000000001</v>
      </c>
      <c r="AK680" s="59">
        <v>5.4000000000000003E-3</v>
      </c>
      <c r="AL680" s="3">
        <v>0</v>
      </c>
      <c r="AM680" s="3">
        <v>0</v>
      </c>
      <c r="AN680" s="3">
        <v>17</v>
      </c>
      <c r="AO680" s="3">
        <v>411</v>
      </c>
      <c r="AP680" s="3">
        <v>368</v>
      </c>
      <c r="AQ680" s="3">
        <v>371</v>
      </c>
      <c r="AR680" s="3">
        <v>301</v>
      </c>
      <c r="AS680" s="59">
        <v>3.9719626168224297E-2</v>
      </c>
      <c r="AT680" s="3">
        <v>9</v>
      </c>
      <c r="AU680" s="3">
        <v>6</v>
      </c>
      <c r="AV680" s="49">
        <v>73.728813559322006</v>
      </c>
      <c r="AW680" s="49">
        <v>6.4971751412429404</v>
      </c>
      <c r="AX680" s="49">
        <v>15.254237288135601</v>
      </c>
      <c r="AY680" s="67">
        <v>4.5197740112994396</v>
      </c>
      <c r="AZ680" s="62">
        <v>0.16503587736464448</v>
      </c>
      <c r="BA680" s="62">
        <v>7.2407045009784732E-2</v>
      </c>
      <c r="BB680" s="77">
        <v>94.892806593955498</v>
      </c>
      <c r="BC680" s="49">
        <v>20.1565557729941</v>
      </c>
      <c r="BD680" s="90" t="s">
        <v>83</v>
      </c>
      <c r="BE680" s="90" t="s">
        <v>83</v>
      </c>
      <c r="BF680" s="87">
        <v>2.8</v>
      </c>
      <c r="BG680" s="87">
        <v>3.5</v>
      </c>
      <c r="BH680" s="87">
        <v>1.2</v>
      </c>
      <c r="BI680" s="87">
        <v>4.0999999999999996</v>
      </c>
      <c r="BJ680" s="49">
        <v>19.8</v>
      </c>
      <c r="BK680" s="129">
        <v>9804</v>
      </c>
      <c r="BL680" s="129">
        <v>52068</v>
      </c>
      <c r="BM680" s="129">
        <v>55140</v>
      </c>
      <c r="BN680" s="129">
        <v>44454</v>
      </c>
      <c r="BO680" s="59">
        <v>9.9000000000000008E-3</v>
      </c>
      <c r="BP680" s="59">
        <v>0.32500000000000001</v>
      </c>
      <c r="BQ680" s="59">
        <v>0.2099</v>
      </c>
      <c r="BR680" s="59">
        <v>0</v>
      </c>
      <c r="BS680" s="59">
        <v>0</v>
      </c>
      <c r="BT680" s="49">
        <v>13.2</v>
      </c>
      <c r="BU680" s="59">
        <f t="shared" si="52"/>
        <v>0.54480000000000006</v>
      </c>
      <c r="BV680" s="59">
        <v>2.4899999999999999E-2</v>
      </c>
      <c r="BW680" s="59">
        <v>8.3000000000000001E-3</v>
      </c>
      <c r="BX680" s="59">
        <v>4.9799999999999997E-2</v>
      </c>
      <c r="BY680" s="59">
        <v>0</v>
      </c>
      <c r="BZ680" s="59">
        <v>0</v>
      </c>
      <c r="CA680" s="49">
        <v>20.3</v>
      </c>
      <c r="CB680" s="59">
        <f t="shared" si="53"/>
        <v>8.299999999999999E-2</v>
      </c>
      <c r="CC680" s="59">
        <v>0.28549999999999998</v>
      </c>
      <c r="CD680" s="59">
        <v>0.39939999999999998</v>
      </c>
      <c r="CE680" s="59">
        <v>0.31509999999999999</v>
      </c>
      <c r="CF680" s="59">
        <v>0</v>
      </c>
      <c r="CG680" s="59">
        <v>0</v>
      </c>
      <c r="CH680" s="49">
        <v>13.3</v>
      </c>
      <c r="CI680" s="25" t="s">
        <v>130</v>
      </c>
      <c r="CJ680" s="18" t="s">
        <v>489</v>
      </c>
      <c r="CK680" s="20"/>
    </row>
    <row r="681" spans="1:99" x14ac:dyDescent="0.25">
      <c r="A681" s="18" t="s">
        <v>489</v>
      </c>
      <c r="B681" s="26" t="s">
        <v>127</v>
      </c>
      <c r="C681" s="25" t="s">
        <v>480</v>
      </c>
      <c r="D681" s="6">
        <v>49</v>
      </c>
      <c r="E681" s="40" t="s">
        <v>83</v>
      </c>
      <c r="F681" s="6">
        <v>49</v>
      </c>
      <c r="G681" s="162" t="s">
        <v>83</v>
      </c>
      <c r="H681" s="162" t="s">
        <v>83</v>
      </c>
      <c r="I681" s="163">
        <v>7</v>
      </c>
      <c r="J681" s="163">
        <v>16</v>
      </c>
      <c r="K681" s="163">
        <v>12</v>
      </c>
      <c r="L681" s="163">
        <v>11</v>
      </c>
      <c r="M681" s="163">
        <v>3</v>
      </c>
      <c r="N681" s="115">
        <v>5.5304740406320503E-2</v>
      </c>
      <c r="O681" s="115">
        <v>5.5304740406320503E-2</v>
      </c>
      <c r="P681" s="116" t="s">
        <v>83</v>
      </c>
      <c r="Q681" s="116" t="s">
        <v>83</v>
      </c>
      <c r="R681" s="115">
        <v>0.35</v>
      </c>
      <c r="S681" s="115">
        <v>5.49828178694158E-2</v>
      </c>
      <c r="T681" s="115">
        <v>5.5299539170506902E-2</v>
      </c>
      <c r="U681" s="115">
        <v>5.1162790697674397E-2</v>
      </c>
      <c r="V681" s="115">
        <v>2.0979020979021001E-2</v>
      </c>
      <c r="W681" s="6">
        <v>736</v>
      </c>
      <c r="X681" s="40">
        <f t="shared" si="50"/>
        <v>736</v>
      </c>
      <c r="Y681" s="40">
        <f t="shared" si="51"/>
        <v>736</v>
      </c>
      <c r="Z681" s="59">
        <v>0.49590000000000001</v>
      </c>
      <c r="AA681" s="59">
        <v>0.50409999999999999</v>
      </c>
      <c r="AB681" s="61">
        <v>2.717391304347826E-3</v>
      </c>
      <c r="AC681" s="61">
        <v>1.358695652173913E-3</v>
      </c>
      <c r="AD681" s="61">
        <v>0.97282608695652173</v>
      </c>
      <c r="AE681" s="61">
        <v>8.152173913043478E-3</v>
      </c>
      <c r="AF681" s="61">
        <v>0</v>
      </c>
      <c r="AG681" s="61">
        <v>1.2228260869565218E-2</v>
      </c>
      <c r="AH681" s="61">
        <v>2.717391304347826E-3</v>
      </c>
      <c r="AI681" s="61">
        <v>0.98777173913043481</v>
      </c>
      <c r="AJ681" s="59">
        <v>0.95</v>
      </c>
      <c r="AK681" s="59">
        <v>1.4E-3</v>
      </c>
      <c r="AL681" s="3">
        <v>0</v>
      </c>
      <c r="AM681" s="3">
        <v>0</v>
      </c>
      <c r="AN681" s="3">
        <v>55</v>
      </c>
      <c r="AO681" s="3">
        <v>161</v>
      </c>
      <c r="AP681" s="3">
        <v>196</v>
      </c>
      <c r="AQ681" s="3">
        <v>197</v>
      </c>
      <c r="AR681" s="3">
        <v>127</v>
      </c>
      <c r="AS681" s="59">
        <v>0.25462962962962965</v>
      </c>
      <c r="AT681" s="3">
        <v>9</v>
      </c>
      <c r="AU681" s="3">
        <v>6</v>
      </c>
      <c r="AV681" s="49">
        <v>76.539101497504205</v>
      </c>
      <c r="AW681" s="49">
        <v>10.8153078202995</v>
      </c>
      <c r="AX681" s="49">
        <v>12.479201331114801</v>
      </c>
      <c r="AY681" s="67">
        <v>0.166389351081531</v>
      </c>
      <c r="AZ681" s="62">
        <v>1.2761020881670533E-2</v>
      </c>
      <c r="BA681" s="62">
        <v>6.0324825986078884E-2</v>
      </c>
      <c r="BB681" s="78">
        <v>87.810031003100306</v>
      </c>
      <c r="BC681" s="49">
        <v>50.1089324618736</v>
      </c>
      <c r="BD681" s="90" t="s">
        <v>83</v>
      </c>
      <c r="BE681" s="90" t="s">
        <v>83</v>
      </c>
      <c r="BF681" s="88">
        <v>10.1</v>
      </c>
      <c r="BG681" s="88">
        <v>4.7</v>
      </c>
      <c r="BH681" s="88">
        <v>1.8</v>
      </c>
      <c r="BI681" s="88">
        <v>3.1</v>
      </c>
      <c r="BJ681" s="49">
        <v>15.9</v>
      </c>
      <c r="BK681" s="129">
        <v>13196</v>
      </c>
      <c r="BL681" s="129">
        <v>51912</v>
      </c>
      <c r="BM681" s="129">
        <v>54298</v>
      </c>
      <c r="BN681" s="129">
        <v>41794</v>
      </c>
      <c r="BO681" s="59">
        <v>1.0500000000000001E-2</v>
      </c>
      <c r="BP681" s="59">
        <v>0.21540000000000001</v>
      </c>
      <c r="BQ681" s="59">
        <v>0.20760000000000001</v>
      </c>
      <c r="BR681" s="59">
        <v>0</v>
      </c>
      <c r="BS681" s="59">
        <v>9.1999999999999998E-3</v>
      </c>
      <c r="BT681" s="49">
        <v>13.6</v>
      </c>
      <c r="BU681" s="59">
        <f t="shared" si="52"/>
        <v>0.44269999999999998</v>
      </c>
      <c r="BV681" s="59">
        <v>2.9399999999999999E-2</v>
      </c>
      <c r="BW681" s="59">
        <v>2.1000000000000001E-2</v>
      </c>
      <c r="BX681" s="59">
        <v>4.19E-2</v>
      </c>
      <c r="BY681" s="59">
        <v>0</v>
      </c>
      <c r="BZ681" s="59">
        <v>0</v>
      </c>
      <c r="CA681" s="49">
        <v>22</v>
      </c>
      <c r="CB681" s="59">
        <f t="shared" si="53"/>
        <v>9.2299999999999993E-2</v>
      </c>
      <c r="CC681" s="59">
        <v>0.376</v>
      </c>
      <c r="CD681" s="59">
        <v>0.30709999999999998</v>
      </c>
      <c r="CE681" s="59">
        <v>0.30640000000000001</v>
      </c>
      <c r="CF681" s="59">
        <v>0</v>
      </c>
      <c r="CG681" s="59">
        <v>1.0500000000000001E-2</v>
      </c>
      <c r="CH681" s="49">
        <v>14.8</v>
      </c>
      <c r="CI681" s="25" t="s">
        <v>480</v>
      </c>
      <c r="CJ681" s="18" t="s">
        <v>489</v>
      </c>
      <c r="CK681" s="20"/>
    </row>
    <row r="682" spans="1:99" x14ac:dyDescent="0.25">
      <c r="A682" s="18" t="s">
        <v>489</v>
      </c>
      <c r="B682" s="26" t="s">
        <v>127</v>
      </c>
      <c r="C682" s="25" t="s">
        <v>132</v>
      </c>
      <c r="D682" s="6">
        <v>8</v>
      </c>
      <c r="E682" s="6">
        <v>0</v>
      </c>
      <c r="F682" s="6">
        <v>8</v>
      </c>
      <c r="G682" s="163">
        <v>0</v>
      </c>
      <c r="H682" s="163">
        <v>0</v>
      </c>
      <c r="I682" s="163">
        <v>0</v>
      </c>
      <c r="J682" s="163">
        <v>2</v>
      </c>
      <c r="K682" s="163">
        <v>4</v>
      </c>
      <c r="L682" s="163">
        <v>0</v>
      </c>
      <c r="M682" s="163">
        <v>2</v>
      </c>
      <c r="N682" s="115">
        <v>1.0113780025284499E-2</v>
      </c>
      <c r="O682" s="115">
        <v>1.5655577299412901E-2</v>
      </c>
      <c r="P682" s="115">
        <v>0</v>
      </c>
      <c r="Q682" s="115">
        <v>0</v>
      </c>
      <c r="R682" s="115">
        <v>0</v>
      </c>
      <c r="S682" s="115">
        <v>1.3157894736842099E-2</v>
      </c>
      <c r="T682" s="115">
        <v>2.8776978417266199E-2</v>
      </c>
      <c r="U682" s="115">
        <v>0</v>
      </c>
      <c r="V682" s="115">
        <v>2.27272727272727E-2</v>
      </c>
      <c r="W682" s="6">
        <v>679</v>
      </c>
      <c r="X682" s="40">
        <f t="shared" si="50"/>
        <v>442</v>
      </c>
      <c r="Y682" s="40">
        <f t="shared" si="51"/>
        <v>679</v>
      </c>
      <c r="Z682" s="59">
        <v>0.49630000000000002</v>
      </c>
      <c r="AA682" s="59">
        <v>0.50370000000000004</v>
      </c>
      <c r="AB682" s="61">
        <v>0</v>
      </c>
      <c r="AC682" s="61">
        <v>0</v>
      </c>
      <c r="AD682" s="61">
        <v>0.98969072164948457</v>
      </c>
      <c r="AE682" s="61">
        <v>0</v>
      </c>
      <c r="AF682" s="61">
        <v>0</v>
      </c>
      <c r="AG682" s="61">
        <v>7.3637702503681884E-3</v>
      </c>
      <c r="AH682" s="61">
        <v>2.9455081001472753E-3</v>
      </c>
      <c r="AI682" s="61">
        <v>0.99263622974963184</v>
      </c>
      <c r="AJ682" s="59">
        <v>0.94599999999999995</v>
      </c>
      <c r="AK682" s="59">
        <v>0</v>
      </c>
      <c r="AL682" s="3">
        <v>114</v>
      </c>
      <c r="AM682" s="3">
        <v>123</v>
      </c>
      <c r="AN682" s="3">
        <v>4</v>
      </c>
      <c r="AO682" s="3">
        <v>127</v>
      </c>
      <c r="AP682" s="3">
        <v>116</v>
      </c>
      <c r="AQ682" s="3">
        <v>112</v>
      </c>
      <c r="AR682" s="3">
        <v>83</v>
      </c>
      <c r="AS682" s="59">
        <v>3.0534351145038167E-2</v>
      </c>
      <c r="AT682" s="3">
        <v>7</v>
      </c>
      <c r="AU682" s="3">
        <v>6</v>
      </c>
      <c r="AV682" s="49">
        <v>68.144044321329602</v>
      </c>
      <c r="AW682" s="49">
        <v>27.7008310249308</v>
      </c>
      <c r="AX682" s="49">
        <v>4.1551246537396098</v>
      </c>
      <c r="AY682" s="67">
        <v>0</v>
      </c>
      <c r="AZ682" s="62">
        <v>0.10899873257287707</v>
      </c>
      <c r="BA682" s="62">
        <v>9.378960709759189E-2</v>
      </c>
      <c r="BB682" s="77">
        <v>93.166491090642197</v>
      </c>
      <c r="BC682" s="49">
        <v>35.234474017743999</v>
      </c>
      <c r="BD682" s="87">
        <v>3.4</v>
      </c>
      <c r="BE682" s="87">
        <v>2.9</v>
      </c>
      <c r="BF682" s="87">
        <v>4.5</v>
      </c>
      <c r="BG682" s="87">
        <v>3.9</v>
      </c>
      <c r="BH682" s="87">
        <v>5.6</v>
      </c>
      <c r="BI682" s="87">
        <v>8.4</v>
      </c>
      <c r="BJ682" s="49">
        <v>16.399999999999999</v>
      </c>
      <c r="BK682" s="129">
        <v>11831</v>
      </c>
      <c r="BL682" s="129">
        <v>51615</v>
      </c>
      <c r="BM682" s="129">
        <v>59895</v>
      </c>
      <c r="BN682" s="129">
        <v>43947</v>
      </c>
      <c r="BO682" s="59">
        <v>2.4500000000000001E-2</v>
      </c>
      <c r="BP682" s="59">
        <v>0.24210000000000001</v>
      </c>
      <c r="BQ682" s="59">
        <v>0.17330000000000001</v>
      </c>
      <c r="BR682" s="59">
        <v>1.34E-2</v>
      </c>
      <c r="BS682" s="59">
        <v>1.34E-2</v>
      </c>
      <c r="BT682" s="49">
        <v>12.4</v>
      </c>
      <c r="BU682" s="59">
        <f t="shared" si="52"/>
        <v>0.46670000000000006</v>
      </c>
      <c r="BV682" s="59">
        <v>3.85E-2</v>
      </c>
      <c r="BW682" s="59">
        <v>1.34E-2</v>
      </c>
      <c r="BX682" s="59">
        <v>5.4899999999999997E-2</v>
      </c>
      <c r="BY682" s="59">
        <v>0</v>
      </c>
      <c r="BZ682" s="59">
        <v>0</v>
      </c>
      <c r="CA682" s="49">
        <v>18.899999999999999</v>
      </c>
      <c r="CB682" s="59">
        <f t="shared" si="53"/>
        <v>0.10680000000000001</v>
      </c>
      <c r="CC682" s="59">
        <v>0.35539999999999999</v>
      </c>
      <c r="CD682" s="59">
        <v>0.32979999999999998</v>
      </c>
      <c r="CE682" s="59">
        <v>0.27450000000000002</v>
      </c>
      <c r="CF682" s="59">
        <v>2.6800000000000001E-2</v>
      </c>
      <c r="CG682" s="59">
        <v>1.34E-2</v>
      </c>
      <c r="CH682" s="49">
        <v>13.1</v>
      </c>
      <c r="CI682" s="25" t="s">
        <v>132</v>
      </c>
      <c r="CJ682" s="18" t="s">
        <v>489</v>
      </c>
      <c r="CK682" s="20"/>
    </row>
    <row r="683" spans="1:99" x14ac:dyDescent="0.25">
      <c r="A683" s="18" t="s">
        <v>489</v>
      </c>
      <c r="B683" s="26" t="s">
        <v>127</v>
      </c>
      <c r="C683" s="25" t="s">
        <v>133</v>
      </c>
      <c r="D683" s="6">
        <v>41</v>
      </c>
      <c r="E683" s="6">
        <v>4</v>
      </c>
      <c r="F683" s="6">
        <v>37</v>
      </c>
      <c r="G683" s="163">
        <v>1</v>
      </c>
      <c r="H683" s="163">
        <v>3</v>
      </c>
      <c r="I683" s="163">
        <v>1</v>
      </c>
      <c r="J683" s="163">
        <v>8</v>
      </c>
      <c r="K683" s="163">
        <v>10</v>
      </c>
      <c r="L683" s="163">
        <v>7</v>
      </c>
      <c r="M683" s="163">
        <v>11</v>
      </c>
      <c r="N683" s="115">
        <v>3.2131661442006298E-2</v>
      </c>
      <c r="O683" s="115">
        <v>3.9112050739957702E-2</v>
      </c>
      <c r="P683" s="115">
        <v>6.7114093959731499E-3</v>
      </c>
      <c r="Q683" s="115">
        <v>1.6574585635359101E-2</v>
      </c>
      <c r="R683" s="115">
        <v>8.3333333333333301E-2</v>
      </c>
      <c r="S683" s="115">
        <v>3.2520325203252001E-2</v>
      </c>
      <c r="T683" s="115">
        <v>3.6231884057971002E-2</v>
      </c>
      <c r="U683" s="115">
        <v>3.03030303030303E-2</v>
      </c>
      <c r="V683" s="115">
        <v>6.0773480662983402E-2</v>
      </c>
      <c r="W683" s="6">
        <v>1098</v>
      </c>
      <c r="X683" s="40">
        <f t="shared" si="50"/>
        <v>823</v>
      </c>
      <c r="Y683" s="40">
        <f t="shared" si="51"/>
        <v>1098</v>
      </c>
      <c r="Z683" s="59">
        <v>0.4627</v>
      </c>
      <c r="AA683" s="59">
        <v>0.5373</v>
      </c>
      <c r="AB683" s="61">
        <v>2.7322404371584699E-3</v>
      </c>
      <c r="AC683" s="61">
        <v>9.1074681238615665E-4</v>
      </c>
      <c r="AD683" s="61">
        <v>0.84517304189435338</v>
      </c>
      <c r="AE683" s="61">
        <v>5.1912568306010931E-2</v>
      </c>
      <c r="AF683" s="61">
        <v>0</v>
      </c>
      <c r="AG683" s="61">
        <v>9.1985428051001822E-2</v>
      </c>
      <c r="AH683" s="61">
        <v>7.2859744990892532E-3</v>
      </c>
      <c r="AI683" s="61">
        <v>0.90801457194899815</v>
      </c>
      <c r="AJ683" s="59">
        <v>0.83699999999999997</v>
      </c>
      <c r="AK683" s="59">
        <v>1.8200000000000001E-2</v>
      </c>
      <c r="AL683" s="3">
        <v>126</v>
      </c>
      <c r="AM683" s="3">
        <v>149</v>
      </c>
      <c r="AN683" s="3">
        <v>9</v>
      </c>
      <c r="AO683" s="3">
        <v>200</v>
      </c>
      <c r="AP683" s="3">
        <v>245</v>
      </c>
      <c r="AQ683" s="3">
        <v>206</v>
      </c>
      <c r="AR683" s="3">
        <v>163</v>
      </c>
      <c r="AS683" s="59">
        <v>4.3062200956937802E-2</v>
      </c>
      <c r="AT683" s="3">
        <v>7</v>
      </c>
      <c r="AU683" s="3">
        <v>6</v>
      </c>
      <c r="AV683" s="49">
        <v>57.3626373626374</v>
      </c>
      <c r="AW683" s="49">
        <v>15.824175824175802</v>
      </c>
      <c r="AX683" s="49">
        <v>20</v>
      </c>
      <c r="AY683" s="67">
        <v>6.8131868131868094</v>
      </c>
      <c r="AZ683" s="62">
        <v>0.30542264752791071</v>
      </c>
      <c r="BA683" s="62">
        <v>0.11802232854864433</v>
      </c>
      <c r="BB683" s="78">
        <v>91.348917470287304</v>
      </c>
      <c r="BC683" s="49">
        <v>52.819698173153299</v>
      </c>
      <c r="BD683" s="87">
        <v>1.6</v>
      </c>
      <c r="BE683" s="87">
        <v>1.4</v>
      </c>
      <c r="BF683" s="87">
        <v>8.1</v>
      </c>
      <c r="BG683" s="87">
        <v>13.8</v>
      </c>
      <c r="BH683" s="87">
        <v>6.5</v>
      </c>
      <c r="BI683" s="87">
        <v>9.6999999999999993</v>
      </c>
      <c r="BJ683" s="49">
        <v>16.8</v>
      </c>
      <c r="BK683" s="129">
        <v>12442</v>
      </c>
      <c r="BL683" s="129">
        <v>54621</v>
      </c>
      <c r="BM683" s="129">
        <v>55539</v>
      </c>
      <c r="BN683" s="129">
        <v>43769</v>
      </c>
      <c r="BO683" s="59">
        <v>1.9199999999999998E-2</v>
      </c>
      <c r="BP683" s="59">
        <v>0.27660000000000001</v>
      </c>
      <c r="BQ683" s="59">
        <v>0.1653</v>
      </c>
      <c r="BR683" s="59">
        <v>0</v>
      </c>
      <c r="BS683" s="59">
        <v>3.7000000000000002E-3</v>
      </c>
      <c r="BT683" s="49">
        <v>17.5</v>
      </c>
      <c r="BU683" s="59">
        <f t="shared" si="52"/>
        <v>0.46479999999999999</v>
      </c>
      <c r="BV683" s="59">
        <v>3.73E-2</v>
      </c>
      <c r="BW683" s="59">
        <v>0</v>
      </c>
      <c r="BX683" s="59">
        <v>3.0200000000000001E-2</v>
      </c>
      <c r="BY683" s="59">
        <v>0</v>
      </c>
      <c r="BZ683" s="59">
        <v>0</v>
      </c>
      <c r="CA683" s="49">
        <v>19.7</v>
      </c>
      <c r="CB683" s="59">
        <f t="shared" si="53"/>
        <v>6.7500000000000004E-2</v>
      </c>
      <c r="CC683" s="59">
        <v>0.37969999999999998</v>
      </c>
      <c r="CD683" s="59">
        <v>0.3654</v>
      </c>
      <c r="CE683" s="59">
        <v>0.24610000000000001</v>
      </c>
      <c r="CF683" s="59">
        <v>0</v>
      </c>
      <c r="CG683" s="59">
        <v>8.8000000000000005E-3</v>
      </c>
      <c r="CH683" s="49">
        <v>15.4</v>
      </c>
      <c r="CI683" s="25" t="s">
        <v>133</v>
      </c>
      <c r="CJ683" s="18" t="s">
        <v>489</v>
      </c>
      <c r="CK683" s="20"/>
    </row>
    <row r="684" spans="1:99" x14ac:dyDescent="0.25">
      <c r="A684" s="18" t="s">
        <v>489</v>
      </c>
      <c r="B684" s="26" t="s">
        <v>127</v>
      </c>
      <c r="C684" s="25" t="s">
        <v>134</v>
      </c>
      <c r="D684" s="6">
        <v>9</v>
      </c>
      <c r="E684" s="40" t="s">
        <v>83</v>
      </c>
      <c r="F684" s="6">
        <v>9</v>
      </c>
      <c r="G684" s="162" t="s">
        <v>83</v>
      </c>
      <c r="H684" s="162" t="s">
        <v>83</v>
      </c>
      <c r="I684" s="163">
        <v>0</v>
      </c>
      <c r="J684" s="163">
        <v>3</v>
      </c>
      <c r="K684" s="163">
        <v>2</v>
      </c>
      <c r="L684" s="163">
        <v>2</v>
      </c>
      <c r="M684" s="163">
        <v>2</v>
      </c>
      <c r="N684" s="115">
        <v>2.0224719101123601E-2</v>
      </c>
      <c r="O684" s="115">
        <v>2.0224719101123601E-2</v>
      </c>
      <c r="P684" s="116" t="s">
        <v>83</v>
      </c>
      <c r="Q684" s="116" t="s">
        <v>83</v>
      </c>
      <c r="R684" s="115">
        <v>0</v>
      </c>
      <c r="S684" s="115">
        <v>2.4E-2</v>
      </c>
      <c r="T684" s="115">
        <v>1.5625E-2</v>
      </c>
      <c r="U684" s="115">
        <v>0.02</v>
      </c>
      <c r="V684" s="115">
        <v>2.2222222222222199E-2</v>
      </c>
      <c r="W684" s="6">
        <v>413</v>
      </c>
      <c r="X684" s="40">
        <f t="shared" si="50"/>
        <v>413</v>
      </c>
      <c r="Y684" s="40">
        <f t="shared" si="51"/>
        <v>413</v>
      </c>
      <c r="Z684" s="59">
        <v>0.46250000000000002</v>
      </c>
      <c r="AA684" s="59">
        <v>0.53749999999999998</v>
      </c>
      <c r="AB684" s="61">
        <v>4.8426150121065378E-3</v>
      </c>
      <c r="AC684" s="61">
        <v>4.8426150121065378E-3</v>
      </c>
      <c r="AD684" s="61">
        <v>0.40193704600484259</v>
      </c>
      <c r="AE684" s="61">
        <v>3.1476997578692496E-2</v>
      </c>
      <c r="AF684" s="61">
        <v>0</v>
      </c>
      <c r="AG684" s="61">
        <v>0.53995157384987891</v>
      </c>
      <c r="AH684" s="61">
        <v>1.6949152542372881E-2</v>
      </c>
      <c r="AI684" s="61">
        <v>0.46004842615012109</v>
      </c>
      <c r="AJ684" s="59">
        <v>0.71899999999999997</v>
      </c>
      <c r="AK684" s="59">
        <v>7.3000000000000001E-3</v>
      </c>
      <c r="AL684" s="3">
        <v>0</v>
      </c>
      <c r="AM684" s="3">
        <v>0</v>
      </c>
      <c r="AN684" s="3">
        <v>2</v>
      </c>
      <c r="AO684" s="3">
        <v>113</v>
      </c>
      <c r="AP684" s="3">
        <v>122</v>
      </c>
      <c r="AQ684" s="3">
        <v>90</v>
      </c>
      <c r="AR684" s="3">
        <v>86</v>
      </c>
      <c r="AS684" s="59">
        <v>1.7391304347826087E-2</v>
      </c>
      <c r="AT684" s="3">
        <v>9</v>
      </c>
      <c r="AU684" s="3">
        <v>6</v>
      </c>
      <c r="AV684" s="49">
        <v>77.617328519855604</v>
      </c>
      <c r="AW684" s="49">
        <v>16.245487364620899</v>
      </c>
      <c r="AX684" s="49">
        <v>5.7761732851985599</v>
      </c>
      <c r="AY684" s="67">
        <v>0.36101083032490999</v>
      </c>
      <c r="AZ684" s="62">
        <v>0.20224719101123595</v>
      </c>
      <c r="BA684" s="62">
        <v>0.14157303370786517</v>
      </c>
      <c r="BB684" s="77">
        <v>90.591019381122095</v>
      </c>
      <c r="BC684" s="49">
        <v>42.022471910112401</v>
      </c>
      <c r="BD684" s="90" t="s">
        <v>83</v>
      </c>
      <c r="BE684" s="90" t="s">
        <v>83</v>
      </c>
      <c r="BF684" s="87">
        <v>0</v>
      </c>
      <c r="BG684" s="87">
        <v>11.1</v>
      </c>
      <c r="BH684" s="87">
        <v>2.2000000000000002</v>
      </c>
      <c r="BI684" s="87">
        <v>1.2</v>
      </c>
      <c r="BJ684" s="49">
        <v>19.5</v>
      </c>
      <c r="BK684" s="129">
        <v>14209</v>
      </c>
      <c r="BL684" s="129">
        <v>51193</v>
      </c>
      <c r="BM684" s="129">
        <v>60094</v>
      </c>
      <c r="BN684" s="129">
        <v>44261</v>
      </c>
      <c r="BO684" s="59">
        <v>1.7500000000000002E-2</v>
      </c>
      <c r="BP684" s="59">
        <v>0.3256</v>
      </c>
      <c r="BQ684" s="59">
        <v>0.1573</v>
      </c>
      <c r="BR684" s="59">
        <v>0</v>
      </c>
      <c r="BS684" s="59">
        <v>0</v>
      </c>
      <c r="BT684" s="49">
        <v>12.6</v>
      </c>
      <c r="BU684" s="59">
        <f t="shared" si="52"/>
        <v>0.50039999999999996</v>
      </c>
      <c r="BV684" s="59">
        <v>4.9599999999999998E-2</v>
      </c>
      <c r="BW684" s="59">
        <v>0</v>
      </c>
      <c r="BX684" s="59">
        <v>5.2400000000000002E-2</v>
      </c>
      <c r="BY684" s="59">
        <v>0</v>
      </c>
      <c r="BZ684" s="59">
        <v>0</v>
      </c>
      <c r="CA684" s="49">
        <v>16.7</v>
      </c>
      <c r="CB684" s="59">
        <f t="shared" si="53"/>
        <v>0.10200000000000001</v>
      </c>
      <c r="CC684" s="59">
        <v>0.37140000000000001</v>
      </c>
      <c r="CD684" s="59">
        <v>0.39169999999999999</v>
      </c>
      <c r="CE684" s="59">
        <v>0.2369</v>
      </c>
      <c r="CF684" s="59">
        <v>0</v>
      </c>
      <c r="CG684" s="59">
        <v>0</v>
      </c>
      <c r="CH684" s="49">
        <v>13.5</v>
      </c>
      <c r="CI684" s="25" t="s">
        <v>134</v>
      </c>
      <c r="CJ684" s="18" t="s">
        <v>489</v>
      </c>
      <c r="CK684" s="20"/>
    </row>
    <row r="685" spans="1:99" x14ac:dyDescent="0.25">
      <c r="A685" s="18" t="s">
        <v>489</v>
      </c>
      <c r="B685" s="26" t="s">
        <v>127</v>
      </c>
      <c r="C685" s="25" t="s">
        <v>135</v>
      </c>
      <c r="D685" s="6">
        <v>22</v>
      </c>
      <c r="E685" s="40" t="s">
        <v>83</v>
      </c>
      <c r="F685" s="6">
        <v>22</v>
      </c>
      <c r="G685" s="162" t="s">
        <v>83</v>
      </c>
      <c r="H685" s="162" t="s">
        <v>83</v>
      </c>
      <c r="I685" s="163">
        <v>1</v>
      </c>
      <c r="J685" s="163">
        <v>5</v>
      </c>
      <c r="K685" s="163">
        <v>6</v>
      </c>
      <c r="L685" s="163">
        <v>7</v>
      </c>
      <c r="M685" s="163">
        <v>3</v>
      </c>
      <c r="N685" s="115">
        <v>2.0164986251145701E-2</v>
      </c>
      <c r="O685" s="115">
        <v>2.0164986251145701E-2</v>
      </c>
      <c r="P685" s="116" t="s">
        <v>83</v>
      </c>
      <c r="Q685" s="116" t="s">
        <v>83</v>
      </c>
      <c r="R685" s="115">
        <v>3.7037037037037E-2</v>
      </c>
      <c r="S685" s="115">
        <v>1.5923566878980899E-2</v>
      </c>
      <c r="T685" s="115">
        <v>2.1505376344085999E-2</v>
      </c>
      <c r="U685" s="115">
        <v>2.6315789473684199E-2</v>
      </c>
      <c r="V685" s="115">
        <v>1.46341463414634E-2</v>
      </c>
      <c r="W685" s="6">
        <v>990</v>
      </c>
      <c r="X685" s="40">
        <f t="shared" si="50"/>
        <v>990</v>
      </c>
      <c r="Y685" s="40">
        <f t="shared" si="51"/>
        <v>990</v>
      </c>
      <c r="Z685" s="59">
        <v>0.4869</v>
      </c>
      <c r="AA685" s="59">
        <v>0.5131</v>
      </c>
      <c r="AB685" s="61">
        <v>2.0202020202020202E-3</v>
      </c>
      <c r="AC685" s="61">
        <v>4.0404040404040404E-3</v>
      </c>
      <c r="AD685" s="61">
        <v>0.35656565656565659</v>
      </c>
      <c r="AE685" s="61">
        <v>3.7373737373737372E-2</v>
      </c>
      <c r="AF685" s="61">
        <v>0</v>
      </c>
      <c r="AG685" s="61">
        <v>0.58686868686868687</v>
      </c>
      <c r="AH685" s="61">
        <v>1.3131313131313131E-2</v>
      </c>
      <c r="AI685" s="61">
        <v>0.41313131313131313</v>
      </c>
      <c r="AJ685" s="59">
        <v>0.58799999999999997</v>
      </c>
      <c r="AK685" s="59">
        <v>7.1000000000000004E-3</v>
      </c>
      <c r="AL685" s="3">
        <v>0</v>
      </c>
      <c r="AM685" s="3">
        <v>0</v>
      </c>
      <c r="AN685" s="3">
        <v>20</v>
      </c>
      <c r="AO685" s="3">
        <v>278</v>
      </c>
      <c r="AP685" s="3">
        <v>254</v>
      </c>
      <c r="AQ685" s="3">
        <v>244</v>
      </c>
      <c r="AR685" s="3">
        <v>194</v>
      </c>
      <c r="AS685" s="59">
        <v>6.7114093959731544E-2</v>
      </c>
      <c r="AT685" s="3">
        <v>9</v>
      </c>
      <c r="AU685" s="3">
        <v>6</v>
      </c>
      <c r="AV685" s="49">
        <v>56.803455723542093</v>
      </c>
      <c r="AW685" s="49">
        <v>18.574514038876899</v>
      </c>
      <c r="AX685" s="49">
        <v>22.2462203023758</v>
      </c>
      <c r="AY685" s="67">
        <v>2.3758099352051798</v>
      </c>
      <c r="AZ685" s="62">
        <v>9.9722991689750698E-2</v>
      </c>
      <c r="BA685" s="62">
        <v>7.8485687903970452E-2</v>
      </c>
      <c r="BB685" s="78">
        <v>93.6316859748583</v>
      </c>
      <c r="BC685" s="49">
        <v>31.855955678670401</v>
      </c>
      <c r="BD685" s="90" t="s">
        <v>83</v>
      </c>
      <c r="BE685" s="90" t="s">
        <v>83</v>
      </c>
      <c r="BF685" s="87">
        <v>5</v>
      </c>
      <c r="BG685" s="87">
        <v>4.3</v>
      </c>
      <c r="BH685" s="87">
        <v>2.6</v>
      </c>
      <c r="BI685" s="87">
        <v>1.1000000000000001</v>
      </c>
      <c r="BJ685" s="49">
        <v>19.600000000000001</v>
      </c>
      <c r="BK685" s="129">
        <v>10316</v>
      </c>
      <c r="BL685" s="129">
        <v>51376</v>
      </c>
      <c r="BM685" s="129">
        <v>50993</v>
      </c>
      <c r="BN685" s="129">
        <v>43696</v>
      </c>
      <c r="BO685" s="59">
        <v>0</v>
      </c>
      <c r="BP685" s="59">
        <v>0.31619999999999998</v>
      </c>
      <c r="BQ685" s="59">
        <v>0.18920000000000001</v>
      </c>
      <c r="BR685" s="59">
        <v>0</v>
      </c>
      <c r="BS685" s="59">
        <v>0</v>
      </c>
      <c r="BT685" s="49">
        <v>11</v>
      </c>
      <c r="BU685" s="59">
        <f t="shared" si="52"/>
        <v>0.50539999999999996</v>
      </c>
      <c r="BV685" s="59">
        <v>5.5300000000000002E-2</v>
      </c>
      <c r="BW685" s="59">
        <v>0</v>
      </c>
      <c r="BX685" s="59">
        <v>4.4999999999999998E-2</v>
      </c>
      <c r="BY685" s="59">
        <v>0</v>
      </c>
      <c r="BZ685" s="59">
        <v>0</v>
      </c>
      <c r="CA685" s="49">
        <v>19.100000000000001</v>
      </c>
      <c r="CB685" s="59">
        <f t="shared" si="53"/>
        <v>0.1003</v>
      </c>
      <c r="CC685" s="59">
        <v>0.3402</v>
      </c>
      <c r="CD685" s="59">
        <v>0.38390000000000002</v>
      </c>
      <c r="CE685" s="59">
        <v>0.27589999999999998</v>
      </c>
      <c r="CF685" s="59">
        <v>0</v>
      </c>
      <c r="CG685" s="59">
        <v>0</v>
      </c>
      <c r="CH685" s="49">
        <v>11.8</v>
      </c>
      <c r="CI685" s="25" t="s">
        <v>135</v>
      </c>
      <c r="CJ685" s="18" t="s">
        <v>489</v>
      </c>
      <c r="CK685" s="20"/>
    </row>
    <row r="686" spans="1:99" x14ac:dyDescent="0.25">
      <c r="A686" s="18" t="s">
        <v>489</v>
      </c>
      <c r="B686" s="26" t="s">
        <v>127</v>
      </c>
      <c r="C686" s="25" t="s">
        <v>136</v>
      </c>
      <c r="D686" s="6">
        <v>23</v>
      </c>
      <c r="E686" s="40" t="s">
        <v>83</v>
      </c>
      <c r="F686" s="6">
        <v>23</v>
      </c>
      <c r="G686" s="162" t="s">
        <v>83</v>
      </c>
      <c r="H686" s="162" t="s">
        <v>83</v>
      </c>
      <c r="I686" s="162" t="s">
        <v>83</v>
      </c>
      <c r="J686" s="163">
        <v>2</v>
      </c>
      <c r="K686" s="163">
        <v>4</v>
      </c>
      <c r="L686" s="163">
        <v>3</v>
      </c>
      <c r="M686" s="163">
        <v>14</v>
      </c>
      <c r="N686" s="115">
        <v>1.3830426939266401E-2</v>
      </c>
      <c r="O686" s="115">
        <v>1.3830426939266401E-2</v>
      </c>
      <c r="P686" s="116" t="s">
        <v>83</v>
      </c>
      <c r="Q686" s="116" t="s">
        <v>83</v>
      </c>
      <c r="R686" s="116" t="s">
        <v>83</v>
      </c>
      <c r="S686" s="115">
        <v>4.4247787610619503E-3</v>
      </c>
      <c r="T686" s="115">
        <v>8.6956521739130401E-3</v>
      </c>
      <c r="U686" s="115">
        <v>7.1942446043165497E-3</v>
      </c>
      <c r="V686" s="115">
        <v>4.1916167664670698E-2</v>
      </c>
      <c r="W686" s="6">
        <v>1545</v>
      </c>
      <c r="X686" s="40">
        <f t="shared" si="50"/>
        <v>1545</v>
      </c>
      <c r="Y686" s="40">
        <f t="shared" si="51"/>
        <v>1545</v>
      </c>
      <c r="Z686" s="59">
        <v>0.52229999999999999</v>
      </c>
      <c r="AA686" s="59">
        <v>0.47770000000000001</v>
      </c>
      <c r="AB686" s="61">
        <v>3.2362459546925568E-3</v>
      </c>
      <c r="AC686" s="61">
        <v>5.8252427184466021E-3</v>
      </c>
      <c r="AD686" s="61">
        <v>0.73074433656957927</v>
      </c>
      <c r="AE686" s="61">
        <v>2.2653721682847898E-2</v>
      </c>
      <c r="AF686" s="61">
        <v>6.4724919093851134E-4</v>
      </c>
      <c r="AG686" s="61">
        <v>0.22394822006472492</v>
      </c>
      <c r="AH686" s="61">
        <v>1.2944983818770227E-2</v>
      </c>
      <c r="AI686" s="61">
        <v>0.77605177993527508</v>
      </c>
      <c r="AJ686" s="59">
        <v>0.72399999999999998</v>
      </c>
      <c r="AK686" s="59">
        <v>1.04E-2</v>
      </c>
      <c r="AL686" s="3">
        <v>0</v>
      </c>
      <c r="AM686" s="3">
        <v>0</v>
      </c>
      <c r="AN686" s="3">
        <v>0</v>
      </c>
      <c r="AO686" s="3">
        <v>420</v>
      </c>
      <c r="AP686" s="3">
        <v>424</v>
      </c>
      <c r="AQ686" s="3">
        <v>395</v>
      </c>
      <c r="AR686" s="3">
        <v>306</v>
      </c>
      <c r="AS686" s="59">
        <v>0</v>
      </c>
      <c r="AT686" s="3">
        <v>9</v>
      </c>
      <c r="AU686" s="3">
        <v>6</v>
      </c>
      <c r="AV686" s="49">
        <v>37.575757575757599</v>
      </c>
      <c r="AW686" s="49">
        <v>13.3333333333333</v>
      </c>
      <c r="AX686" s="49">
        <v>32.323232323232297</v>
      </c>
      <c r="AY686" s="67">
        <v>16.7676767676768</v>
      </c>
      <c r="AZ686" s="62">
        <v>9.6597812879708381E-2</v>
      </c>
      <c r="BA686" s="62">
        <v>0.12029161603888214</v>
      </c>
      <c r="BB686" s="77">
        <v>92.683404946240799</v>
      </c>
      <c r="BC686" s="49">
        <v>37.893462469733699</v>
      </c>
      <c r="BD686" s="90" t="s">
        <v>83</v>
      </c>
      <c r="BE686" s="90" t="s">
        <v>83</v>
      </c>
      <c r="BF686" s="87">
        <v>1</v>
      </c>
      <c r="BG686" s="87">
        <v>3.1</v>
      </c>
      <c r="BH686" s="87">
        <v>3</v>
      </c>
      <c r="BI686" s="87">
        <v>5.0999999999999996</v>
      </c>
      <c r="BJ686" s="49">
        <v>17</v>
      </c>
      <c r="BK686" s="129">
        <v>9658</v>
      </c>
      <c r="BL686" s="129">
        <v>51901</v>
      </c>
      <c r="BM686" s="129">
        <v>59986</v>
      </c>
      <c r="BN686" s="129">
        <v>45157</v>
      </c>
      <c r="BO686" s="59">
        <v>8.2000000000000007E-3</v>
      </c>
      <c r="BP686" s="59">
        <v>0.42309999999999998</v>
      </c>
      <c r="BQ686" s="59">
        <v>0.15340000000000001</v>
      </c>
      <c r="BR686" s="59">
        <v>0</v>
      </c>
      <c r="BS686" s="59">
        <v>0</v>
      </c>
      <c r="BT686" s="49">
        <v>12.6</v>
      </c>
      <c r="BU686" s="59">
        <f t="shared" si="52"/>
        <v>0.5847</v>
      </c>
      <c r="BV686" s="59">
        <v>3.7400000000000003E-2</v>
      </c>
      <c r="BW686" s="59">
        <v>7.0000000000000001E-3</v>
      </c>
      <c r="BX686" s="59">
        <v>4.1000000000000002E-2</v>
      </c>
      <c r="BY686" s="59">
        <v>0</v>
      </c>
      <c r="BZ686" s="59">
        <v>0</v>
      </c>
      <c r="CA686" s="49">
        <v>22.1</v>
      </c>
      <c r="CB686" s="59">
        <f t="shared" si="53"/>
        <v>8.5400000000000004E-2</v>
      </c>
      <c r="CC686" s="59">
        <v>0.2838</v>
      </c>
      <c r="CD686" s="59">
        <v>0.4778</v>
      </c>
      <c r="CE686" s="59">
        <v>0.23430000000000001</v>
      </c>
      <c r="CF686" s="59">
        <v>0</v>
      </c>
      <c r="CG686" s="59">
        <v>4.1000000000000003E-3</v>
      </c>
      <c r="CH686" s="49">
        <v>13.8</v>
      </c>
      <c r="CI686" s="25" t="s">
        <v>136</v>
      </c>
      <c r="CJ686" s="18" t="s">
        <v>489</v>
      </c>
      <c r="CK686" s="20"/>
    </row>
    <row r="687" spans="1:99" x14ac:dyDescent="0.25">
      <c r="A687" s="18" t="s">
        <v>489</v>
      </c>
      <c r="B687" s="26" t="s">
        <v>127</v>
      </c>
      <c r="C687" s="25" t="s">
        <v>137</v>
      </c>
      <c r="D687" s="6">
        <v>20</v>
      </c>
      <c r="E687" s="6">
        <v>1</v>
      </c>
      <c r="F687" s="6">
        <v>19</v>
      </c>
      <c r="G687" s="163">
        <v>0</v>
      </c>
      <c r="H687" s="163">
        <v>1</v>
      </c>
      <c r="I687" s="163">
        <v>0</v>
      </c>
      <c r="J687" s="163">
        <v>3</v>
      </c>
      <c r="K687" s="163">
        <v>8</v>
      </c>
      <c r="L687" s="163">
        <v>2</v>
      </c>
      <c r="M687" s="163">
        <v>6</v>
      </c>
      <c r="N687" s="115">
        <v>2.41545893719807E-2</v>
      </c>
      <c r="O687" s="115">
        <v>3.2423208191126297E-2</v>
      </c>
      <c r="P687" s="115">
        <v>0</v>
      </c>
      <c r="Q687" s="115">
        <v>8.5470085470085496E-3</v>
      </c>
      <c r="R687" s="115">
        <v>0</v>
      </c>
      <c r="S687" s="115">
        <v>2.2222222222222199E-2</v>
      </c>
      <c r="T687" s="115">
        <v>5.5172413793103399E-2</v>
      </c>
      <c r="U687" s="115">
        <v>1.2903225806451601E-2</v>
      </c>
      <c r="V687" s="115">
        <v>4.13793103448276E-2</v>
      </c>
      <c r="W687" s="6">
        <v>712</v>
      </c>
      <c r="X687" s="40">
        <f t="shared" si="50"/>
        <v>512</v>
      </c>
      <c r="Y687" s="40">
        <f t="shared" si="51"/>
        <v>712</v>
      </c>
      <c r="Z687" s="59">
        <v>0.46910000000000002</v>
      </c>
      <c r="AA687" s="59">
        <v>0.53090000000000004</v>
      </c>
      <c r="AB687" s="61">
        <v>0</v>
      </c>
      <c r="AC687" s="61">
        <v>0</v>
      </c>
      <c r="AD687" s="61">
        <v>0.9859550561797753</v>
      </c>
      <c r="AE687" s="61">
        <v>2.8089887640449437E-3</v>
      </c>
      <c r="AF687" s="61">
        <v>0</v>
      </c>
      <c r="AG687" s="61">
        <v>8.4269662921348312E-3</v>
      </c>
      <c r="AH687" s="61">
        <v>2.8089887640449437E-3</v>
      </c>
      <c r="AI687" s="61">
        <v>0.9915730337078652</v>
      </c>
      <c r="AJ687" s="59">
        <v>0.94</v>
      </c>
      <c r="AK687" s="59">
        <v>0</v>
      </c>
      <c r="AL687" s="3">
        <v>104</v>
      </c>
      <c r="AM687" s="3">
        <v>96</v>
      </c>
      <c r="AN687" s="3">
        <v>4</v>
      </c>
      <c r="AO687" s="3">
        <v>119</v>
      </c>
      <c r="AP687" s="3">
        <v>116</v>
      </c>
      <c r="AQ687" s="3">
        <v>141</v>
      </c>
      <c r="AR687" s="3">
        <v>132</v>
      </c>
      <c r="AS687" s="59">
        <v>3.2520325203252036E-2</v>
      </c>
      <c r="AT687" s="3">
        <v>7</v>
      </c>
      <c r="AU687" s="3">
        <v>6</v>
      </c>
      <c r="AV687" s="49">
        <v>77.204301075268802</v>
      </c>
      <c r="AW687" s="49">
        <v>14.193548387096799</v>
      </c>
      <c r="AX687" s="49">
        <v>8.3870967741935498</v>
      </c>
      <c r="AY687" s="67">
        <v>0.21505376344086</v>
      </c>
      <c r="AZ687" s="62">
        <v>0.15196078431372548</v>
      </c>
      <c r="BA687" s="62">
        <v>8.2107843137254902E-2</v>
      </c>
      <c r="BB687" s="78">
        <v>89.313916301561306</v>
      </c>
      <c r="BC687" s="49">
        <v>50.240963855421697</v>
      </c>
      <c r="BD687" s="90" t="s">
        <v>83</v>
      </c>
      <c r="BE687" s="90" t="s">
        <v>83</v>
      </c>
      <c r="BF687" s="87">
        <v>3.8</v>
      </c>
      <c r="BG687" s="87">
        <v>11.5</v>
      </c>
      <c r="BH687" s="87">
        <v>3.8</v>
      </c>
      <c r="BI687" s="87">
        <v>3.7</v>
      </c>
      <c r="BJ687" s="49">
        <v>16</v>
      </c>
      <c r="BK687" s="129">
        <v>12685</v>
      </c>
      <c r="BL687" s="129">
        <v>53650</v>
      </c>
      <c r="BM687" s="129">
        <v>53664</v>
      </c>
      <c r="BN687" s="129">
        <v>42090</v>
      </c>
      <c r="BO687" s="59">
        <v>2.3E-2</v>
      </c>
      <c r="BP687" s="59">
        <v>0.1983</v>
      </c>
      <c r="BQ687" s="59">
        <v>0.19139999999999999</v>
      </c>
      <c r="BR687" s="59">
        <v>0</v>
      </c>
      <c r="BS687" s="59">
        <v>1.15E-2</v>
      </c>
      <c r="BT687" s="49">
        <v>15.1</v>
      </c>
      <c r="BU687" s="59">
        <f t="shared" si="52"/>
        <v>0.42419999999999997</v>
      </c>
      <c r="BV687" s="59">
        <v>2.3E-2</v>
      </c>
      <c r="BW687" s="59">
        <v>2.3E-2</v>
      </c>
      <c r="BX687" s="59">
        <v>5.6399999999999999E-2</v>
      </c>
      <c r="BY687" s="59">
        <v>0</v>
      </c>
      <c r="BZ687" s="59">
        <v>0</v>
      </c>
      <c r="CA687" s="49">
        <v>17.899999999999999</v>
      </c>
      <c r="CB687" s="59">
        <f t="shared" si="53"/>
        <v>0.10239999999999999</v>
      </c>
      <c r="CC687" s="59">
        <v>0.34589999999999999</v>
      </c>
      <c r="CD687" s="59">
        <v>0.32490000000000002</v>
      </c>
      <c r="CE687" s="59">
        <v>0.30620000000000003</v>
      </c>
      <c r="CF687" s="59">
        <v>0</v>
      </c>
      <c r="CG687" s="59">
        <v>2.3E-2</v>
      </c>
      <c r="CH687" s="49">
        <v>14.2</v>
      </c>
      <c r="CI687" s="25" t="s">
        <v>137</v>
      </c>
      <c r="CJ687" s="18" t="s">
        <v>489</v>
      </c>
      <c r="CK687" s="20"/>
    </row>
    <row r="688" spans="1:99" x14ac:dyDescent="0.25">
      <c r="A688" s="18" t="s">
        <v>489</v>
      </c>
      <c r="B688" s="26" t="s">
        <v>127</v>
      </c>
      <c r="C688" s="25" t="s">
        <v>138</v>
      </c>
      <c r="D688" s="6">
        <v>34</v>
      </c>
      <c r="E688" s="40" t="s">
        <v>83</v>
      </c>
      <c r="F688" s="6">
        <v>34</v>
      </c>
      <c r="G688" s="162" t="s">
        <v>83</v>
      </c>
      <c r="H688" s="162" t="s">
        <v>83</v>
      </c>
      <c r="I688" s="163">
        <v>2</v>
      </c>
      <c r="J688" s="163">
        <v>5</v>
      </c>
      <c r="K688" s="163">
        <v>15</v>
      </c>
      <c r="L688" s="163">
        <v>7</v>
      </c>
      <c r="M688" s="163">
        <v>5</v>
      </c>
      <c r="N688" s="115">
        <v>3.8245219347581599E-2</v>
      </c>
      <c r="O688" s="115">
        <v>3.8245219347581599E-2</v>
      </c>
      <c r="P688" s="116" t="s">
        <v>83</v>
      </c>
      <c r="Q688" s="116" t="s">
        <v>83</v>
      </c>
      <c r="R688" s="115">
        <v>6.25E-2</v>
      </c>
      <c r="S688" s="115">
        <v>1.8248175182481799E-2</v>
      </c>
      <c r="T688" s="115">
        <v>6.8807339449541302E-2</v>
      </c>
      <c r="U688" s="115">
        <v>3.07017543859649E-2</v>
      </c>
      <c r="V688" s="115">
        <v>3.6496350364963501E-2</v>
      </c>
      <c r="W688" s="6">
        <v>769</v>
      </c>
      <c r="X688" s="40">
        <f t="shared" si="50"/>
        <v>769</v>
      </c>
      <c r="Y688" s="40">
        <f t="shared" si="51"/>
        <v>769</v>
      </c>
      <c r="Z688" s="59">
        <v>0.4642</v>
      </c>
      <c r="AA688" s="59">
        <v>0.53580000000000005</v>
      </c>
      <c r="AB688" s="61">
        <v>0</v>
      </c>
      <c r="AC688" s="61">
        <v>0</v>
      </c>
      <c r="AD688" s="61">
        <v>0.98049414824447334</v>
      </c>
      <c r="AE688" s="61">
        <v>1.1703511053315995E-2</v>
      </c>
      <c r="AF688" s="61">
        <v>0</v>
      </c>
      <c r="AG688" s="61">
        <v>3.9011703511053317E-3</v>
      </c>
      <c r="AH688" s="61">
        <v>3.9011703511053317E-3</v>
      </c>
      <c r="AI688" s="61">
        <v>0.99609882964889462</v>
      </c>
      <c r="AJ688" s="59">
        <v>0.92700000000000005</v>
      </c>
      <c r="AK688" s="59">
        <v>7.7999999999999996E-3</v>
      </c>
      <c r="AL688" s="3">
        <v>0</v>
      </c>
      <c r="AM688" s="3">
        <v>0</v>
      </c>
      <c r="AN688" s="3">
        <v>32</v>
      </c>
      <c r="AO688" s="3">
        <v>213</v>
      </c>
      <c r="AP688" s="3">
        <v>186</v>
      </c>
      <c r="AQ688" s="3">
        <v>212</v>
      </c>
      <c r="AR688" s="3">
        <v>126</v>
      </c>
      <c r="AS688" s="59">
        <v>0.1306122448979592</v>
      </c>
      <c r="AT688" s="3">
        <v>9</v>
      </c>
      <c r="AU688" s="3">
        <v>6</v>
      </c>
      <c r="AV688" s="49">
        <v>47.080291970802904</v>
      </c>
      <c r="AW688" s="49">
        <v>20.437956204379599</v>
      </c>
      <c r="AX688" s="49">
        <v>29.197080291970799</v>
      </c>
      <c r="AY688" s="67">
        <v>3.2846715328467204</v>
      </c>
      <c r="AZ688" s="62">
        <v>6.9714285714285715E-2</v>
      </c>
      <c r="BA688" s="62">
        <v>0.13257142857142856</v>
      </c>
      <c r="BB688" s="77">
        <v>88.213080117541296</v>
      </c>
      <c r="BC688" s="49">
        <v>48.863636363636402</v>
      </c>
      <c r="BD688" s="90" t="s">
        <v>83</v>
      </c>
      <c r="BE688" s="90" t="s">
        <v>83</v>
      </c>
      <c r="BF688" s="87">
        <v>7</v>
      </c>
      <c r="BG688" s="87">
        <v>9.6</v>
      </c>
      <c r="BH688" s="87">
        <v>5.8</v>
      </c>
      <c r="BI688" s="87">
        <v>5</v>
      </c>
      <c r="BJ688" s="49">
        <v>15.6</v>
      </c>
      <c r="BK688" s="129">
        <v>12577</v>
      </c>
      <c r="BL688" s="129">
        <v>52624</v>
      </c>
      <c r="BM688" s="129">
        <v>53195</v>
      </c>
      <c r="BN688" s="129">
        <v>43789</v>
      </c>
      <c r="BO688" s="59">
        <v>7.1999999999999998E-3</v>
      </c>
      <c r="BP688" s="59">
        <v>0.21340000000000001</v>
      </c>
      <c r="BQ688" s="59">
        <v>0.2397</v>
      </c>
      <c r="BR688" s="59">
        <v>9.1999999999999998E-3</v>
      </c>
      <c r="BS688" s="59">
        <v>0</v>
      </c>
      <c r="BT688" s="49">
        <v>17.2</v>
      </c>
      <c r="BU688" s="59">
        <f t="shared" si="52"/>
        <v>0.46950000000000003</v>
      </c>
      <c r="BV688" s="59">
        <v>4.5999999999999999E-2</v>
      </c>
      <c r="BW688" s="59">
        <v>0</v>
      </c>
      <c r="BX688" s="59">
        <v>3.9100000000000003E-2</v>
      </c>
      <c r="BY688" s="59">
        <v>0</v>
      </c>
      <c r="BZ688" s="59">
        <v>1.1900000000000001E-2</v>
      </c>
      <c r="CA688" s="49">
        <v>26.5</v>
      </c>
      <c r="CB688" s="59">
        <f t="shared" si="53"/>
        <v>9.7000000000000003E-2</v>
      </c>
      <c r="CC688" s="59">
        <v>0.35220000000000001</v>
      </c>
      <c r="CD688" s="59">
        <v>0.27300000000000002</v>
      </c>
      <c r="CE688" s="59">
        <v>0.3417</v>
      </c>
      <c r="CF688" s="59">
        <v>2.1100000000000001E-2</v>
      </c>
      <c r="CG688" s="59">
        <v>1.1900000000000001E-2</v>
      </c>
      <c r="CH688" s="49">
        <v>15.9</v>
      </c>
      <c r="CI688" s="25" t="s">
        <v>138</v>
      </c>
      <c r="CJ688" s="18" t="s">
        <v>489</v>
      </c>
      <c r="CK688" s="20"/>
    </row>
    <row r="689" spans="1:89" x14ac:dyDescent="0.25">
      <c r="A689" s="18" t="s">
        <v>489</v>
      </c>
      <c r="B689" s="19" t="s">
        <v>127</v>
      </c>
      <c r="C689" s="26" t="s">
        <v>491</v>
      </c>
      <c r="D689" s="6">
        <v>2</v>
      </c>
      <c r="E689" s="6">
        <v>0</v>
      </c>
      <c r="F689" s="6">
        <v>2</v>
      </c>
      <c r="G689" s="163">
        <v>0</v>
      </c>
      <c r="H689" s="163">
        <v>0</v>
      </c>
      <c r="I689" s="162" t="s">
        <v>83</v>
      </c>
      <c r="J689" s="163">
        <v>2</v>
      </c>
      <c r="K689" s="162" t="s">
        <v>83</v>
      </c>
      <c r="L689" s="162" t="s">
        <v>83</v>
      </c>
      <c r="M689" s="162" t="s">
        <v>83</v>
      </c>
      <c r="N689" s="115">
        <v>6.1162079510703399E-3</v>
      </c>
      <c r="O689" s="115">
        <v>2.66666666666667E-2</v>
      </c>
      <c r="P689" s="115">
        <v>0</v>
      </c>
      <c r="Q689" s="115">
        <v>0</v>
      </c>
      <c r="R689" s="116" t="s">
        <v>83</v>
      </c>
      <c r="S689" s="115">
        <v>2.66666666666667E-2</v>
      </c>
      <c r="T689" s="116" t="s">
        <v>83</v>
      </c>
      <c r="U689" s="116" t="s">
        <v>83</v>
      </c>
      <c r="V689" s="116" t="s">
        <v>83</v>
      </c>
      <c r="W689" s="6">
        <v>1166</v>
      </c>
      <c r="X689" s="40">
        <f>SUM(AN689:AR689)</f>
        <v>67</v>
      </c>
      <c r="Y689" s="40">
        <f>SUM(AL689:AR689)</f>
        <v>306</v>
      </c>
      <c r="Z689" s="61">
        <v>0.493138936535163</v>
      </c>
      <c r="AA689" s="61">
        <v>0.50686106346483695</v>
      </c>
      <c r="AB689" s="59">
        <v>1.7152658662092624E-3</v>
      </c>
      <c r="AC689" s="59">
        <v>6.0034305317324182E-3</v>
      </c>
      <c r="AD689" s="59">
        <v>0.67495711835334482</v>
      </c>
      <c r="AE689" s="59">
        <v>3.430531732418525E-2</v>
      </c>
      <c r="AF689" s="59">
        <v>8.576329331046312E-4</v>
      </c>
      <c r="AG689" s="59">
        <v>0.25643224699828471</v>
      </c>
      <c r="AH689" s="59">
        <v>2.5728987993138937E-2</v>
      </c>
      <c r="AI689" s="59">
        <v>0.74356775300171529</v>
      </c>
      <c r="AJ689" s="61">
        <v>0.73499142367066894</v>
      </c>
      <c r="AK689" s="61">
        <v>1.28644939965695E-2</v>
      </c>
      <c r="AL689" s="3">
        <v>121</v>
      </c>
      <c r="AM689" s="3">
        <v>118</v>
      </c>
      <c r="AN689" s="3">
        <v>0</v>
      </c>
      <c r="AO689" s="3">
        <v>67</v>
      </c>
      <c r="AP689" s="3">
        <v>0</v>
      </c>
      <c r="AQ689" s="3">
        <v>0</v>
      </c>
      <c r="AR689" s="3">
        <v>0</v>
      </c>
      <c r="AS689" s="59">
        <v>0</v>
      </c>
      <c r="AT689" s="3">
        <v>1</v>
      </c>
      <c r="AU689" s="3">
        <v>6</v>
      </c>
      <c r="AV689" s="49">
        <v>43.150684931506902</v>
      </c>
      <c r="AW689" s="49">
        <v>45.662100456621005</v>
      </c>
      <c r="AX689" s="49">
        <v>8.2191780821917799</v>
      </c>
      <c r="AY689" s="67">
        <v>2.9680365296803699</v>
      </c>
      <c r="AZ689" s="62">
        <v>1.7571884984025558E-2</v>
      </c>
      <c r="BA689" s="62">
        <v>0.1062300319488818</v>
      </c>
      <c r="BB689" s="77">
        <v>97.361068886349599</v>
      </c>
      <c r="BC689" s="49">
        <v>9.6568236233040707</v>
      </c>
      <c r="BD689" s="87">
        <v>0</v>
      </c>
      <c r="BE689" s="87">
        <v>0.9</v>
      </c>
      <c r="BF689" s="87">
        <v>1.6</v>
      </c>
      <c r="BG689" s="90" t="s">
        <v>83</v>
      </c>
      <c r="BH689" s="90" t="s">
        <v>83</v>
      </c>
      <c r="BI689" s="90" t="s">
        <v>83</v>
      </c>
      <c r="BJ689" s="3"/>
      <c r="BK689" s="129"/>
      <c r="BL689" s="129"/>
      <c r="BM689" s="129"/>
      <c r="BN689" s="129"/>
      <c r="BO689" s="59"/>
      <c r="BP689" s="59"/>
      <c r="BQ689" s="59"/>
      <c r="BR689" s="59"/>
      <c r="BS689" s="59"/>
      <c r="BT689" s="3"/>
      <c r="BU689" s="59"/>
      <c r="BV689" s="59"/>
      <c r="BW689" s="59"/>
      <c r="BX689" s="59"/>
      <c r="BY689" s="59"/>
      <c r="BZ689" s="59"/>
      <c r="CA689" s="3"/>
      <c r="CB689" s="59"/>
      <c r="CC689" s="59"/>
      <c r="CD689" s="59"/>
      <c r="CE689" s="59"/>
      <c r="CF689" s="59"/>
      <c r="CG689" s="59"/>
      <c r="CH689" s="3"/>
      <c r="CI689" s="26" t="s">
        <v>491</v>
      </c>
      <c r="CJ689" s="18" t="s">
        <v>489</v>
      </c>
      <c r="CK689" s="20"/>
    </row>
    <row r="690" spans="1:89" x14ac:dyDescent="0.25">
      <c r="A690" s="18" t="s">
        <v>489</v>
      </c>
      <c r="B690" s="26" t="s">
        <v>139</v>
      </c>
      <c r="C690" s="25" t="s">
        <v>140</v>
      </c>
      <c r="D690" s="6">
        <v>30</v>
      </c>
      <c r="E690" s="40" t="s">
        <v>83</v>
      </c>
      <c r="F690" s="6">
        <v>30</v>
      </c>
      <c r="G690" s="162" t="s">
        <v>83</v>
      </c>
      <c r="H690" s="162" t="s">
        <v>83</v>
      </c>
      <c r="I690" s="163">
        <v>0</v>
      </c>
      <c r="J690" s="163">
        <v>13</v>
      </c>
      <c r="K690" s="163">
        <v>8</v>
      </c>
      <c r="L690" s="163">
        <v>5</v>
      </c>
      <c r="M690" s="163">
        <v>4</v>
      </c>
      <c r="N690" s="115">
        <v>1.41709966934341E-2</v>
      </c>
      <c r="O690" s="115">
        <v>1.41709966934341E-2</v>
      </c>
      <c r="P690" s="116" t="s">
        <v>83</v>
      </c>
      <c r="Q690" s="116" t="s">
        <v>83</v>
      </c>
      <c r="R690" s="115">
        <v>0</v>
      </c>
      <c r="S690" s="115">
        <v>2.2184300341296901E-2</v>
      </c>
      <c r="T690" s="115">
        <v>1.4953271028037399E-2</v>
      </c>
      <c r="U690" s="115">
        <v>9.2936802973977699E-3</v>
      </c>
      <c r="V690" s="115">
        <v>9.1954022988505694E-3</v>
      </c>
      <c r="W690" s="6">
        <v>1993</v>
      </c>
      <c r="X690" s="40">
        <f t="shared" si="50"/>
        <v>1993</v>
      </c>
      <c r="Y690" s="40">
        <f t="shared" si="51"/>
        <v>1993</v>
      </c>
      <c r="Z690" s="59">
        <v>0.50429999999999997</v>
      </c>
      <c r="AA690" s="59">
        <v>0.49569999999999997</v>
      </c>
      <c r="AB690" s="61">
        <v>2.007024586051179E-3</v>
      </c>
      <c r="AC690" s="61">
        <v>4.4656297039638734E-2</v>
      </c>
      <c r="AD690" s="61">
        <v>0.32363271450075265</v>
      </c>
      <c r="AE690" s="61">
        <v>2.5589563472152535E-2</v>
      </c>
      <c r="AF690" s="61">
        <v>5.0175614651279475E-4</v>
      </c>
      <c r="AG690" s="61">
        <v>0.59809332664325143</v>
      </c>
      <c r="AH690" s="61">
        <v>5.5193176116407425E-3</v>
      </c>
      <c r="AI690" s="61">
        <v>0.40190667335674862</v>
      </c>
      <c r="AJ690" s="59">
        <v>0.42599999999999999</v>
      </c>
      <c r="AK690" s="59">
        <v>1.2E-2</v>
      </c>
      <c r="AL690" s="3">
        <v>0</v>
      </c>
      <c r="AM690" s="3">
        <v>0</v>
      </c>
      <c r="AN690" s="3">
        <v>22</v>
      </c>
      <c r="AO690" s="3">
        <v>535</v>
      </c>
      <c r="AP690" s="3">
        <v>504</v>
      </c>
      <c r="AQ690" s="3">
        <v>504</v>
      </c>
      <c r="AR690" s="3">
        <v>428</v>
      </c>
      <c r="AS690" s="59">
        <v>3.949730700179533E-2</v>
      </c>
      <c r="AT690" s="3">
        <v>9</v>
      </c>
      <c r="AU690" s="3">
        <v>6</v>
      </c>
      <c r="AV690" s="49">
        <v>53.412073490813704</v>
      </c>
      <c r="AW690" s="49">
        <v>23.228346456692901</v>
      </c>
      <c r="AX690" s="49">
        <v>22.0472440944882</v>
      </c>
      <c r="AY690" s="67">
        <v>1.31233595800525</v>
      </c>
      <c r="AZ690" s="62">
        <v>0.19619047619047619</v>
      </c>
      <c r="BA690" s="62">
        <v>0.10142857142857142</v>
      </c>
      <c r="BB690" s="77">
        <v>93.977200442915702</v>
      </c>
      <c r="BC690" s="49">
        <v>34.056299030918296</v>
      </c>
      <c r="BD690" s="90" t="s">
        <v>83</v>
      </c>
      <c r="BE690" s="90" t="s">
        <v>83</v>
      </c>
      <c r="BF690" s="87">
        <v>4.8</v>
      </c>
      <c r="BG690" s="87">
        <v>4.4000000000000004</v>
      </c>
      <c r="BH690" s="87">
        <v>3.8</v>
      </c>
      <c r="BI690" s="87">
        <v>3.2</v>
      </c>
      <c r="BJ690" s="49">
        <v>21.5</v>
      </c>
      <c r="BK690" s="129">
        <v>9359</v>
      </c>
      <c r="BL690" s="129">
        <v>54069</v>
      </c>
      <c r="BM690" s="129">
        <v>42913</v>
      </c>
      <c r="BN690" s="129">
        <v>45473</v>
      </c>
      <c r="BO690" s="59">
        <v>0</v>
      </c>
      <c r="BP690" s="59">
        <v>0.3261</v>
      </c>
      <c r="BQ690" s="59">
        <v>0.29670000000000002</v>
      </c>
      <c r="BR690" s="59">
        <v>1.15E-2</v>
      </c>
      <c r="BS690" s="59">
        <v>5.8999999999999999E-3</v>
      </c>
      <c r="BT690" s="49">
        <v>14.5</v>
      </c>
      <c r="BU690" s="59">
        <f t="shared" si="52"/>
        <v>0.64019999999999999</v>
      </c>
      <c r="BV690" s="59">
        <v>2.8799999999999999E-2</v>
      </c>
      <c r="BW690" s="59">
        <v>1.18E-2</v>
      </c>
      <c r="BX690" s="59">
        <v>2.9000000000000001E-2</v>
      </c>
      <c r="BY690" s="59">
        <v>0</v>
      </c>
      <c r="BZ690" s="59">
        <v>0</v>
      </c>
      <c r="CA690" s="49">
        <v>15.9</v>
      </c>
      <c r="CB690" s="59">
        <f t="shared" si="53"/>
        <v>6.9599999999999995E-2</v>
      </c>
      <c r="CC690" s="59">
        <v>0.2445</v>
      </c>
      <c r="CD690" s="59">
        <v>0.37180000000000002</v>
      </c>
      <c r="CE690" s="59">
        <v>0.3659</v>
      </c>
      <c r="CF690" s="59">
        <v>1.1900000000000001E-2</v>
      </c>
      <c r="CG690" s="59">
        <v>5.8999999999999999E-3</v>
      </c>
      <c r="CH690" s="49">
        <v>13.2</v>
      </c>
      <c r="CI690" s="25" t="s">
        <v>140</v>
      </c>
      <c r="CJ690" s="18" t="s">
        <v>489</v>
      </c>
      <c r="CK690" s="20"/>
    </row>
    <row r="691" spans="1:89" x14ac:dyDescent="0.25">
      <c r="A691" s="18" t="s">
        <v>489</v>
      </c>
      <c r="B691" s="26" t="s">
        <v>139</v>
      </c>
      <c r="C691" s="25" t="s">
        <v>141</v>
      </c>
      <c r="D691" s="6">
        <v>1</v>
      </c>
      <c r="E691" s="6">
        <v>0</v>
      </c>
      <c r="F691" s="6">
        <v>1</v>
      </c>
      <c r="G691" s="163">
        <v>0</v>
      </c>
      <c r="H691" s="163">
        <v>0</v>
      </c>
      <c r="I691" s="162" t="s">
        <v>83</v>
      </c>
      <c r="J691" s="163">
        <v>0</v>
      </c>
      <c r="K691" s="163">
        <v>1</v>
      </c>
      <c r="L691" s="163">
        <v>0</v>
      </c>
      <c r="M691" s="163">
        <v>0</v>
      </c>
      <c r="N691" s="115">
        <v>3.2258064516129002E-3</v>
      </c>
      <c r="O691" s="115">
        <v>4.5871559633027499E-3</v>
      </c>
      <c r="P691" s="115">
        <v>0</v>
      </c>
      <c r="Q691" s="115">
        <v>0</v>
      </c>
      <c r="R691" s="116" t="s">
        <v>83</v>
      </c>
      <c r="S691" s="115">
        <v>0</v>
      </c>
      <c r="T691" s="115">
        <v>1.88679245283019E-2</v>
      </c>
      <c r="U691" s="115">
        <v>0</v>
      </c>
      <c r="V691" s="115">
        <v>0</v>
      </c>
      <c r="W691" s="6">
        <v>712</v>
      </c>
      <c r="X691" s="40">
        <f t="shared" si="50"/>
        <v>206</v>
      </c>
      <c r="Y691" s="40">
        <f t="shared" si="51"/>
        <v>293</v>
      </c>
      <c r="Z691" s="59">
        <v>0.49440000000000001</v>
      </c>
      <c r="AA691" s="59">
        <v>0.50560000000000005</v>
      </c>
      <c r="AB691" s="61">
        <v>5.6179775280898875E-3</v>
      </c>
      <c r="AC691" s="61">
        <v>1.4044943820224719E-3</v>
      </c>
      <c r="AD691" s="61">
        <v>3.0898876404494381E-2</v>
      </c>
      <c r="AE691" s="61">
        <v>5.0561797752808987E-2</v>
      </c>
      <c r="AF691" s="61">
        <v>0</v>
      </c>
      <c r="AG691" s="61">
        <v>0.9030898876404494</v>
      </c>
      <c r="AH691" s="61">
        <v>8.4269662921348312E-3</v>
      </c>
      <c r="AI691" s="61">
        <v>9.6910112359550563E-2</v>
      </c>
      <c r="AJ691" s="59">
        <v>0.45400000000000001</v>
      </c>
      <c r="AK691" s="59">
        <v>2.2499999999999999E-2</v>
      </c>
      <c r="AL691" s="3">
        <v>48</v>
      </c>
      <c r="AM691" s="3">
        <v>39</v>
      </c>
      <c r="AN691" s="3">
        <v>0</v>
      </c>
      <c r="AO691" s="3">
        <v>56</v>
      </c>
      <c r="AP691" s="3">
        <v>49</v>
      </c>
      <c r="AQ691" s="3">
        <v>57</v>
      </c>
      <c r="AR691" s="3">
        <v>44</v>
      </c>
      <c r="AS691" s="59">
        <v>0</v>
      </c>
      <c r="AT691" s="3">
        <v>1</v>
      </c>
      <c r="AU691" s="3">
        <v>6</v>
      </c>
      <c r="AV691" s="49">
        <v>69.536423841059602</v>
      </c>
      <c r="AW691" s="49">
        <v>24.503311258278099</v>
      </c>
      <c r="AX691" s="49">
        <v>5.9602649006622501</v>
      </c>
      <c r="AY691" s="67">
        <v>0</v>
      </c>
      <c r="AZ691" s="62">
        <v>4.9803407601572737E-2</v>
      </c>
      <c r="BA691" s="62">
        <v>2.4901703800786368E-2</v>
      </c>
      <c r="BB691" s="78">
        <v>94.781650805091004</v>
      </c>
      <c r="BC691" s="49">
        <v>51.392757660167099</v>
      </c>
      <c r="BD691" s="87">
        <v>0</v>
      </c>
      <c r="BE691" s="87">
        <v>0</v>
      </c>
      <c r="BF691" s="87">
        <v>0</v>
      </c>
      <c r="BG691" s="87">
        <v>6.1</v>
      </c>
      <c r="BH691" s="87">
        <v>1.8</v>
      </c>
      <c r="BI691" s="87">
        <v>2.2999999999999998</v>
      </c>
      <c r="BJ691" s="49">
        <v>20</v>
      </c>
      <c r="BK691" s="129">
        <v>11568</v>
      </c>
      <c r="BL691" s="129">
        <v>53974</v>
      </c>
      <c r="BM691" s="129">
        <v>47537</v>
      </c>
      <c r="BN691" s="129">
        <v>43490</v>
      </c>
      <c r="BO691" s="59">
        <v>0</v>
      </c>
      <c r="BP691" s="59">
        <v>0.3196</v>
      </c>
      <c r="BQ691" s="59">
        <v>0.2215</v>
      </c>
      <c r="BR691" s="59">
        <v>1.0500000000000001E-2</v>
      </c>
      <c r="BS691" s="59">
        <v>0</v>
      </c>
      <c r="BT691" s="49">
        <v>15.7</v>
      </c>
      <c r="BU691" s="59">
        <f t="shared" si="52"/>
        <v>0.55159999999999998</v>
      </c>
      <c r="BV691" s="59">
        <v>4.1099999999999998E-2</v>
      </c>
      <c r="BW691" s="59">
        <v>0</v>
      </c>
      <c r="BX691" s="59">
        <v>3.3099999999999997E-2</v>
      </c>
      <c r="BY691" s="59">
        <v>0</v>
      </c>
      <c r="BZ691" s="59">
        <v>0</v>
      </c>
      <c r="CA691" s="49">
        <v>14.6</v>
      </c>
      <c r="CB691" s="59">
        <f t="shared" si="53"/>
        <v>7.4199999999999988E-2</v>
      </c>
      <c r="CC691" s="59">
        <v>0.37019999999999997</v>
      </c>
      <c r="CD691" s="59">
        <v>0.33160000000000001</v>
      </c>
      <c r="CE691" s="59">
        <v>0.2873</v>
      </c>
      <c r="CF691" s="59">
        <v>1.0999999999999999E-2</v>
      </c>
      <c r="CG691" s="59">
        <v>0</v>
      </c>
      <c r="CH691" s="49">
        <v>13.5</v>
      </c>
      <c r="CI691" s="25" t="s">
        <v>141</v>
      </c>
      <c r="CJ691" s="18" t="s">
        <v>489</v>
      </c>
      <c r="CK691" s="20"/>
    </row>
    <row r="692" spans="1:89" x14ac:dyDescent="0.25">
      <c r="A692" s="18" t="s">
        <v>489</v>
      </c>
      <c r="B692" s="26" t="s">
        <v>139</v>
      </c>
      <c r="C692" s="25" t="s">
        <v>142</v>
      </c>
      <c r="D692" s="6">
        <v>6</v>
      </c>
      <c r="E692" s="40" t="s">
        <v>83</v>
      </c>
      <c r="F692" s="6">
        <v>6</v>
      </c>
      <c r="G692" s="162" t="s">
        <v>83</v>
      </c>
      <c r="H692" s="162" t="s">
        <v>83</v>
      </c>
      <c r="I692" s="163">
        <v>0</v>
      </c>
      <c r="J692" s="163">
        <v>1</v>
      </c>
      <c r="K692" s="163">
        <v>1</v>
      </c>
      <c r="L692" s="163">
        <v>3</v>
      </c>
      <c r="M692" s="163">
        <v>1</v>
      </c>
      <c r="N692" s="115">
        <v>1.51133501259446E-2</v>
      </c>
      <c r="O692" s="115">
        <v>1.51133501259446E-2</v>
      </c>
      <c r="P692" s="116" t="s">
        <v>83</v>
      </c>
      <c r="Q692" s="116" t="s">
        <v>83</v>
      </c>
      <c r="R692" s="115">
        <v>0</v>
      </c>
      <c r="S692" s="115">
        <v>9.9009900990098994E-3</v>
      </c>
      <c r="T692" s="115">
        <v>9.4339622641509396E-3</v>
      </c>
      <c r="U692" s="115">
        <v>2.6315789473684199E-2</v>
      </c>
      <c r="V692" s="115">
        <v>1.3333333333333299E-2</v>
      </c>
      <c r="W692" s="6">
        <v>375</v>
      </c>
      <c r="X692" s="40">
        <f t="shared" si="50"/>
        <v>375</v>
      </c>
      <c r="Y692" s="40">
        <f t="shared" si="51"/>
        <v>375</v>
      </c>
      <c r="Z692" s="59">
        <v>0.42930000000000001</v>
      </c>
      <c r="AA692" s="59">
        <v>0.57069999999999999</v>
      </c>
      <c r="AB692" s="61">
        <v>0</v>
      </c>
      <c r="AC692" s="61">
        <v>5.3333333333333332E-3</v>
      </c>
      <c r="AD692" s="61">
        <v>0.184</v>
      </c>
      <c r="AE692" s="61">
        <v>2.6666666666666666E-3</v>
      </c>
      <c r="AF692" s="61">
        <v>0</v>
      </c>
      <c r="AG692" s="61">
        <v>0.80266666666666664</v>
      </c>
      <c r="AH692" s="61">
        <v>5.3333333333333332E-3</v>
      </c>
      <c r="AI692" s="61">
        <v>0.19733333333333333</v>
      </c>
      <c r="AJ692" s="59">
        <v>0.54100000000000004</v>
      </c>
      <c r="AK692" s="59">
        <v>0</v>
      </c>
      <c r="AL692" s="3">
        <v>0</v>
      </c>
      <c r="AM692" s="3">
        <v>0</v>
      </c>
      <c r="AN692" s="3">
        <v>1</v>
      </c>
      <c r="AO692" s="3">
        <v>91</v>
      </c>
      <c r="AP692" s="3">
        <v>100</v>
      </c>
      <c r="AQ692" s="3">
        <v>110</v>
      </c>
      <c r="AR692" s="3">
        <v>73</v>
      </c>
      <c r="AS692" s="59">
        <v>1.0869565217391304E-2</v>
      </c>
      <c r="AT692" s="3">
        <v>9</v>
      </c>
      <c r="AU692" s="3">
        <v>6</v>
      </c>
      <c r="AV692" s="49">
        <v>80.382775119617207</v>
      </c>
      <c r="AW692" s="49">
        <v>18.6602870813397</v>
      </c>
      <c r="AX692" s="49">
        <v>0.95693779904306198</v>
      </c>
      <c r="AY692" s="67">
        <v>0</v>
      </c>
      <c r="AZ692" s="62">
        <v>0.27594936708860762</v>
      </c>
      <c r="BA692" s="62">
        <v>0.14683544303797469</v>
      </c>
      <c r="BB692" s="77">
        <v>91.429146475515196</v>
      </c>
      <c r="BC692" s="49">
        <v>45.7286432160804</v>
      </c>
      <c r="BD692" s="90" t="s">
        <v>83</v>
      </c>
      <c r="BE692" s="90" t="s">
        <v>83</v>
      </c>
      <c r="BF692" s="87">
        <v>6.8</v>
      </c>
      <c r="BG692" s="87">
        <v>2.1</v>
      </c>
      <c r="BH692" s="87">
        <v>1</v>
      </c>
      <c r="BI692" s="87">
        <v>0</v>
      </c>
      <c r="BJ692" s="49">
        <v>19.3</v>
      </c>
      <c r="BK692" s="129">
        <v>12442</v>
      </c>
      <c r="BL692" s="129">
        <v>53548</v>
      </c>
      <c r="BM692" s="129">
        <v>45070</v>
      </c>
      <c r="BN692" s="129">
        <v>48809</v>
      </c>
      <c r="BO692" s="59">
        <v>2.07E-2</v>
      </c>
      <c r="BP692" s="59">
        <v>0.43230000000000002</v>
      </c>
      <c r="BQ692" s="59">
        <v>0.19</v>
      </c>
      <c r="BR692" s="59">
        <v>0</v>
      </c>
      <c r="BS692" s="59">
        <v>0</v>
      </c>
      <c r="BT692" s="49">
        <v>11.9</v>
      </c>
      <c r="BU692" s="59">
        <f t="shared" si="52"/>
        <v>0.64300000000000002</v>
      </c>
      <c r="BV692" s="59">
        <v>8.2199999999999995E-2</v>
      </c>
      <c r="BW692" s="59">
        <v>0</v>
      </c>
      <c r="BX692" s="59">
        <v>4.1399999999999999E-2</v>
      </c>
      <c r="BY692" s="59">
        <v>0</v>
      </c>
      <c r="BZ692" s="59">
        <v>0</v>
      </c>
      <c r="CA692" s="49">
        <v>11.2</v>
      </c>
      <c r="CB692" s="59">
        <f t="shared" si="53"/>
        <v>0.12359999999999999</v>
      </c>
      <c r="CC692" s="59">
        <v>0.28189999999999998</v>
      </c>
      <c r="CD692" s="59">
        <v>0.44169999999999998</v>
      </c>
      <c r="CE692" s="59">
        <v>0.27639999999999998</v>
      </c>
      <c r="CF692" s="59">
        <v>0</v>
      </c>
      <c r="CG692" s="59">
        <v>0</v>
      </c>
      <c r="CH692" s="49">
        <v>11.2</v>
      </c>
      <c r="CI692" s="25" t="s">
        <v>142</v>
      </c>
      <c r="CJ692" s="18" t="s">
        <v>489</v>
      </c>
      <c r="CK692" s="20"/>
    </row>
    <row r="693" spans="1:89" x14ac:dyDescent="0.25">
      <c r="A693" s="18" t="s">
        <v>489</v>
      </c>
      <c r="B693" s="26" t="s">
        <v>139</v>
      </c>
      <c r="C693" s="25" t="s">
        <v>143</v>
      </c>
      <c r="D693" s="6">
        <v>16</v>
      </c>
      <c r="E693" s="40" t="s">
        <v>83</v>
      </c>
      <c r="F693" s="6">
        <v>16</v>
      </c>
      <c r="G693" s="162" t="s">
        <v>83</v>
      </c>
      <c r="H693" s="162" t="s">
        <v>83</v>
      </c>
      <c r="I693" s="163">
        <v>0</v>
      </c>
      <c r="J693" s="163">
        <v>4</v>
      </c>
      <c r="K693" s="163">
        <v>7</v>
      </c>
      <c r="L693" s="163">
        <v>3</v>
      </c>
      <c r="M693" s="163">
        <v>2</v>
      </c>
      <c r="N693" s="115">
        <v>1.2461059190031199E-2</v>
      </c>
      <c r="O693" s="115">
        <v>1.2461059190031199E-2</v>
      </c>
      <c r="P693" s="116" t="s">
        <v>83</v>
      </c>
      <c r="Q693" s="116" t="s">
        <v>83</v>
      </c>
      <c r="R693" s="115">
        <v>0</v>
      </c>
      <c r="S693" s="115">
        <v>1.1204481792717101E-2</v>
      </c>
      <c r="T693" s="115">
        <v>2.1148036253776401E-2</v>
      </c>
      <c r="U693" s="115">
        <v>9.1743119266055103E-3</v>
      </c>
      <c r="V693" s="115">
        <v>7.6628352490421504E-3</v>
      </c>
      <c r="W693" s="6">
        <v>1197</v>
      </c>
      <c r="X693" s="40">
        <f t="shared" si="50"/>
        <v>1197</v>
      </c>
      <c r="Y693" s="40">
        <f t="shared" si="51"/>
        <v>1197</v>
      </c>
      <c r="Z693" s="59">
        <v>0.49209999999999998</v>
      </c>
      <c r="AA693" s="59">
        <v>0.50790000000000002</v>
      </c>
      <c r="AB693" s="61">
        <v>4.1771094402673348E-3</v>
      </c>
      <c r="AC693" s="61">
        <v>1.1695906432748537E-2</v>
      </c>
      <c r="AD693" s="61">
        <v>0.10693400167084377</v>
      </c>
      <c r="AE693" s="61">
        <v>2.4227234753550542E-2</v>
      </c>
      <c r="AF693" s="61">
        <v>8.3542188805346695E-4</v>
      </c>
      <c r="AG693" s="61">
        <v>0.84544695071010856</v>
      </c>
      <c r="AH693" s="61">
        <v>6.6833751044277356E-3</v>
      </c>
      <c r="AI693" s="61">
        <v>0.15455304928989139</v>
      </c>
      <c r="AJ693" s="59">
        <v>0.36399999999999999</v>
      </c>
      <c r="AK693" s="59">
        <v>3.3E-3</v>
      </c>
      <c r="AL693" s="3">
        <v>0</v>
      </c>
      <c r="AM693" s="3">
        <v>0</v>
      </c>
      <c r="AN693" s="3">
        <v>5</v>
      </c>
      <c r="AO693" s="3">
        <v>325</v>
      </c>
      <c r="AP693" s="3">
        <v>309</v>
      </c>
      <c r="AQ693" s="3">
        <v>307</v>
      </c>
      <c r="AR693" s="3">
        <v>251</v>
      </c>
      <c r="AS693" s="59">
        <v>1.5151515151515152E-2</v>
      </c>
      <c r="AT693" s="3">
        <v>9</v>
      </c>
      <c r="AU693" s="3">
        <v>6</v>
      </c>
      <c r="AV693" s="49">
        <v>63.742690058479504</v>
      </c>
      <c r="AW693" s="49">
        <v>29.434697855750503</v>
      </c>
      <c r="AX693" s="49">
        <v>6.4327485380116993</v>
      </c>
      <c r="AY693" s="67">
        <v>0.38986354775828502</v>
      </c>
      <c r="AZ693" s="62">
        <v>0.20921155347384857</v>
      </c>
      <c r="BA693" s="62">
        <v>6.4793130366900861E-2</v>
      </c>
      <c r="BB693" s="78">
        <v>92.3312898431695</v>
      </c>
      <c r="BC693" s="49">
        <v>52.403100775193799</v>
      </c>
      <c r="BD693" s="90" t="s">
        <v>83</v>
      </c>
      <c r="BE693" s="90" t="s">
        <v>83</v>
      </c>
      <c r="BF693" s="87">
        <v>5.4</v>
      </c>
      <c r="BG693" s="87">
        <v>2.1</v>
      </c>
      <c r="BH693" s="87">
        <v>1.7</v>
      </c>
      <c r="BI693" s="87">
        <v>2</v>
      </c>
      <c r="BJ693" s="49">
        <v>20.9</v>
      </c>
      <c r="BK693" s="129">
        <v>10207</v>
      </c>
      <c r="BL693" s="129">
        <v>54005</v>
      </c>
      <c r="BM693" s="129">
        <v>49129</v>
      </c>
      <c r="BN693" s="129">
        <v>49526</v>
      </c>
      <c r="BO693" s="59">
        <v>0</v>
      </c>
      <c r="BP693" s="59">
        <v>0.40500000000000003</v>
      </c>
      <c r="BQ693" s="59">
        <v>0.23230000000000001</v>
      </c>
      <c r="BR693" s="59">
        <v>9.2999999999999992E-3</v>
      </c>
      <c r="BS693" s="59">
        <v>1.1000000000000001E-3</v>
      </c>
      <c r="BT693" s="49">
        <v>14.6</v>
      </c>
      <c r="BU693" s="59">
        <f t="shared" si="52"/>
        <v>0.64769999999999994</v>
      </c>
      <c r="BV693" s="59">
        <v>3.7900000000000003E-2</v>
      </c>
      <c r="BW693" s="59">
        <v>0</v>
      </c>
      <c r="BX693" s="59">
        <v>2.52E-2</v>
      </c>
      <c r="BY693" s="59">
        <v>8.6999999999999994E-3</v>
      </c>
      <c r="BZ693" s="59">
        <v>0</v>
      </c>
      <c r="CA693" s="49">
        <v>11.9</v>
      </c>
      <c r="CB693" s="59">
        <f t="shared" si="53"/>
        <v>7.1800000000000003E-2</v>
      </c>
      <c r="CC693" s="59">
        <v>0.25059999999999999</v>
      </c>
      <c r="CD693" s="59">
        <v>0.43540000000000001</v>
      </c>
      <c r="CE693" s="59">
        <v>0.2949</v>
      </c>
      <c r="CF693" s="59">
        <v>1.7999999999999999E-2</v>
      </c>
      <c r="CG693" s="59">
        <v>1.1000000000000001E-3</v>
      </c>
      <c r="CH693" s="49">
        <v>13.5</v>
      </c>
      <c r="CI693" s="25" t="s">
        <v>143</v>
      </c>
      <c r="CJ693" s="18" t="s">
        <v>489</v>
      </c>
      <c r="CK693" s="20"/>
    </row>
    <row r="694" spans="1:89" x14ac:dyDescent="0.25">
      <c r="A694" s="18" t="s">
        <v>489</v>
      </c>
      <c r="B694" s="26" t="s">
        <v>139</v>
      </c>
      <c r="C694" s="25" t="s">
        <v>144</v>
      </c>
      <c r="D694" s="6">
        <v>2</v>
      </c>
      <c r="E694" s="6">
        <v>1</v>
      </c>
      <c r="F694" s="6">
        <v>1</v>
      </c>
      <c r="G694" s="163">
        <v>0</v>
      </c>
      <c r="H694" s="163">
        <v>1</v>
      </c>
      <c r="I694" s="163">
        <v>0</v>
      </c>
      <c r="J694" s="163">
        <v>0</v>
      </c>
      <c r="K694" s="163">
        <v>1</v>
      </c>
      <c r="L694" s="163">
        <v>0</v>
      </c>
      <c r="M694" s="163">
        <v>0</v>
      </c>
      <c r="N694" s="115">
        <v>2.0429009193054098E-3</v>
      </c>
      <c r="O694" s="115">
        <v>1.5313935681470099E-3</v>
      </c>
      <c r="P694" s="115">
        <v>0</v>
      </c>
      <c r="Q694" s="115">
        <v>6.3291139240506302E-3</v>
      </c>
      <c r="R694" s="115">
        <v>0</v>
      </c>
      <c r="S694" s="115">
        <v>0</v>
      </c>
      <c r="T694" s="115">
        <v>6.41025641025641E-3</v>
      </c>
      <c r="U694" s="115">
        <v>0</v>
      </c>
      <c r="V694" s="115">
        <v>0</v>
      </c>
      <c r="W694" s="6">
        <v>1020</v>
      </c>
      <c r="X694" s="40">
        <f t="shared" si="50"/>
        <v>571</v>
      </c>
      <c r="Y694" s="40">
        <f t="shared" si="51"/>
        <v>861</v>
      </c>
      <c r="Z694" s="59">
        <v>0.47649999999999998</v>
      </c>
      <c r="AA694" s="59">
        <v>0.52349999999999997</v>
      </c>
      <c r="AB694" s="61">
        <v>9.8039215686274508E-4</v>
      </c>
      <c r="AC694" s="61">
        <v>9.8039215686274508E-3</v>
      </c>
      <c r="AD694" s="61">
        <v>0.31764705882352939</v>
      </c>
      <c r="AE694" s="61">
        <v>2.7450980392156862E-2</v>
      </c>
      <c r="AF694" s="61">
        <v>2.9411764705882353E-3</v>
      </c>
      <c r="AG694" s="61">
        <v>0.6284313725490196</v>
      </c>
      <c r="AH694" s="61">
        <v>1.2745098039215686E-2</v>
      </c>
      <c r="AI694" s="61">
        <v>0.3715686274509804</v>
      </c>
      <c r="AJ694" s="59">
        <v>0.626</v>
      </c>
      <c r="AK694" s="59">
        <v>6.8999999999999999E-3</v>
      </c>
      <c r="AL694" s="3">
        <v>151</v>
      </c>
      <c r="AM694" s="3">
        <v>139</v>
      </c>
      <c r="AN694" s="3">
        <v>5</v>
      </c>
      <c r="AO694" s="3">
        <v>151</v>
      </c>
      <c r="AP694" s="3">
        <v>130</v>
      </c>
      <c r="AQ694" s="3">
        <v>164</v>
      </c>
      <c r="AR694" s="3">
        <v>121</v>
      </c>
      <c r="AS694" s="59">
        <v>3.2051282051282048E-2</v>
      </c>
      <c r="AT694" s="3">
        <v>6</v>
      </c>
      <c r="AU694" s="3">
        <v>6</v>
      </c>
      <c r="AV694" s="49">
        <v>66.529774127310105</v>
      </c>
      <c r="AW694" s="49">
        <v>26.078028747433301</v>
      </c>
      <c r="AX694" s="49">
        <v>5.74948665297741</v>
      </c>
      <c r="AY694" s="67">
        <v>1.6427104722792603</v>
      </c>
      <c r="AZ694" s="62">
        <v>0.32697311361665221</v>
      </c>
      <c r="BA694" s="62">
        <v>0.13356461405030357</v>
      </c>
      <c r="BB694" s="77">
        <v>92.618613708491594</v>
      </c>
      <c r="BC694" s="49">
        <v>45.4072790294627</v>
      </c>
      <c r="BD694" s="87">
        <v>0.7</v>
      </c>
      <c r="BE694" s="87">
        <v>2.2999999999999998</v>
      </c>
      <c r="BF694" s="87">
        <v>7.8</v>
      </c>
      <c r="BG694" s="87">
        <v>0.8</v>
      </c>
      <c r="BH694" s="87">
        <v>2.6</v>
      </c>
      <c r="BI694" s="87">
        <v>2.7</v>
      </c>
      <c r="BJ694" s="49">
        <v>19.100000000000001</v>
      </c>
      <c r="BK694" s="129">
        <v>10943</v>
      </c>
      <c r="BL694" s="129">
        <v>51705</v>
      </c>
      <c r="BM694" s="129">
        <v>57922</v>
      </c>
      <c r="BN694" s="129">
        <v>42912</v>
      </c>
      <c r="BO694" s="59">
        <v>0</v>
      </c>
      <c r="BP694" s="59">
        <v>0.38400000000000001</v>
      </c>
      <c r="BQ694" s="59">
        <v>0.17810000000000001</v>
      </c>
      <c r="BR694" s="59">
        <v>7.7999999999999996E-3</v>
      </c>
      <c r="BS694" s="59">
        <v>0</v>
      </c>
      <c r="BT694" s="49">
        <v>10.199999999999999</v>
      </c>
      <c r="BU694" s="59">
        <f t="shared" si="52"/>
        <v>0.56990000000000007</v>
      </c>
      <c r="BV694" s="59">
        <v>4.1799999999999997E-2</v>
      </c>
      <c r="BW694" s="59">
        <v>0</v>
      </c>
      <c r="BX694" s="59">
        <v>4.1799999999999997E-2</v>
      </c>
      <c r="BY694" s="59">
        <v>0</v>
      </c>
      <c r="BZ694" s="59">
        <v>0</v>
      </c>
      <c r="CA694" s="49">
        <v>20.6</v>
      </c>
      <c r="CB694" s="59">
        <f t="shared" si="53"/>
        <v>8.3599999999999994E-2</v>
      </c>
      <c r="CC694" s="59">
        <v>0.32900000000000001</v>
      </c>
      <c r="CD694" s="59">
        <v>0.41149999999999998</v>
      </c>
      <c r="CE694" s="59">
        <v>0.25169999999999998</v>
      </c>
      <c r="CF694" s="59">
        <v>7.7999999999999996E-3</v>
      </c>
      <c r="CG694" s="59">
        <v>0</v>
      </c>
      <c r="CH694" s="49">
        <v>11.5</v>
      </c>
      <c r="CI694" s="25" t="s">
        <v>144</v>
      </c>
      <c r="CJ694" s="18" t="s">
        <v>489</v>
      </c>
      <c r="CK694" s="20"/>
    </row>
    <row r="695" spans="1:89" x14ac:dyDescent="0.25">
      <c r="A695" s="18" t="s">
        <v>489</v>
      </c>
      <c r="B695" s="26" t="s">
        <v>139</v>
      </c>
      <c r="C695" s="25" t="s">
        <v>145</v>
      </c>
      <c r="D695" s="6">
        <v>41</v>
      </c>
      <c r="E695" s="40" t="s">
        <v>83</v>
      </c>
      <c r="F695" s="6">
        <v>41</v>
      </c>
      <c r="G695" s="162" t="s">
        <v>83</v>
      </c>
      <c r="H695" s="162" t="s">
        <v>83</v>
      </c>
      <c r="I695" s="163">
        <v>0</v>
      </c>
      <c r="J695" s="163">
        <v>15</v>
      </c>
      <c r="K695" s="163">
        <v>14</v>
      </c>
      <c r="L695" s="163">
        <v>9</v>
      </c>
      <c r="M695" s="163">
        <v>3</v>
      </c>
      <c r="N695" s="115">
        <v>3.2131661442006298E-2</v>
      </c>
      <c r="O695" s="115">
        <v>3.2131661442006298E-2</v>
      </c>
      <c r="P695" s="116" t="s">
        <v>83</v>
      </c>
      <c r="Q695" s="116" t="s">
        <v>83</v>
      </c>
      <c r="R695" s="115">
        <v>0</v>
      </c>
      <c r="S695" s="115">
        <v>3.90625E-2</v>
      </c>
      <c r="T695" s="115">
        <v>4.3749999999999997E-2</v>
      </c>
      <c r="U695" s="115">
        <v>2.9900332225913599E-2</v>
      </c>
      <c r="V695" s="115">
        <v>1.27118644067797E-2</v>
      </c>
      <c r="W695" s="6">
        <v>1104</v>
      </c>
      <c r="X695" s="40">
        <f t="shared" si="50"/>
        <v>1104</v>
      </c>
      <c r="Y695" s="40">
        <f t="shared" si="51"/>
        <v>1104</v>
      </c>
      <c r="Z695" s="59">
        <v>0.5091</v>
      </c>
      <c r="AA695" s="59">
        <v>0.4909</v>
      </c>
      <c r="AB695" s="61">
        <v>0</v>
      </c>
      <c r="AC695" s="61">
        <v>4.528985507246377E-3</v>
      </c>
      <c r="AD695" s="61">
        <v>0.85688405797101452</v>
      </c>
      <c r="AE695" s="61">
        <v>2.8985507246376812E-2</v>
      </c>
      <c r="AF695" s="61">
        <v>0</v>
      </c>
      <c r="AG695" s="61">
        <v>0.10235507246376811</v>
      </c>
      <c r="AH695" s="61">
        <v>7.246376811594203E-3</v>
      </c>
      <c r="AI695" s="61">
        <v>0.89764492753623193</v>
      </c>
      <c r="AJ695" s="59">
        <v>0.83499999999999996</v>
      </c>
      <c r="AK695" s="59">
        <v>1.6299999999999999E-2</v>
      </c>
      <c r="AL695" s="3">
        <v>0</v>
      </c>
      <c r="AM695" s="3">
        <v>0</v>
      </c>
      <c r="AN695" s="3">
        <v>32</v>
      </c>
      <c r="AO695" s="3">
        <v>319</v>
      </c>
      <c r="AP695" s="3">
        <v>259</v>
      </c>
      <c r="AQ695" s="3">
        <v>279</v>
      </c>
      <c r="AR695" s="3">
        <v>215</v>
      </c>
      <c r="AS695" s="59">
        <v>9.1168091168091173E-2</v>
      </c>
      <c r="AT695" s="3">
        <v>9</v>
      </c>
      <c r="AU695" s="3">
        <v>6</v>
      </c>
      <c r="AV695" s="49">
        <v>81.507823613086799</v>
      </c>
      <c r="AW695" s="49">
        <v>16.2162162162162</v>
      </c>
      <c r="AX695" s="49">
        <v>1.9914651493598901</v>
      </c>
      <c r="AY695" s="67">
        <v>0.28449502133712701</v>
      </c>
      <c r="AZ695" s="62">
        <v>0.17034700315457413</v>
      </c>
      <c r="BA695" s="62">
        <v>0.27444794952681389</v>
      </c>
      <c r="BB695" s="78">
        <v>86.373677449004106</v>
      </c>
      <c r="BC695" s="49">
        <v>62.763466042154597</v>
      </c>
      <c r="BD695" s="90" t="s">
        <v>83</v>
      </c>
      <c r="BE695" s="90" t="s">
        <v>83</v>
      </c>
      <c r="BF695" s="87">
        <v>15.9</v>
      </c>
      <c r="BG695" s="87">
        <v>5</v>
      </c>
      <c r="BH695" s="87">
        <v>4.0999999999999996</v>
      </c>
      <c r="BI695" s="87">
        <v>5.8</v>
      </c>
      <c r="BJ695" s="49">
        <v>16.899999999999999</v>
      </c>
      <c r="BK695" s="129">
        <v>14257</v>
      </c>
      <c r="BL695" s="129">
        <v>55458</v>
      </c>
      <c r="BM695" s="129">
        <v>59593</v>
      </c>
      <c r="BN695" s="129">
        <v>46200</v>
      </c>
      <c r="BO695" s="59">
        <v>5.2699999999999997E-2</v>
      </c>
      <c r="BP695" s="59">
        <v>0.26369999999999999</v>
      </c>
      <c r="BQ695" s="59">
        <v>0.24229999999999999</v>
      </c>
      <c r="BR695" s="59">
        <v>0</v>
      </c>
      <c r="BS695" s="59">
        <v>1.3899999999999999E-2</v>
      </c>
      <c r="BT695" s="49">
        <v>12.3</v>
      </c>
      <c r="BU695" s="59">
        <f t="shared" si="52"/>
        <v>0.5726</v>
      </c>
      <c r="BV695" s="59">
        <v>3.5099999999999999E-2</v>
      </c>
      <c r="BW695" s="59">
        <v>1.06E-2</v>
      </c>
      <c r="BX695" s="59">
        <v>1.7299999999999999E-2</v>
      </c>
      <c r="BY695" s="59">
        <v>6.0000000000000001E-3</v>
      </c>
      <c r="BZ695" s="59">
        <v>5.8999999999999999E-3</v>
      </c>
      <c r="CA695" s="49">
        <v>15.9</v>
      </c>
      <c r="CB695" s="59">
        <f t="shared" si="53"/>
        <v>7.4900000000000008E-2</v>
      </c>
      <c r="CC695" s="59">
        <v>0.36309999999999998</v>
      </c>
      <c r="CD695" s="59">
        <v>0.29799999999999999</v>
      </c>
      <c r="CE695" s="59">
        <v>0.30730000000000002</v>
      </c>
      <c r="CF695" s="59">
        <v>6.0000000000000001E-3</v>
      </c>
      <c r="CG695" s="59">
        <v>2.5600000000000001E-2</v>
      </c>
      <c r="CH695" s="49">
        <v>13.3</v>
      </c>
      <c r="CI695" s="25" t="s">
        <v>145</v>
      </c>
      <c r="CJ695" s="18" t="s">
        <v>489</v>
      </c>
      <c r="CK695" s="20"/>
    </row>
    <row r="696" spans="1:89" x14ac:dyDescent="0.25">
      <c r="A696" s="18" t="s">
        <v>489</v>
      </c>
      <c r="B696" s="26" t="s">
        <v>139</v>
      </c>
      <c r="C696" s="25" t="s">
        <v>146</v>
      </c>
      <c r="D696" s="6">
        <v>0</v>
      </c>
      <c r="E696" s="6">
        <v>0</v>
      </c>
      <c r="F696" s="6">
        <v>0</v>
      </c>
      <c r="G696" s="163">
        <v>0</v>
      </c>
      <c r="H696" s="163">
        <v>0</v>
      </c>
      <c r="I696" s="162" t="s">
        <v>83</v>
      </c>
      <c r="J696" s="163">
        <v>0</v>
      </c>
      <c r="K696" s="163">
        <v>0</v>
      </c>
      <c r="L696" s="163">
        <v>0</v>
      </c>
      <c r="M696" s="163">
        <v>0</v>
      </c>
      <c r="N696" s="115">
        <v>0</v>
      </c>
      <c r="O696" s="115">
        <v>0</v>
      </c>
      <c r="P696" s="115">
        <v>0</v>
      </c>
      <c r="Q696" s="115">
        <v>0</v>
      </c>
      <c r="R696" s="116" t="s">
        <v>83</v>
      </c>
      <c r="S696" s="115">
        <v>0</v>
      </c>
      <c r="T696" s="115">
        <v>0</v>
      </c>
      <c r="U696" s="115">
        <v>0</v>
      </c>
      <c r="V696" s="115">
        <v>0</v>
      </c>
      <c r="W696" s="6">
        <v>344</v>
      </c>
      <c r="X696" s="40">
        <f t="shared" si="50"/>
        <v>100</v>
      </c>
      <c r="Y696" s="40">
        <f t="shared" si="51"/>
        <v>157</v>
      </c>
      <c r="Z696" s="59">
        <v>0.50870000000000004</v>
      </c>
      <c r="AA696" s="59">
        <v>0.49130000000000001</v>
      </c>
      <c r="AB696" s="61">
        <v>5.8139534883720929E-3</v>
      </c>
      <c r="AC696" s="61">
        <v>0</v>
      </c>
      <c r="AD696" s="61">
        <v>1.1627906976744186E-2</v>
      </c>
      <c r="AE696" s="61">
        <v>2.9069767441860465E-3</v>
      </c>
      <c r="AF696" s="61">
        <v>0</v>
      </c>
      <c r="AG696" s="61">
        <v>0.96802325581395354</v>
      </c>
      <c r="AH696" s="61">
        <v>1.1627906976744186E-2</v>
      </c>
      <c r="AI696" s="61">
        <v>3.1976744186046513E-2</v>
      </c>
      <c r="AJ696" s="59">
        <v>0.58699999999999997</v>
      </c>
      <c r="AK696" s="59">
        <v>0</v>
      </c>
      <c r="AL696" s="3">
        <v>29</v>
      </c>
      <c r="AM696" s="3">
        <v>28</v>
      </c>
      <c r="AN696" s="3">
        <v>0</v>
      </c>
      <c r="AO696" s="3">
        <v>26</v>
      </c>
      <c r="AP696" s="3">
        <v>27</v>
      </c>
      <c r="AQ696" s="3">
        <v>23</v>
      </c>
      <c r="AR696" s="3">
        <v>24</v>
      </c>
      <c r="AS696" s="59">
        <v>0</v>
      </c>
      <c r="AT696" s="3">
        <v>1</v>
      </c>
      <c r="AU696" s="3">
        <v>6</v>
      </c>
      <c r="AV696" s="49">
        <v>94.054054054054106</v>
      </c>
      <c r="AW696" s="49">
        <v>5.4054054054054097</v>
      </c>
      <c r="AX696" s="49">
        <v>0.54054054054054101</v>
      </c>
      <c r="AY696" s="67">
        <v>0</v>
      </c>
      <c r="AZ696" s="62">
        <v>0.1132596685082873</v>
      </c>
      <c r="BA696" s="62">
        <v>3.8674033149171269E-2</v>
      </c>
      <c r="BB696" s="77">
        <v>94.352267663090004</v>
      </c>
      <c r="BC696" s="49">
        <v>44.606413994169102</v>
      </c>
      <c r="BD696" s="87">
        <v>3.8</v>
      </c>
      <c r="BE696" s="87">
        <v>0</v>
      </c>
      <c r="BF696" s="87">
        <v>4.3</v>
      </c>
      <c r="BG696" s="87">
        <v>0</v>
      </c>
      <c r="BH696" s="87">
        <v>0</v>
      </c>
      <c r="BI696" s="87">
        <v>0</v>
      </c>
      <c r="BJ696" s="49">
        <v>18.100000000000001</v>
      </c>
      <c r="BK696" s="129">
        <v>14593</v>
      </c>
      <c r="BL696" s="129">
        <v>52780</v>
      </c>
      <c r="BM696" s="129">
        <v>50223</v>
      </c>
      <c r="BN696" s="129">
        <v>42135</v>
      </c>
      <c r="BO696" s="59">
        <v>1.6799999999999999E-2</v>
      </c>
      <c r="BP696" s="59">
        <v>0.41770000000000002</v>
      </c>
      <c r="BQ696" s="59">
        <v>8.3500000000000005E-2</v>
      </c>
      <c r="BR696" s="59">
        <v>3.27E-2</v>
      </c>
      <c r="BS696" s="59">
        <v>0</v>
      </c>
      <c r="BT696" s="49">
        <v>13.6</v>
      </c>
      <c r="BU696" s="59">
        <f t="shared" si="52"/>
        <v>0.55069999999999997</v>
      </c>
      <c r="BV696" s="59">
        <v>3.3700000000000001E-2</v>
      </c>
      <c r="BW696" s="59">
        <v>0</v>
      </c>
      <c r="BX696" s="59">
        <v>3.3700000000000001E-2</v>
      </c>
      <c r="BY696" s="59">
        <v>0</v>
      </c>
      <c r="BZ696" s="59">
        <v>0</v>
      </c>
      <c r="CA696" s="49">
        <v>11.5</v>
      </c>
      <c r="CB696" s="59">
        <f t="shared" si="53"/>
        <v>6.7400000000000002E-2</v>
      </c>
      <c r="CC696" s="59">
        <v>0.3841</v>
      </c>
      <c r="CD696" s="59">
        <v>0.44340000000000002</v>
      </c>
      <c r="CE696" s="59">
        <v>0.13980000000000001</v>
      </c>
      <c r="CF696" s="59">
        <v>3.27E-2</v>
      </c>
      <c r="CG696" s="59">
        <v>0</v>
      </c>
      <c r="CH696" s="49">
        <v>11.6</v>
      </c>
      <c r="CI696" s="25" t="s">
        <v>146</v>
      </c>
      <c r="CJ696" s="18" t="s">
        <v>489</v>
      </c>
      <c r="CK696" s="20"/>
    </row>
    <row r="697" spans="1:89" x14ac:dyDescent="0.25">
      <c r="A697" s="18" t="s">
        <v>489</v>
      </c>
      <c r="B697" s="26" t="s">
        <v>139</v>
      </c>
      <c r="C697" s="25" t="s">
        <v>147</v>
      </c>
      <c r="D697" s="6">
        <v>17</v>
      </c>
      <c r="E697" s="40" t="s">
        <v>83</v>
      </c>
      <c r="F697" s="6">
        <v>17</v>
      </c>
      <c r="G697" s="162" t="s">
        <v>83</v>
      </c>
      <c r="H697" s="162" t="s">
        <v>83</v>
      </c>
      <c r="I697" s="163">
        <v>0</v>
      </c>
      <c r="J697" s="163">
        <v>7</v>
      </c>
      <c r="K697" s="163">
        <v>2</v>
      </c>
      <c r="L697" s="163">
        <v>4</v>
      </c>
      <c r="M697" s="163">
        <v>4</v>
      </c>
      <c r="N697" s="115">
        <v>7.8521939953810592E-3</v>
      </c>
      <c r="O697" s="115">
        <v>7.8521939953810592E-3</v>
      </c>
      <c r="P697" s="116" t="s">
        <v>83</v>
      </c>
      <c r="Q697" s="116" t="s">
        <v>83</v>
      </c>
      <c r="R697" s="115">
        <v>0</v>
      </c>
      <c r="S697" s="115">
        <v>1.1437908496731999E-2</v>
      </c>
      <c r="T697" s="115">
        <v>3.5906642728904801E-3</v>
      </c>
      <c r="U697" s="115">
        <v>8.2815734989648004E-3</v>
      </c>
      <c r="V697" s="115">
        <v>7.9840319361277404E-3</v>
      </c>
      <c r="W697" s="6">
        <v>2061</v>
      </c>
      <c r="X697" s="40">
        <f t="shared" si="50"/>
        <v>2061</v>
      </c>
      <c r="Y697" s="40">
        <f t="shared" si="51"/>
        <v>2061</v>
      </c>
      <c r="Z697" s="59">
        <v>0.49440000000000001</v>
      </c>
      <c r="AA697" s="59">
        <v>0.50560000000000005</v>
      </c>
      <c r="AB697" s="61">
        <v>1.9408054342552159E-3</v>
      </c>
      <c r="AC697" s="61">
        <v>1.1159631246967491E-2</v>
      </c>
      <c r="AD697" s="61">
        <v>9.8010674429888409E-2</v>
      </c>
      <c r="AE697" s="61">
        <v>3.7845705967976713E-2</v>
      </c>
      <c r="AF697" s="61">
        <v>0</v>
      </c>
      <c r="AG697" s="61">
        <v>0.84279475982532748</v>
      </c>
      <c r="AH697" s="61">
        <v>8.2484230955846682E-3</v>
      </c>
      <c r="AI697" s="61">
        <v>0.15720524017467249</v>
      </c>
      <c r="AJ697" s="59">
        <v>0.48099999999999998</v>
      </c>
      <c r="AK697" s="59">
        <v>1.0200000000000001E-2</v>
      </c>
      <c r="AL697" s="3">
        <v>0</v>
      </c>
      <c r="AM697" s="3">
        <v>0</v>
      </c>
      <c r="AN697" s="3">
        <v>13</v>
      </c>
      <c r="AO697" s="3">
        <v>555</v>
      </c>
      <c r="AP697" s="3">
        <v>530</v>
      </c>
      <c r="AQ697" s="3">
        <v>471</v>
      </c>
      <c r="AR697" s="3">
        <v>492</v>
      </c>
      <c r="AS697" s="59">
        <v>2.2887323943661973E-2</v>
      </c>
      <c r="AT697" s="3">
        <v>9</v>
      </c>
      <c r="AU697" s="3">
        <v>6</v>
      </c>
      <c r="AV697" s="49">
        <v>53.634085213032598</v>
      </c>
      <c r="AW697" s="49">
        <v>30.451127819548901</v>
      </c>
      <c r="AX697" s="49">
        <v>14.786967418546402</v>
      </c>
      <c r="AY697" s="67">
        <v>1.1278195488721801</v>
      </c>
      <c r="AZ697" s="62">
        <v>0.16743755781683625</v>
      </c>
      <c r="BA697" s="62">
        <v>7.0767807585568915E-2</v>
      </c>
      <c r="BB697" s="78">
        <v>91.539542867570702</v>
      </c>
      <c r="BC697" s="49">
        <v>31.5571887919155</v>
      </c>
      <c r="BD697" s="90" t="s">
        <v>83</v>
      </c>
      <c r="BE697" s="90" t="s">
        <v>83</v>
      </c>
      <c r="BF697" s="87">
        <v>5.8</v>
      </c>
      <c r="BG697" s="87">
        <v>2.6</v>
      </c>
      <c r="BH697" s="87">
        <v>1.6</v>
      </c>
      <c r="BI697" s="87">
        <v>1.9</v>
      </c>
      <c r="BJ697" s="49">
        <v>20.6</v>
      </c>
      <c r="BK697" s="129">
        <v>10365</v>
      </c>
      <c r="BL697" s="129">
        <v>53800</v>
      </c>
      <c r="BM697" s="129">
        <v>50948</v>
      </c>
      <c r="BN697" s="129">
        <v>46563</v>
      </c>
      <c r="BO697" s="59">
        <v>1.9E-2</v>
      </c>
      <c r="BP697" s="59">
        <v>0.36280000000000001</v>
      </c>
      <c r="BQ697" s="59">
        <v>0.2293</v>
      </c>
      <c r="BR697" s="59">
        <v>4.7999999999999996E-3</v>
      </c>
      <c r="BS697" s="59">
        <v>6.7000000000000002E-3</v>
      </c>
      <c r="BT697" s="49">
        <v>13.4</v>
      </c>
      <c r="BU697" s="59">
        <f t="shared" si="52"/>
        <v>0.62260000000000004</v>
      </c>
      <c r="BV697" s="59">
        <v>3.5799999999999998E-2</v>
      </c>
      <c r="BW697" s="59">
        <v>4.4000000000000003E-3</v>
      </c>
      <c r="BX697" s="59">
        <v>2.3300000000000001E-2</v>
      </c>
      <c r="BY697" s="59">
        <v>4.4999999999999997E-3</v>
      </c>
      <c r="BZ697" s="59">
        <v>0</v>
      </c>
      <c r="CA697" s="49">
        <v>17.5</v>
      </c>
      <c r="CB697" s="59">
        <f t="shared" si="53"/>
        <v>6.8000000000000005E-2</v>
      </c>
      <c r="CC697" s="59">
        <v>0.30159999999999998</v>
      </c>
      <c r="CD697" s="59">
        <v>0.38840000000000002</v>
      </c>
      <c r="CE697" s="59">
        <v>0.29399999999999998</v>
      </c>
      <c r="CF697" s="59">
        <v>9.2999999999999992E-3</v>
      </c>
      <c r="CG697" s="59">
        <v>6.7000000000000002E-3</v>
      </c>
      <c r="CH697" s="49">
        <v>13</v>
      </c>
      <c r="CI697" s="25" t="s">
        <v>147</v>
      </c>
      <c r="CJ697" s="18" t="s">
        <v>489</v>
      </c>
      <c r="CK697" s="20"/>
    </row>
    <row r="698" spans="1:89" x14ac:dyDescent="0.25">
      <c r="A698" s="18" t="s">
        <v>489</v>
      </c>
      <c r="B698" s="26" t="s">
        <v>139</v>
      </c>
      <c r="C698" s="25" t="s">
        <v>148</v>
      </c>
      <c r="D698" s="6">
        <v>0</v>
      </c>
      <c r="E698" s="40" t="s">
        <v>83</v>
      </c>
      <c r="F698" s="6">
        <v>0</v>
      </c>
      <c r="G698" s="162" t="s">
        <v>83</v>
      </c>
      <c r="H698" s="162" t="s">
        <v>83</v>
      </c>
      <c r="I698" s="163">
        <v>0</v>
      </c>
      <c r="J698" s="163">
        <v>0</v>
      </c>
      <c r="K698" s="163">
        <v>0</v>
      </c>
      <c r="L698" s="163">
        <v>0</v>
      </c>
      <c r="M698" s="163">
        <v>0</v>
      </c>
      <c r="N698" s="115">
        <v>0</v>
      </c>
      <c r="O698" s="115">
        <v>0</v>
      </c>
      <c r="P698" s="116" t="s">
        <v>83</v>
      </c>
      <c r="Q698" s="116" t="s">
        <v>83</v>
      </c>
      <c r="R698" s="115">
        <v>0</v>
      </c>
      <c r="S698" s="115">
        <v>0</v>
      </c>
      <c r="T698" s="115">
        <v>0</v>
      </c>
      <c r="U698" s="115">
        <v>0</v>
      </c>
      <c r="V698" s="115">
        <v>0</v>
      </c>
      <c r="W698" s="6">
        <v>278</v>
      </c>
      <c r="X698" s="40">
        <f t="shared" si="50"/>
        <v>278</v>
      </c>
      <c r="Y698" s="40">
        <f t="shared" si="51"/>
        <v>278</v>
      </c>
      <c r="Z698" s="59">
        <v>0.48559999999999998</v>
      </c>
      <c r="AA698" s="59">
        <v>0.51439999999999997</v>
      </c>
      <c r="AB698" s="61">
        <v>3.5971223021582736E-3</v>
      </c>
      <c r="AC698" s="61">
        <v>1.0791366906474821E-2</v>
      </c>
      <c r="AD698" s="61">
        <v>0.20503597122302158</v>
      </c>
      <c r="AE698" s="61">
        <v>5.3956834532374098E-2</v>
      </c>
      <c r="AF698" s="61">
        <v>0</v>
      </c>
      <c r="AG698" s="61">
        <v>0.71942446043165464</v>
      </c>
      <c r="AH698" s="61">
        <v>7.1942446043165471E-3</v>
      </c>
      <c r="AI698" s="61">
        <v>0.2805755395683453</v>
      </c>
      <c r="AJ698" s="59">
        <v>0.57899999999999996</v>
      </c>
      <c r="AK698" s="59">
        <v>2.1600000000000001E-2</v>
      </c>
      <c r="AL698" s="3">
        <v>0</v>
      </c>
      <c r="AM698" s="3">
        <v>0</v>
      </c>
      <c r="AN698" s="3">
        <v>7</v>
      </c>
      <c r="AO698" s="3">
        <v>80</v>
      </c>
      <c r="AP698" s="3">
        <v>62</v>
      </c>
      <c r="AQ698" s="3">
        <v>74</v>
      </c>
      <c r="AR698" s="3">
        <v>55</v>
      </c>
      <c r="AS698" s="59">
        <v>8.0459770114942528E-2</v>
      </c>
      <c r="AT698" s="3">
        <v>9</v>
      </c>
      <c r="AU698" s="3">
        <v>6</v>
      </c>
      <c r="AV698" s="49">
        <v>95.890410958904098</v>
      </c>
      <c r="AW698" s="49">
        <v>3.6529680365296802</v>
      </c>
      <c r="AX698" s="49">
        <v>0</v>
      </c>
      <c r="AY698" s="67">
        <v>0.45662100456621002</v>
      </c>
      <c r="AZ698" s="62">
        <v>0.18092105263157895</v>
      </c>
      <c r="BA698" s="62">
        <v>0.12828947368421054</v>
      </c>
      <c r="BB698" s="77">
        <v>91.714984503152095</v>
      </c>
      <c r="BC698" s="49">
        <v>51.475409836065602</v>
      </c>
      <c r="BD698" s="90" t="s">
        <v>83</v>
      </c>
      <c r="BE698" s="90" t="s">
        <v>83</v>
      </c>
      <c r="BF698" s="87">
        <v>5.7</v>
      </c>
      <c r="BG698" s="87">
        <v>0</v>
      </c>
      <c r="BH698" s="87">
        <v>4.3</v>
      </c>
      <c r="BI698" s="87">
        <v>0</v>
      </c>
      <c r="BJ698" s="49">
        <v>19.100000000000001</v>
      </c>
      <c r="BK698" s="129">
        <v>15478</v>
      </c>
      <c r="BL698" s="129">
        <v>56287</v>
      </c>
      <c r="BM698" s="129">
        <v>61341</v>
      </c>
      <c r="BN698" s="129">
        <v>48630</v>
      </c>
      <c r="BO698" s="59">
        <v>0</v>
      </c>
      <c r="BP698" s="59">
        <v>0.40110000000000001</v>
      </c>
      <c r="BQ698" s="59">
        <v>0.13389999999999999</v>
      </c>
      <c r="BR698" s="59">
        <v>0</v>
      </c>
      <c r="BS698" s="59">
        <v>0</v>
      </c>
      <c r="BT698" s="49">
        <v>17</v>
      </c>
      <c r="BU698" s="59">
        <f t="shared" si="52"/>
        <v>0.53500000000000003</v>
      </c>
      <c r="BV698" s="59">
        <v>6.2600000000000003E-2</v>
      </c>
      <c r="BW698" s="59">
        <v>0</v>
      </c>
      <c r="BX698" s="59">
        <v>4.1200000000000001E-2</v>
      </c>
      <c r="BY698" s="59">
        <v>0</v>
      </c>
      <c r="BZ698" s="59">
        <v>0</v>
      </c>
      <c r="CA698" s="49">
        <v>11.4</v>
      </c>
      <c r="CB698" s="59">
        <f t="shared" si="53"/>
        <v>0.1038</v>
      </c>
      <c r="CC698" s="59">
        <v>0.35830000000000001</v>
      </c>
      <c r="CD698" s="59">
        <v>0.43980000000000002</v>
      </c>
      <c r="CE698" s="59">
        <v>0.2019</v>
      </c>
      <c r="CF698" s="59">
        <v>0</v>
      </c>
      <c r="CG698" s="59">
        <v>0</v>
      </c>
      <c r="CH698" s="49">
        <v>18.399999999999999</v>
      </c>
      <c r="CI698" s="25" t="s">
        <v>148</v>
      </c>
      <c r="CJ698" s="18" t="s">
        <v>489</v>
      </c>
      <c r="CK698" s="20"/>
    </row>
    <row r="699" spans="1:89" x14ac:dyDescent="0.25">
      <c r="A699" s="18" t="s">
        <v>489</v>
      </c>
      <c r="B699" s="26" t="s">
        <v>139</v>
      </c>
      <c r="C699" s="25" t="s">
        <v>149</v>
      </c>
      <c r="D699" s="6">
        <v>38</v>
      </c>
      <c r="E699" s="40" t="s">
        <v>83</v>
      </c>
      <c r="F699" s="6">
        <v>38</v>
      </c>
      <c r="G699" s="162" t="s">
        <v>83</v>
      </c>
      <c r="H699" s="162" t="s">
        <v>83</v>
      </c>
      <c r="I699" s="163">
        <v>1</v>
      </c>
      <c r="J699" s="163">
        <v>13</v>
      </c>
      <c r="K699" s="163">
        <v>13</v>
      </c>
      <c r="L699" s="163">
        <v>6</v>
      </c>
      <c r="M699" s="163">
        <v>5</v>
      </c>
      <c r="N699" s="115">
        <v>5.6213017751479299E-2</v>
      </c>
      <c r="O699" s="115">
        <v>5.6213017751479299E-2</v>
      </c>
      <c r="P699" s="116" t="s">
        <v>83</v>
      </c>
      <c r="Q699" s="116" t="s">
        <v>83</v>
      </c>
      <c r="R699" s="115">
        <v>0.5</v>
      </c>
      <c r="S699" s="115">
        <v>5.39419087136929E-2</v>
      </c>
      <c r="T699" s="115">
        <v>6.9518716577540093E-2</v>
      </c>
      <c r="U699" s="115">
        <v>4.1666666666666699E-2</v>
      </c>
      <c r="V699" s="115">
        <v>4.9019607843137303E-2</v>
      </c>
      <c r="W699" s="6">
        <v>551</v>
      </c>
      <c r="X699" s="40">
        <f t="shared" si="50"/>
        <v>551</v>
      </c>
      <c r="Y699" s="40">
        <f t="shared" si="51"/>
        <v>551</v>
      </c>
      <c r="Z699" s="59">
        <v>0.49909999999999999</v>
      </c>
      <c r="AA699" s="59">
        <v>0.50090000000000001</v>
      </c>
      <c r="AB699" s="61">
        <v>0</v>
      </c>
      <c r="AC699" s="61">
        <v>0</v>
      </c>
      <c r="AD699" s="61">
        <v>0.9637023593466425</v>
      </c>
      <c r="AE699" s="61">
        <v>1.2704174228675136E-2</v>
      </c>
      <c r="AF699" s="61">
        <v>0</v>
      </c>
      <c r="AG699" s="61">
        <v>2.1778584392014518E-2</v>
      </c>
      <c r="AH699" s="61">
        <v>1.8148820326678765E-3</v>
      </c>
      <c r="AI699" s="61">
        <v>0.97822141560798548</v>
      </c>
      <c r="AJ699" s="59">
        <v>0.86</v>
      </c>
      <c r="AK699" s="59">
        <v>3.5999999999999999E-3</v>
      </c>
      <c r="AL699" s="3">
        <v>0</v>
      </c>
      <c r="AM699" s="3">
        <v>0</v>
      </c>
      <c r="AN699" s="3">
        <v>2</v>
      </c>
      <c r="AO699" s="3">
        <v>171</v>
      </c>
      <c r="AP699" s="3">
        <v>148</v>
      </c>
      <c r="AQ699" s="3">
        <v>130</v>
      </c>
      <c r="AR699" s="3">
        <v>100</v>
      </c>
      <c r="AS699" s="59">
        <v>1.1560693641618497E-2</v>
      </c>
      <c r="AT699" s="3">
        <v>9</v>
      </c>
      <c r="AU699" s="3">
        <v>6</v>
      </c>
      <c r="AV699" s="49">
        <v>89.7018970189702</v>
      </c>
      <c r="AW699" s="49">
        <v>9.2140921409214087</v>
      </c>
      <c r="AX699" s="49">
        <v>0.54200542005420094</v>
      </c>
      <c r="AY699" s="67">
        <v>0.54200542005420094</v>
      </c>
      <c r="AZ699" s="62">
        <v>0.37670196671709533</v>
      </c>
      <c r="BA699" s="62">
        <v>0.26626323751891073</v>
      </c>
      <c r="BB699" s="78">
        <v>88.410719850420705</v>
      </c>
      <c r="BC699" s="49">
        <v>61.572052401746703</v>
      </c>
      <c r="BD699" s="90" t="s">
        <v>83</v>
      </c>
      <c r="BE699" s="90" t="s">
        <v>83</v>
      </c>
      <c r="BF699" s="87">
        <v>25.7</v>
      </c>
      <c r="BG699" s="87">
        <v>14.3</v>
      </c>
      <c r="BH699" s="87">
        <v>5.7</v>
      </c>
      <c r="BI699" s="87">
        <v>2.1</v>
      </c>
      <c r="BJ699" s="49">
        <v>17.5</v>
      </c>
      <c r="BK699" s="129">
        <v>13902</v>
      </c>
      <c r="BL699" s="129">
        <v>53482</v>
      </c>
      <c r="BM699" s="129">
        <v>50852</v>
      </c>
      <c r="BN699" s="129">
        <v>45652</v>
      </c>
      <c r="BO699" s="59">
        <v>5.4999999999999997E-3</v>
      </c>
      <c r="BP699" s="59">
        <v>0.32850000000000001</v>
      </c>
      <c r="BQ699" s="59">
        <v>0.23519999999999999</v>
      </c>
      <c r="BR699" s="59">
        <v>0</v>
      </c>
      <c r="BS699" s="59">
        <v>5.4999999999999997E-3</v>
      </c>
      <c r="BT699" s="49">
        <v>13.2</v>
      </c>
      <c r="BU699" s="59">
        <f t="shared" si="52"/>
        <v>0.57469999999999999</v>
      </c>
      <c r="BV699" s="59">
        <v>5.0299999999999997E-2</v>
      </c>
      <c r="BW699" s="59">
        <v>0</v>
      </c>
      <c r="BX699" s="59">
        <v>4.3499999999999997E-2</v>
      </c>
      <c r="BY699" s="59">
        <v>0</v>
      </c>
      <c r="BZ699" s="59">
        <v>0</v>
      </c>
      <c r="CA699" s="49">
        <v>18.2</v>
      </c>
      <c r="CB699" s="59">
        <f t="shared" si="53"/>
        <v>9.3799999999999994E-2</v>
      </c>
      <c r="CC699" s="59">
        <v>0.29530000000000001</v>
      </c>
      <c r="CD699" s="59">
        <v>0.36449999999999999</v>
      </c>
      <c r="CE699" s="59">
        <v>0.3347</v>
      </c>
      <c r="CF699" s="59">
        <v>0</v>
      </c>
      <c r="CG699" s="59">
        <v>5.4999999999999997E-3</v>
      </c>
      <c r="CH699" s="49">
        <v>12.9</v>
      </c>
      <c r="CI699" s="25" t="s">
        <v>149</v>
      </c>
      <c r="CJ699" s="18" t="s">
        <v>489</v>
      </c>
      <c r="CK699" s="20"/>
    </row>
    <row r="700" spans="1:89" x14ac:dyDescent="0.25">
      <c r="A700" s="18" t="s">
        <v>489</v>
      </c>
      <c r="B700" s="26" t="s">
        <v>139</v>
      </c>
      <c r="C700" s="25" t="s">
        <v>150</v>
      </c>
      <c r="D700" s="6">
        <v>6</v>
      </c>
      <c r="E700" s="40" t="s">
        <v>83</v>
      </c>
      <c r="F700" s="6">
        <v>6</v>
      </c>
      <c r="G700" s="162" t="s">
        <v>83</v>
      </c>
      <c r="H700" s="162" t="s">
        <v>83</v>
      </c>
      <c r="I700" s="163">
        <v>0</v>
      </c>
      <c r="J700" s="163">
        <v>2</v>
      </c>
      <c r="K700" s="163">
        <v>3</v>
      </c>
      <c r="L700" s="163">
        <v>0</v>
      </c>
      <c r="M700" s="163">
        <v>1</v>
      </c>
      <c r="N700" s="115">
        <v>1.07913669064748E-2</v>
      </c>
      <c r="O700" s="115">
        <v>1.07913669064748E-2</v>
      </c>
      <c r="P700" s="116" t="s">
        <v>83</v>
      </c>
      <c r="Q700" s="116" t="s">
        <v>83</v>
      </c>
      <c r="R700" s="115">
        <v>0</v>
      </c>
      <c r="S700" s="115">
        <v>1.4285714285714299E-2</v>
      </c>
      <c r="T700" s="115">
        <v>2.01342281879195E-2</v>
      </c>
      <c r="U700" s="115">
        <v>0</v>
      </c>
      <c r="V700" s="115">
        <v>8.0645161290322596E-3</v>
      </c>
      <c r="W700" s="6">
        <v>538</v>
      </c>
      <c r="X700" s="40">
        <f t="shared" si="50"/>
        <v>538</v>
      </c>
      <c r="Y700" s="40">
        <f t="shared" si="51"/>
        <v>538</v>
      </c>
      <c r="Z700" s="59">
        <v>0.44800000000000001</v>
      </c>
      <c r="AA700" s="59">
        <v>0.55200000000000005</v>
      </c>
      <c r="AB700" s="61">
        <v>1.8587360594795538E-3</v>
      </c>
      <c r="AC700" s="61">
        <v>3.7174721189591076E-3</v>
      </c>
      <c r="AD700" s="61">
        <v>0.24535315985130113</v>
      </c>
      <c r="AE700" s="61">
        <v>2.7881040892193308E-2</v>
      </c>
      <c r="AF700" s="61">
        <v>0</v>
      </c>
      <c r="AG700" s="61">
        <v>0.71375464684014867</v>
      </c>
      <c r="AH700" s="61">
        <v>7.4349442379182153E-3</v>
      </c>
      <c r="AI700" s="61">
        <v>0.28624535315985128</v>
      </c>
      <c r="AJ700" s="59">
        <v>0.52400000000000002</v>
      </c>
      <c r="AK700" s="59">
        <v>3.7000000000000002E-3</v>
      </c>
      <c r="AL700" s="3">
        <v>0</v>
      </c>
      <c r="AM700" s="3">
        <v>0</v>
      </c>
      <c r="AN700" s="3">
        <v>3</v>
      </c>
      <c r="AO700" s="3">
        <v>139</v>
      </c>
      <c r="AP700" s="3">
        <v>135</v>
      </c>
      <c r="AQ700" s="3">
        <v>138</v>
      </c>
      <c r="AR700" s="3">
        <v>123</v>
      </c>
      <c r="AS700" s="59">
        <v>2.1126760563380281E-2</v>
      </c>
      <c r="AT700" s="3">
        <v>9</v>
      </c>
      <c r="AU700" s="3">
        <v>6</v>
      </c>
      <c r="AV700" s="49">
        <v>80.064308681672003</v>
      </c>
      <c r="AW700" s="49">
        <v>14.469453376205799</v>
      </c>
      <c r="AX700" s="49">
        <v>5.4662379421221905</v>
      </c>
      <c r="AY700" s="67">
        <v>0</v>
      </c>
      <c r="AZ700" s="62">
        <v>0.17721518987341772</v>
      </c>
      <c r="BA700" s="62">
        <v>0.11934900542495479</v>
      </c>
      <c r="BB700" s="77">
        <v>93.113233437620096</v>
      </c>
      <c r="BC700" s="49">
        <v>35.929203539823</v>
      </c>
      <c r="BD700" s="90" t="s">
        <v>83</v>
      </c>
      <c r="BE700" s="90" t="s">
        <v>83</v>
      </c>
      <c r="BF700" s="87">
        <v>3.9</v>
      </c>
      <c r="BG700" s="87">
        <v>0.8</v>
      </c>
      <c r="BH700" s="87">
        <v>0.8</v>
      </c>
      <c r="BI700" s="87">
        <v>0.9</v>
      </c>
      <c r="BJ700" s="49">
        <v>20.2</v>
      </c>
      <c r="BK700" s="129">
        <v>12406</v>
      </c>
      <c r="BL700" s="129">
        <v>55082</v>
      </c>
      <c r="BM700" s="129">
        <v>47954</v>
      </c>
      <c r="BN700" s="129">
        <v>47875</v>
      </c>
      <c r="BO700" s="59">
        <v>5.9700000000000003E-2</v>
      </c>
      <c r="BP700" s="59">
        <v>0.45529999999999998</v>
      </c>
      <c r="BQ700" s="59">
        <v>0.11260000000000001</v>
      </c>
      <c r="BR700" s="59">
        <v>1.5100000000000001E-2</v>
      </c>
      <c r="BS700" s="59">
        <v>0</v>
      </c>
      <c r="BT700" s="49">
        <v>13.7</v>
      </c>
      <c r="BU700" s="59">
        <f t="shared" si="52"/>
        <v>0.64270000000000005</v>
      </c>
      <c r="BV700" s="59">
        <v>5.2999999999999999E-2</v>
      </c>
      <c r="BW700" s="59">
        <v>0</v>
      </c>
      <c r="BX700" s="59">
        <v>3.0599999999999999E-2</v>
      </c>
      <c r="BY700" s="59">
        <v>1.1000000000000001E-3</v>
      </c>
      <c r="BZ700" s="59">
        <v>1.5299999999999999E-2</v>
      </c>
      <c r="CA700" s="49">
        <v>17.600000000000001</v>
      </c>
      <c r="CB700" s="59">
        <f t="shared" si="53"/>
        <v>9.9999999999999992E-2</v>
      </c>
      <c r="CC700" s="59">
        <v>0.30349999999999999</v>
      </c>
      <c r="CD700" s="59">
        <v>0.50049999999999994</v>
      </c>
      <c r="CE700" s="59">
        <v>0.16450000000000001</v>
      </c>
      <c r="CF700" s="59">
        <v>1.6199999999999999E-2</v>
      </c>
      <c r="CG700" s="59">
        <v>1.5299999999999999E-2</v>
      </c>
      <c r="CH700" s="49">
        <v>13.3</v>
      </c>
      <c r="CI700" s="25" t="s">
        <v>150</v>
      </c>
      <c r="CJ700" s="18" t="s">
        <v>489</v>
      </c>
      <c r="CK700" s="20"/>
    </row>
    <row r="701" spans="1:89" x14ac:dyDescent="0.25">
      <c r="A701" s="18" t="s">
        <v>489</v>
      </c>
      <c r="B701" s="26" t="s">
        <v>151</v>
      </c>
      <c r="C701" s="25" t="s">
        <v>152</v>
      </c>
      <c r="D701" s="6">
        <v>0</v>
      </c>
      <c r="E701" s="40" t="s">
        <v>83</v>
      </c>
      <c r="F701" s="6">
        <v>0</v>
      </c>
      <c r="G701" s="162" t="s">
        <v>83</v>
      </c>
      <c r="H701" s="162" t="s">
        <v>83</v>
      </c>
      <c r="I701" s="163">
        <v>0</v>
      </c>
      <c r="J701" s="163">
        <v>0</v>
      </c>
      <c r="K701" s="163">
        <v>0</v>
      </c>
      <c r="L701" s="163">
        <v>0</v>
      </c>
      <c r="M701" s="163">
        <v>0</v>
      </c>
      <c r="N701" s="115">
        <v>0</v>
      </c>
      <c r="O701" s="115">
        <v>0</v>
      </c>
      <c r="P701" s="116" t="s">
        <v>83</v>
      </c>
      <c r="Q701" s="116" t="s">
        <v>83</v>
      </c>
      <c r="R701" s="115">
        <v>0</v>
      </c>
      <c r="S701" s="115">
        <v>0</v>
      </c>
      <c r="T701" s="115">
        <v>0</v>
      </c>
      <c r="U701" s="115">
        <v>0</v>
      </c>
      <c r="V701" s="115">
        <v>0</v>
      </c>
      <c r="W701" s="6">
        <v>444</v>
      </c>
      <c r="X701" s="40">
        <f t="shared" si="50"/>
        <v>444</v>
      </c>
      <c r="Y701" s="40">
        <f t="shared" si="51"/>
        <v>444</v>
      </c>
      <c r="Z701" s="59">
        <v>0.51580000000000004</v>
      </c>
      <c r="AA701" s="59">
        <v>0.48420000000000002</v>
      </c>
      <c r="AB701" s="61">
        <v>0</v>
      </c>
      <c r="AC701" s="61">
        <v>6.7567567567567571E-3</v>
      </c>
      <c r="AD701" s="61">
        <v>0.16441441441441443</v>
      </c>
      <c r="AE701" s="61">
        <v>2.4774774774774775E-2</v>
      </c>
      <c r="AF701" s="61">
        <v>2.2522522522522522E-3</v>
      </c>
      <c r="AG701" s="61">
        <v>0.78828828828828834</v>
      </c>
      <c r="AH701" s="61">
        <v>1.3513513513513514E-2</v>
      </c>
      <c r="AI701" s="61">
        <v>0.21171171171171171</v>
      </c>
      <c r="AJ701" s="59">
        <v>0.67800000000000005</v>
      </c>
      <c r="AK701" s="59">
        <v>4.4999999999999997E-3</v>
      </c>
      <c r="AL701" s="3">
        <v>0</v>
      </c>
      <c r="AM701" s="3">
        <v>0</v>
      </c>
      <c r="AN701" s="3">
        <v>5</v>
      </c>
      <c r="AO701" s="3">
        <v>130</v>
      </c>
      <c r="AP701" s="3">
        <v>108</v>
      </c>
      <c r="AQ701" s="3">
        <v>124</v>
      </c>
      <c r="AR701" s="3">
        <v>77</v>
      </c>
      <c r="AS701" s="59">
        <v>3.7037037037037035E-2</v>
      </c>
      <c r="AT701" s="3">
        <v>9</v>
      </c>
      <c r="AU701" s="3">
        <v>6</v>
      </c>
      <c r="AV701" s="49">
        <v>80.727272727272705</v>
      </c>
      <c r="AW701" s="49">
        <v>18.909090909090899</v>
      </c>
      <c r="AX701" s="49">
        <v>0.36363636363636398</v>
      </c>
      <c r="AY701" s="67">
        <v>0</v>
      </c>
      <c r="AZ701" s="62">
        <v>0.16595744680851063</v>
      </c>
      <c r="BA701" s="62">
        <v>8.5106382978723406E-3</v>
      </c>
      <c r="BB701" s="77">
        <v>94.277399812867699</v>
      </c>
      <c r="BC701" s="49">
        <v>14.468085106383</v>
      </c>
      <c r="BD701" s="90" t="s">
        <v>83</v>
      </c>
      <c r="BE701" s="90" t="s">
        <v>83</v>
      </c>
      <c r="BF701" s="87">
        <v>8.3000000000000007</v>
      </c>
      <c r="BG701" s="87">
        <v>4</v>
      </c>
      <c r="BH701" s="87">
        <v>2.7</v>
      </c>
      <c r="BI701" s="87">
        <v>1.4</v>
      </c>
      <c r="BJ701" s="49">
        <v>19.3</v>
      </c>
      <c r="BK701" s="129">
        <v>12230</v>
      </c>
      <c r="BL701" s="129">
        <v>45085</v>
      </c>
      <c r="BM701" s="129">
        <v>34869</v>
      </c>
      <c r="BN701" s="129">
        <v>38188</v>
      </c>
      <c r="BO701" s="59">
        <v>0</v>
      </c>
      <c r="BP701" s="59">
        <v>0.33360000000000001</v>
      </c>
      <c r="BQ701" s="59">
        <v>0.26690000000000003</v>
      </c>
      <c r="BR701" s="59">
        <v>0</v>
      </c>
      <c r="BS701" s="59">
        <v>1.67E-2</v>
      </c>
      <c r="BT701" s="49">
        <v>13.8</v>
      </c>
      <c r="BU701" s="59">
        <f t="shared" si="52"/>
        <v>0.61720000000000008</v>
      </c>
      <c r="BV701" s="59">
        <v>3.3300000000000003E-2</v>
      </c>
      <c r="BW701" s="59">
        <v>0</v>
      </c>
      <c r="BX701" s="59">
        <v>1.67E-2</v>
      </c>
      <c r="BY701" s="59">
        <v>0</v>
      </c>
      <c r="BZ701" s="59">
        <v>0</v>
      </c>
      <c r="CA701" s="49">
        <v>15.7</v>
      </c>
      <c r="CB701" s="59">
        <f t="shared" si="53"/>
        <v>0.05</v>
      </c>
      <c r="CC701" s="59">
        <v>0.30380000000000001</v>
      </c>
      <c r="CD701" s="59">
        <v>0.34849999999999998</v>
      </c>
      <c r="CE701" s="59">
        <v>0.33110000000000001</v>
      </c>
      <c r="CF701" s="59">
        <v>0</v>
      </c>
      <c r="CG701" s="59">
        <v>1.67E-2</v>
      </c>
      <c r="CH701" s="49">
        <v>12.8</v>
      </c>
      <c r="CI701" s="25" t="s">
        <v>152</v>
      </c>
      <c r="CJ701" s="18" t="s">
        <v>489</v>
      </c>
      <c r="CK701" s="20"/>
    </row>
    <row r="702" spans="1:89" x14ac:dyDescent="0.25">
      <c r="A702" s="18" t="s">
        <v>489</v>
      </c>
      <c r="B702" s="26" t="s">
        <v>153</v>
      </c>
      <c r="C702" s="25" t="s">
        <v>154</v>
      </c>
      <c r="D702" s="6">
        <v>3</v>
      </c>
      <c r="E702" s="6">
        <v>0</v>
      </c>
      <c r="F702" s="6">
        <v>3</v>
      </c>
      <c r="G702" s="163">
        <v>0</v>
      </c>
      <c r="H702" s="163">
        <v>0</v>
      </c>
      <c r="I702" s="162" t="s">
        <v>83</v>
      </c>
      <c r="J702" s="163">
        <v>0</v>
      </c>
      <c r="K702" s="163">
        <v>2</v>
      </c>
      <c r="L702" s="163">
        <v>0</v>
      </c>
      <c r="M702" s="163">
        <v>1</v>
      </c>
      <c r="N702" s="115">
        <v>8.8757396449704092E-3</v>
      </c>
      <c r="O702" s="115">
        <v>1.4018691588785E-2</v>
      </c>
      <c r="P702" s="115">
        <v>0</v>
      </c>
      <c r="Q702" s="115">
        <v>0</v>
      </c>
      <c r="R702" s="116" t="s">
        <v>83</v>
      </c>
      <c r="S702" s="115">
        <v>0</v>
      </c>
      <c r="T702" s="115">
        <v>3.3333333333333298E-2</v>
      </c>
      <c r="U702" s="115">
        <v>0</v>
      </c>
      <c r="V702" s="115">
        <v>2.4390243902439001E-2</v>
      </c>
      <c r="W702" s="6">
        <v>748</v>
      </c>
      <c r="X702" s="40">
        <f t="shared" si="50"/>
        <v>205</v>
      </c>
      <c r="Y702" s="40">
        <f t="shared" si="51"/>
        <v>323</v>
      </c>
      <c r="Z702" s="59">
        <v>0.49199999999999999</v>
      </c>
      <c r="AA702" s="59">
        <v>0.50800000000000001</v>
      </c>
      <c r="AB702" s="61">
        <v>1.3368983957219251E-3</v>
      </c>
      <c r="AC702" s="61">
        <v>8.0213903743315516E-3</v>
      </c>
      <c r="AD702" s="61">
        <v>9.3582887700534752E-3</v>
      </c>
      <c r="AE702" s="61">
        <v>8.155080213903744E-2</v>
      </c>
      <c r="AF702" s="61">
        <v>0</v>
      </c>
      <c r="AG702" s="61">
        <v>0.8796791443850267</v>
      </c>
      <c r="AH702" s="61">
        <v>2.0053475935828877E-2</v>
      </c>
      <c r="AI702" s="61">
        <v>0.12032085561497326</v>
      </c>
      <c r="AJ702" s="59">
        <v>0.46500000000000002</v>
      </c>
      <c r="AK702" s="59">
        <v>5.3E-3</v>
      </c>
      <c r="AL702" s="3">
        <v>55</v>
      </c>
      <c r="AM702" s="3">
        <v>63</v>
      </c>
      <c r="AN702" s="3">
        <v>0</v>
      </c>
      <c r="AO702" s="3">
        <v>55</v>
      </c>
      <c r="AP702" s="3">
        <v>56</v>
      </c>
      <c r="AQ702" s="3">
        <v>55</v>
      </c>
      <c r="AR702" s="3">
        <v>39</v>
      </c>
      <c r="AS702" s="59">
        <v>0</v>
      </c>
      <c r="AT702" s="3">
        <v>1</v>
      </c>
      <c r="AU702" s="3">
        <v>6</v>
      </c>
      <c r="AV702" s="49">
        <v>82.727272727272705</v>
      </c>
      <c r="AW702" s="49">
        <v>16.590909090909101</v>
      </c>
      <c r="AX702" s="49">
        <v>0.68181818181818199</v>
      </c>
      <c r="AY702" s="67">
        <v>0</v>
      </c>
      <c r="AZ702" s="62">
        <v>1.5037593984962405E-2</v>
      </c>
      <c r="BA702" s="62">
        <v>8.771929824561403E-3</v>
      </c>
      <c r="BB702" s="78">
        <v>95.356395371796395</v>
      </c>
      <c r="BC702" s="49">
        <v>17.815344603381</v>
      </c>
      <c r="BD702" s="87">
        <v>1.8</v>
      </c>
      <c r="BE702" s="87">
        <v>0</v>
      </c>
      <c r="BF702" s="87">
        <v>0</v>
      </c>
      <c r="BG702" s="87">
        <v>0</v>
      </c>
      <c r="BH702" s="87">
        <v>0</v>
      </c>
      <c r="BI702" s="87">
        <v>2.6</v>
      </c>
      <c r="BJ702" s="49">
        <v>20.7</v>
      </c>
      <c r="BK702" s="129">
        <v>14597</v>
      </c>
      <c r="BL702" s="129">
        <v>46255</v>
      </c>
      <c r="BM702" s="129">
        <v>46213</v>
      </c>
      <c r="BN702" s="129">
        <v>39433</v>
      </c>
      <c r="BO702" s="59">
        <v>0</v>
      </c>
      <c r="BP702" s="59">
        <v>0.41589999999999999</v>
      </c>
      <c r="BQ702" s="59">
        <v>0.1263</v>
      </c>
      <c r="BR702" s="59">
        <v>0</v>
      </c>
      <c r="BS702" s="59">
        <v>0</v>
      </c>
      <c r="BT702" s="49">
        <v>12.3</v>
      </c>
      <c r="BU702" s="59">
        <f t="shared" si="52"/>
        <v>0.54220000000000002</v>
      </c>
      <c r="BV702" s="59">
        <v>3.7199999999999997E-2</v>
      </c>
      <c r="BW702" s="59">
        <v>0</v>
      </c>
      <c r="BX702" s="59">
        <v>2.53E-2</v>
      </c>
      <c r="BY702" s="59">
        <v>0</v>
      </c>
      <c r="BZ702" s="59">
        <v>9.2999999999999992E-3</v>
      </c>
      <c r="CA702" s="49">
        <v>17.8</v>
      </c>
      <c r="CB702" s="59">
        <f t="shared" si="53"/>
        <v>7.1800000000000003E-2</v>
      </c>
      <c r="CC702" s="59">
        <v>0.3493</v>
      </c>
      <c r="CD702" s="59">
        <v>0.44550000000000001</v>
      </c>
      <c r="CE702" s="59">
        <v>0.19589999999999999</v>
      </c>
      <c r="CF702" s="59">
        <v>0</v>
      </c>
      <c r="CG702" s="59">
        <v>9.2999999999999992E-3</v>
      </c>
      <c r="CH702" s="49">
        <v>12.9</v>
      </c>
      <c r="CI702" s="25" t="s">
        <v>154</v>
      </c>
      <c r="CJ702" s="18" t="s">
        <v>489</v>
      </c>
      <c r="CK702" s="20"/>
    </row>
    <row r="703" spans="1:89" x14ac:dyDescent="0.25">
      <c r="A703" s="18" t="s">
        <v>489</v>
      </c>
      <c r="B703" s="26" t="s">
        <v>153</v>
      </c>
      <c r="C703" s="25" t="s">
        <v>155</v>
      </c>
      <c r="D703" s="6">
        <v>1</v>
      </c>
      <c r="E703" s="6">
        <v>0</v>
      </c>
      <c r="F703" s="6">
        <v>1</v>
      </c>
      <c r="G703" s="163">
        <v>0</v>
      </c>
      <c r="H703" s="163">
        <v>0</v>
      </c>
      <c r="I703" s="162" t="s">
        <v>83</v>
      </c>
      <c r="J703" s="163">
        <v>0</v>
      </c>
      <c r="K703" s="163">
        <v>0</v>
      </c>
      <c r="L703" s="163">
        <v>1</v>
      </c>
      <c r="M703" s="163">
        <v>0</v>
      </c>
      <c r="N703" s="115">
        <v>9.2592592592592605E-3</v>
      </c>
      <c r="O703" s="115">
        <v>1.2345679012345699E-2</v>
      </c>
      <c r="P703" s="115">
        <v>0</v>
      </c>
      <c r="Q703" s="115">
        <v>0</v>
      </c>
      <c r="R703" s="116" t="s">
        <v>83</v>
      </c>
      <c r="S703" s="115">
        <v>0</v>
      </c>
      <c r="T703" s="115">
        <v>0</v>
      </c>
      <c r="U703" s="115">
        <v>8.3333333333333301E-2</v>
      </c>
      <c r="V703" s="115">
        <v>0</v>
      </c>
      <c r="W703" s="6">
        <v>223</v>
      </c>
      <c r="X703" s="40">
        <f t="shared" si="50"/>
        <v>70</v>
      </c>
      <c r="Y703" s="40">
        <f t="shared" si="51"/>
        <v>93</v>
      </c>
      <c r="Z703" s="59">
        <v>0.39910000000000001</v>
      </c>
      <c r="AA703" s="59">
        <v>0.60089999999999999</v>
      </c>
      <c r="AB703" s="61">
        <v>4.4843049327354259E-3</v>
      </c>
      <c r="AC703" s="61">
        <v>0</v>
      </c>
      <c r="AD703" s="61">
        <v>4.4843049327354259E-3</v>
      </c>
      <c r="AE703" s="61">
        <v>4.4843049327354259E-3</v>
      </c>
      <c r="AF703" s="61">
        <v>0</v>
      </c>
      <c r="AG703" s="61">
        <v>0.98654708520179368</v>
      </c>
      <c r="AH703" s="61">
        <v>0</v>
      </c>
      <c r="AI703" s="61">
        <v>1.3452914798206279E-2</v>
      </c>
      <c r="AJ703" s="59">
        <v>0.55600000000000005</v>
      </c>
      <c r="AK703" s="59">
        <v>0</v>
      </c>
      <c r="AL703" s="3">
        <v>11</v>
      </c>
      <c r="AM703" s="3">
        <v>12</v>
      </c>
      <c r="AN703" s="3">
        <v>0</v>
      </c>
      <c r="AO703" s="3">
        <v>15</v>
      </c>
      <c r="AP703" s="3">
        <v>22</v>
      </c>
      <c r="AQ703" s="3">
        <v>11</v>
      </c>
      <c r="AR703" s="3">
        <v>22</v>
      </c>
      <c r="AS703" s="59">
        <v>0</v>
      </c>
      <c r="AT703" s="3">
        <v>1</v>
      </c>
      <c r="AU703" s="3">
        <v>6</v>
      </c>
      <c r="AV703" s="49">
        <v>94.578313253011999</v>
      </c>
      <c r="AW703" s="49">
        <v>5.4216867469879499</v>
      </c>
      <c r="AX703" s="49">
        <v>0</v>
      </c>
      <c r="AY703" s="67">
        <v>0</v>
      </c>
      <c r="AZ703" s="62">
        <v>1.5037593984962405E-2</v>
      </c>
      <c r="BA703" s="62">
        <v>4.5112781954887216E-2</v>
      </c>
      <c r="BB703" s="77">
        <v>93.878261971117297</v>
      </c>
      <c r="BC703" s="49">
        <v>19.421487603305799</v>
      </c>
      <c r="BD703" s="87">
        <v>7.7</v>
      </c>
      <c r="BE703" s="87">
        <v>0</v>
      </c>
      <c r="BF703" s="87">
        <v>12.5</v>
      </c>
      <c r="BG703" s="87">
        <v>0</v>
      </c>
      <c r="BH703" s="87">
        <v>0</v>
      </c>
      <c r="BI703" s="87">
        <v>4.8</v>
      </c>
      <c r="BJ703" s="49">
        <v>18.3</v>
      </c>
      <c r="BK703" s="129">
        <v>18594</v>
      </c>
      <c r="BL703" s="129">
        <v>48428</v>
      </c>
      <c r="BM703" s="129">
        <v>42826</v>
      </c>
      <c r="BN703" s="129">
        <v>40077</v>
      </c>
      <c r="BO703" s="59">
        <v>0</v>
      </c>
      <c r="BP703" s="59">
        <v>0.4229</v>
      </c>
      <c r="BQ703" s="59">
        <v>0.1147</v>
      </c>
      <c r="BR703" s="59">
        <v>0</v>
      </c>
      <c r="BS703" s="59">
        <v>0</v>
      </c>
      <c r="BT703" s="49">
        <v>16</v>
      </c>
      <c r="BU703" s="59">
        <f t="shared" si="52"/>
        <v>0.53759999999999997</v>
      </c>
      <c r="BV703" s="59">
        <v>4.2700000000000002E-2</v>
      </c>
      <c r="BW703" s="59">
        <v>0</v>
      </c>
      <c r="BX703" s="59">
        <v>4.3499999999999997E-2</v>
      </c>
      <c r="BY703" s="59">
        <v>0</v>
      </c>
      <c r="BZ703" s="59">
        <v>0</v>
      </c>
      <c r="CA703" s="49">
        <v>10.6</v>
      </c>
      <c r="CB703" s="59">
        <f t="shared" si="53"/>
        <v>8.6199999999999999E-2</v>
      </c>
      <c r="CC703" s="59">
        <v>0.33110000000000001</v>
      </c>
      <c r="CD703" s="59">
        <v>0.48270000000000002</v>
      </c>
      <c r="CE703" s="59">
        <v>0.1643</v>
      </c>
      <c r="CF703" s="59">
        <v>2.1999999999999999E-2</v>
      </c>
      <c r="CG703" s="59">
        <v>0</v>
      </c>
      <c r="CH703" s="49">
        <v>15</v>
      </c>
      <c r="CI703" s="25" t="s">
        <v>155</v>
      </c>
      <c r="CJ703" s="18" t="s">
        <v>489</v>
      </c>
      <c r="CK703" s="20"/>
    </row>
    <row r="704" spans="1:89" x14ac:dyDescent="0.25">
      <c r="A704" s="18" t="s">
        <v>489</v>
      </c>
      <c r="B704" s="26" t="s">
        <v>153</v>
      </c>
      <c r="C704" s="25" t="s">
        <v>156</v>
      </c>
      <c r="D704" s="6">
        <v>0</v>
      </c>
      <c r="E704" s="6">
        <v>0</v>
      </c>
      <c r="F704" s="6">
        <v>0</v>
      </c>
      <c r="G704" s="163">
        <v>0</v>
      </c>
      <c r="H704" s="163">
        <v>0</v>
      </c>
      <c r="I704" s="162" t="s">
        <v>83</v>
      </c>
      <c r="J704" s="163">
        <v>0</v>
      </c>
      <c r="K704" s="163">
        <v>0</v>
      </c>
      <c r="L704" s="163">
        <v>0</v>
      </c>
      <c r="M704" s="163">
        <v>0</v>
      </c>
      <c r="N704" s="115">
        <v>0</v>
      </c>
      <c r="O704" s="115">
        <v>0</v>
      </c>
      <c r="P704" s="115">
        <v>0</v>
      </c>
      <c r="Q704" s="115">
        <v>0</v>
      </c>
      <c r="R704" s="116" t="s">
        <v>83</v>
      </c>
      <c r="S704" s="115">
        <v>0</v>
      </c>
      <c r="T704" s="115">
        <v>0</v>
      </c>
      <c r="U704" s="115">
        <v>0</v>
      </c>
      <c r="V704" s="115">
        <v>0</v>
      </c>
      <c r="W704" s="6">
        <v>108</v>
      </c>
      <c r="X704" s="40">
        <f t="shared" si="50"/>
        <v>24</v>
      </c>
      <c r="Y704" s="40">
        <f t="shared" si="51"/>
        <v>38</v>
      </c>
      <c r="Z704" s="59">
        <v>0.48149999999999998</v>
      </c>
      <c r="AA704" s="59">
        <v>0.51849999999999996</v>
      </c>
      <c r="AB704" s="61">
        <v>0</v>
      </c>
      <c r="AC704" s="61">
        <v>0</v>
      </c>
      <c r="AD704" s="61">
        <v>9.2592592592592587E-3</v>
      </c>
      <c r="AE704" s="61">
        <v>4.6296296296296294E-2</v>
      </c>
      <c r="AF704" s="61">
        <v>0</v>
      </c>
      <c r="AG704" s="61">
        <v>0.89814814814814814</v>
      </c>
      <c r="AH704" s="61">
        <v>4.6296296296296294E-2</v>
      </c>
      <c r="AI704" s="61">
        <v>0.10185185185185185</v>
      </c>
      <c r="AJ704" s="59">
        <v>0.32400000000000001</v>
      </c>
      <c r="AK704" s="59">
        <v>0</v>
      </c>
      <c r="AL704" s="3">
        <v>5</v>
      </c>
      <c r="AM704" s="3">
        <v>9</v>
      </c>
      <c r="AN704" s="3">
        <v>0</v>
      </c>
      <c r="AO704" s="3">
        <v>5</v>
      </c>
      <c r="AP704" s="3">
        <v>7</v>
      </c>
      <c r="AQ704" s="3">
        <v>7</v>
      </c>
      <c r="AR704" s="3">
        <v>5</v>
      </c>
      <c r="AS704" s="59">
        <v>0</v>
      </c>
      <c r="AT704" s="3">
        <v>1</v>
      </c>
      <c r="AU704" s="3">
        <v>6</v>
      </c>
      <c r="AV704" s="49">
        <v>100</v>
      </c>
      <c r="AW704" s="49">
        <v>0</v>
      </c>
      <c r="AX704" s="49">
        <v>0</v>
      </c>
      <c r="AY704" s="67">
        <v>0</v>
      </c>
      <c r="AZ704" s="62">
        <v>1.4184397163120567E-2</v>
      </c>
      <c r="BA704" s="62">
        <v>0</v>
      </c>
      <c r="BB704" s="78">
        <v>94.498329907502594</v>
      </c>
      <c r="BC704" s="49">
        <v>21.2121212121212</v>
      </c>
      <c r="BD704" s="87">
        <v>0</v>
      </c>
      <c r="BE704" s="87">
        <v>0</v>
      </c>
      <c r="BF704" s="87">
        <v>0</v>
      </c>
      <c r="BG704" s="87">
        <v>0</v>
      </c>
      <c r="BH704" s="87">
        <v>0</v>
      </c>
      <c r="BI704" s="87">
        <v>0</v>
      </c>
      <c r="BJ704" s="49"/>
      <c r="BK704" s="129">
        <v>26955</v>
      </c>
      <c r="BL704" s="129">
        <v>47011</v>
      </c>
      <c r="BM704" s="129">
        <v>59481</v>
      </c>
      <c r="BN704" s="129">
        <v>41978</v>
      </c>
      <c r="BO704" s="59">
        <v>0</v>
      </c>
      <c r="BP704" s="59">
        <v>0.44400000000000001</v>
      </c>
      <c r="BQ704" s="59">
        <v>0.12280000000000001</v>
      </c>
      <c r="BR704" s="59">
        <v>0</v>
      </c>
      <c r="BS704" s="59">
        <v>0</v>
      </c>
      <c r="BT704" s="49">
        <v>15</v>
      </c>
      <c r="BU704" s="59">
        <f t="shared" si="52"/>
        <v>0.56679999999999997</v>
      </c>
      <c r="BV704" s="59">
        <v>2.6800000000000001E-2</v>
      </c>
      <c r="BW704" s="59">
        <v>0</v>
      </c>
      <c r="BX704" s="59">
        <v>5.1200000000000002E-2</v>
      </c>
      <c r="BY704" s="59">
        <v>0</v>
      </c>
      <c r="BZ704" s="59">
        <v>0</v>
      </c>
      <c r="CA704" s="49">
        <v>30.6</v>
      </c>
      <c r="CB704" s="59">
        <f t="shared" si="53"/>
        <v>7.8E-2</v>
      </c>
      <c r="CC704" s="59">
        <v>0.30299999999999999</v>
      </c>
      <c r="CD704" s="59">
        <v>0.45739999999999997</v>
      </c>
      <c r="CE704" s="59">
        <v>0.23960000000000001</v>
      </c>
      <c r="CF704" s="59">
        <v>0</v>
      </c>
      <c r="CG704" s="59">
        <v>0</v>
      </c>
      <c r="CH704" s="49">
        <v>15.4</v>
      </c>
      <c r="CI704" s="25" t="s">
        <v>156</v>
      </c>
      <c r="CJ704" s="18" t="s">
        <v>489</v>
      </c>
      <c r="CK704" s="20"/>
    </row>
    <row r="705" spans="1:99" x14ac:dyDescent="0.25">
      <c r="A705" s="18" t="s">
        <v>489</v>
      </c>
      <c r="B705" s="26" t="s">
        <v>153</v>
      </c>
      <c r="C705" s="25" t="s">
        <v>157</v>
      </c>
      <c r="D705" s="6">
        <v>2</v>
      </c>
      <c r="E705" s="6">
        <v>0</v>
      </c>
      <c r="F705" s="6">
        <v>2</v>
      </c>
      <c r="G705" s="163">
        <v>0</v>
      </c>
      <c r="H705" s="163">
        <v>0</v>
      </c>
      <c r="I705" s="163">
        <v>0</v>
      </c>
      <c r="J705" s="163">
        <v>1</v>
      </c>
      <c r="K705" s="163">
        <v>1</v>
      </c>
      <c r="L705" s="163">
        <v>0</v>
      </c>
      <c r="M705" s="163">
        <v>0</v>
      </c>
      <c r="N705" s="115">
        <v>1.3157894736842099E-2</v>
      </c>
      <c r="O705" s="115">
        <v>1.9047619047619001E-2</v>
      </c>
      <c r="P705" s="115">
        <v>0</v>
      </c>
      <c r="Q705" s="115">
        <v>0</v>
      </c>
      <c r="R705" s="115">
        <v>0</v>
      </c>
      <c r="S705" s="115">
        <v>4.5454545454545497E-2</v>
      </c>
      <c r="T705" s="115">
        <v>2.8571428571428598E-2</v>
      </c>
      <c r="U705" s="115">
        <v>0</v>
      </c>
      <c r="V705" s="115">
        <v>0</v>
      </c>
      <c r="W705" s="6">
        <v>278</v>
      </c>
      <c r="X705" s="40">
        <f t="shared" ref="X705:X769" si="54">SUM(AN705:AR705)</f>
        <v>101</v>
      </c>
      <c r="Y705" s="40">
        <f t="shared" ref="Y705:Y769" si="55">SUM(AL705:AR705)</f>
        <v>143</v>
      </c>
      <c r="Z705" s="59">
        <v>0.5504</v>
      </c>
      <c r="AA705" s="59">
        <v>0.4496</v>
      </c>
      <c r="AB705" s="61">
        <v>3.5971223021582736E-3</v>
      </c>
      <c r="AC705" s="61">
        <v>0</v>
      </c>
      <c r="AD705" s="61">
        <v>3.237410071942446E-2</v>
      </c>
      <c r="AE705" s="61">
        <v>4.6762589928057555E-2</v>
      </c>
      <c r="AF705" s="61">
        <v>0</v>
      </c>
      <c r="AG705" s="61">
        <v>0.86690647482014394</v>
      </c>
      <c r="AH705" s="61">
        <v>5.0359712230215826E-2</v>
      </c>
      <c r="AI705" s="61">
        <v>0.13309352517985612</v>
      </c>
      <c r="AJ705" s="59">
        <v>0.52500000000000002</v>
      </c>
      <c r="AK705" s="59">
        <v>1.7999999999999999E-2</v>
      </c>
      <c r="AL705" s="3">
        <v>28</v>
      </c>
      <c r="AM705" s="3">
        <v>14</v>
      </c>
      <c r="AN705" s="3">
        <v>1</v>
      </c>
      <c r="AO705" s="3">
        <v>20</v>
      </c>
      <c r="AP705" s="3">
        <v>35</v>
      </c>
      <c r="AQ705" s="3">
        <v>19</v>
      </c>
      <c r="AR705" s="3">
        <v>26</v>
      </c>
      <c r="AS705" s="59">
        <v>4.7619047619047616E-2</v>
      </c>
      <c r="AT705" s="3">
        <v>1</v>
      </c>
      <c r="AU705" s="3">
        <v>6</v>
      </c>
      <c r="AV705" s="49">
        <v>94.897959183673493</v>
      </c>
      <c r="AW705" s="49">
        <v>4.5918367346938798</v>
      </c>
      <c r="AX705" s="49">
        <v>0.51020408163265307</v>
      </c>
      <c r="AY705" s="67">
        <v>0</v>
      </c>
      <c r="AZ705" s="62">
        <v>8.143322475570032E-2</v>
      </c>
      <c r="BA705" s="62">
        <v>4.2345276872964167E-2</v>
      </c>
      <c r="BB705" s="77">
        <v>93.561722438121095</v>
      </c>
      <c r="BC705" s="49">
        <v>20.8333333333333</v>
      </c>
      <c r="BD705" s="87">
        <v>0</v>
      </c>
      <c r="BE705" s="87">
        <v>7.1</v>
      </c>
      <c r="BF705" s="87">
        <v>0</v>
      </c>
      <c r="BG705" s="87">
        <v>0</v>
      </c>
      <c r="BH705" s="87">
        <v>0</v>
      </c>
      <c r="BI705" s="87">
        <v>0</v>
      </c>
      <c r="BJ705" s="49">
        <v>18</v>
      </c>
      <c r="BK705" s="129">
        <v>19790</v>
      </c>
      <c r="BL705" s="129">
        <v>49127</v>
      </c>
      <c r="BM705" s="129">
        <v>47407</v>
      </c>
      <c r="BN705" s="129">
        <v>38724</v>
      </c>
      <c r="BO705" s="59">
        <v>0</v>
      </c>
      <c r="BP705" s="59">
        <v>0.373</v>
      </c>
      <c r="BQ705" s="59">
        <v>0.14430000000000001</v>
      </c>
      <c r="BR705" s="59">
        <v>0</v>
      </c>
      <c r="BS705" s="59">
        <v>0</v>
      </c>
      <c r="BT705" s="49">
        <v>16.899999999999999</v>
      </c>
      <c r="BU705" s="59">
        <f t="shared" si="52"/>
        <v>0.51729999999999998</v>
      </c>
      <c r="BV705" s="59">
        <v>3.1399999999999997E-2</v>
      </c>
      <c r="BW705" s="59">
        <v>0</v>
      </c>
      <c r="BX705" s="59">
        <v>3.1800000000000002E-2</v>
      </c>
      <c r="BY705" s="59">
        <v>0</v>
      </c>
      <c r="BZ705" s="59">
        <v>0</v>
      </c>
      <c r="CA705" s="49">
        <v>19.2</v>
      </c>
      <c r="CB705" s="59">
        <f t="shared" si="53"/>
        <v>6.3200000000000006E-2</v>
      </c>
      <c r="CC705" s="59">
        <v>0.37680000000000002</v>
      </c>
      <c r="CD705" s="59">
        <v>0.42959999999999998</v>
      </c>
      <c r="CE705" s="59">
        <v>0.19359999999999999</v>
      </c>
      <c r="CF705" s="59">
        <v>0</v>
      </c>
      <c r="CG705" s="59">
        <v>0</v>
      </c>
      <c r="CH705" s="49">
        <v>16.899999999999999</v>
      </c>
      <c r="CI705" s="25" t="s">
        <v>157</v>
      </c>
      <c r="CJ705" s="18" t="s">
        <v>489</v>
      </c>
      <c r="CK705" s="20"/>
    </row>
    <row r="706" spans="1:99" x14ac:dyDescent="0.25">
      <c r="A706" s="18" t="s">
        <v>489</v>
      </c>
      <c r="B706" s="26" t="s">
        <v>158</v>
      </c>
      <c r="C706" s="25" t="s">
        <v>159</v>
      </c>
      <c r="D706" s="6">
        <v>3</v>
      </c>
      <c r="E706" s="6">
        <v>2</v>
      </c>
      <c r="F706" s="6">
        <v>1</v>
      </c>
      <c r="G706" s="162" t="s">
        <v>83</v>
      </c>
      <c r="H706" s="163">
        <v>2</v>
      </c>
      <c r="I706" s="162" t="s">
        <v>83</v>
      </c>
      <c r="J706" s="163">
        <v>1</v>
      </c>
      <c r="K706" s="163">
        <v>0</v>
      </c>
      <c r="L706" s="163">
        <v>0</v>
      </c>
      <c r="M706" s="163">
        <v>0</v>
      </c>
      <c r="N706" s="115">
        <v>1.18577075098814E-2</v>
      </c>
      <c r="O706" s="115">
        <v>5.0251256281407001E-3</v>
      </c>
      <c r="P706" s="116" t="s">
        <v>83</v>
      </c>
      <c r="Q706" s="115">
        <v>3.7037037037037E-2</v>
      </c>
      <c r="R706" s="116" t="s">
        <v>83</v>
      </c>
      <c r="S706" s="115">
        <v>1.9230769230769201E-2</v>
      </c>
      <c r="T706" s="115">
        <v>0</v>
      </c>
      <c r="U706" s="115">
        <v>0</v>
      </c>
      <c r="V706" s="115">
        <v>0</v>
      </c>
      <c r="W706" s="6">
        <v>239</v>
      </c>
      <c r="X706" s="40">
        <f t="shared" si="54"/>
        <v>190</v>
      </c>
      <c r="Y706" s="40">
        <f t="shared" si="55"/>
        <v>239</v>
      </c>
      <c r="Z706" s="59">
        <v>0.4728</v>
      </c>
      <c r="AA706" s="59">
        <v>0.5272</v>
      </c>
      <c r="AB706" s="61">
        <v>0</v>
      </c>
      <c r="AC706" s="61">
        <v>8.368200836820083E-3</v>
      </c>
      <c r="AD706" s="61">
        <v>0.59414225941422594</v>
      </c>
      <c r="AE706" s="61">
        <v>8.368200836820083E-3</v>
      </c>
      <c r="AF706" s="61">
        <v>0</v>
      </c>
      <c r="AG706" s="61">
        <v>0.38912133891213391</v>
      </c>
      <c r="AH706" s="61">
        <v>0</v>
      </c>
      <c r="AI706" s="61">
        <v>0.61087866108786615</v>
      </c>
      <c r="AJ706" s="59">
        <v>0.82399999999999995</v>
      </c>
      <c r="AK706" s="59">
        <v>0</v>
      </c>
      <c r="AL706" s="3">
        <v>0</v>
      </c>
      <c r="AM706" s="3">
        <v>49</v>
      </c>
      <c r="AN706" s="3">
        <v>0</v>
      </c>
      <c r="AO706" s="3">
        <v>49</v>
      </c>
      <c r="AP706" s="3">
        <v>53</v>
      </c>
      <c r="AQ706" s="3">
        <v>47</v>
      </c>
      <c r="AR706" s="3">
        <v>41</v>
      </c>
      <c r="AS706" s="59">
        <v>0</v>
      </c>
      <c r="AT706" s="3">
        <v>8</v>
      </c>
      <c r="AU706" s="3">
        <v>6</v>
      </c>
      <c r="AV706" s="49">
        <v>87.5</v>
      </c>
      <c r="AW706" s="49">
        <v>11.363636363636399</v>
      </c>
      <c r="AX706" s="49">
        <v>0.56818181818181801</v>
      </c>
      <c r="AY706" s="67">
        <v>0.56818181818181801</v>
      </c>
      <c r="AZ706" s="62">
        <v>3.9840637450199202E-2</v>
      </c>
      <c r="BA706" s="62">
        <v>0.30677290836653387</v>
      </c>
      <c r="BB706" s="78">
        <v>88.4222590092958</v>
      </c>
      <c r="BC706" s="49">
        <v>52.941176470588204</v>
      </c>
      <c r="BD706" s="90" t="s">
        <v>83</v>
      </c>
      <c r="BE706" s="87">
        <v>0</v>
      </c>
      <c r="BF706" s="87">
        <v>4.0999999999999996</v>
      </c>
      <c r="BG706" s="87">
        <v>0</v>
      </c>
      <c r="BH706" s="87">
        <v>0</v>
      </c>
      <c r="BI706" s="87">
        <v>2.2999999999999998</v>
      </c>
      <c r="BJ706" s="49">
        <v>18</v>
      </c>
      <c r="BK706" s="129">
        <v>12327</v>
      </c>
      <c r="BL706" s="129">
        <v>39457</v>
      </c>
      <c r="BM706" s="129">
        <v>43980</v>
      </c>
      <c r="BN706" s="129">
        <v>30554</v>
      </c>
      <c r="BO706" s="59">
        <v>0</v>
      </c>
      <c r="BP706" s="59">
        <v>0.46650000000000003</v>
      </c>
      <c r="BQ706" s="59">
        <v>6.4500000000000002E-2</v>
      </c>
      <c r="BR706" s="59">
        <v>0</v>
      </c>
      <c r="BS706" s="59">
        <v>0</v>
      </c>
      <c r="BT706" s="49">
        <v>10.9</v>
      </c>
      <c r="BU706" s="59">
        <f t="shared" si="52"/>
        <v>0.53100000000000003</v>
      </c>
      <c r="BV706" s="59">
        <v>1.8800000000000001E-2</v>
      </c>
      <c r="BW706" s="59">
        <v>0</v>
      </c>
      <c r="BX706" s="59">
        <v>2.0899999999999998E-2</v>
      </c>
      <c r="BY706" s="59">
        <v>0</v>
      </c>
      <c r="BZ706" s="59">
        <v>0</v>
      </c>
      <c r="CA706" s="49">
        <v>13.6</v>
      </c>
      <c r="CB706" s="59">
        <f t="shared" si="53"/>
        <v>3.9699999999999999E-2</v>
      </c>
      <c r="CC706" s="59">
        <v>0.40579999999999999</v>
      </c>
      <c r="CD706" s="59">
        <v>0.50890000000000002</v>
      </c>
      <c r="CE706" s="59">
        <v>8.5300000000000001E-2</v>
      </c>
      <c r="CF706" s="59">
        <v>0</v>
      </c>
      <c r="CG706" s="59">
        <v>0</v>
      </c>
      <c r="CH706" s="49">
        <v>7.3</v>
      </c>
      <c r="CI706" s="25" t="s">
        <v>159</v>
      </c>
      <c r="CJ706" s="18" t="s">
        <v>489</v>
      </c>
      <c r="CK706" s="20"/>
    </row>
    <row r="707" spans="1:99" x14ac:dyDescent="0.25">
      <c r="A707" s="18" t="s">
        <v>489</v>
      </c>
      <c r="B707" s="26" t="s">
        <v>158</v>
      </c>
      <c r="C707" s="25" t="s">
        <v>160</v>
      </c>
      <c r="D707" s="6">
        <v>2</v>
      </c>
      <c r="E707" s="6">
        <v>1</v>
      </c>
      <c r="F707" s="6">
        <v>1</v>
      </c>
      <c r="G707" s="163">
        <v>0</v>
      </c>
      <c r="H707" s="163">
        <v>1</v>
      </c>
      <c r="I707" s="162" t="s">
        <v>83</v>
      </c>
      <c r="J707" s="163">
        <v>0</v>
      </c>
      <c r="K707" s="163">
        <v>1</v>
      </c>
      <c r="L707" s="163">
        <v>0</v>
      </c>
      <c r="M707" s="163">
        <v>0</v>
      </c>
      <c r="N707" s="115">
        <v>6.0606060606060601E-2</v>
      </c>
      <c r="O707" s="115">
        <v>5.2631578947368397E-2</v>
      </c>
      <c r="P707" s="115">
        <v>0</v>
      </c>
      <c r="Q707" s="115">
        <v>0.11111111111111099</v>
      </c>
      <c r="R707" s="116" t="s">
        <v>83</v>
      </c>
      <c r="S707" s="115">
        <v>0</v>
      </c>
      <c r="T707" s="115">
        <v>0.33333333333333298</v>
      </c>
      <c r="U707" s="115">
        <v>0</v>
      </c>
      <c r="V707" s="115">
        <v>0</v>
      </c>
      <c r="W707" s="6">
        <v>88</v>
      </c>
      <c r="X707" s="40">
        <f t="shared" si="54"/>
        <v>18</v>
      </c>
      <c r="Y707" s="40">
        <f t="shared" si="55"/>
        <v>31</v>
      </c>
      <c r="Z707" s="59">
        <v>0.5</v>
      </c>
      <c r="AA707" s="59">
        <v>0.5</v>
      </c>
      <c r="AB707" s="61">
        <v>0</v>
      </c>
      <c r="AC707" s="61">
        <v>0</v>
      </c>
      <c r="AD707" s="61">
        <v>2.2727272727272728E-2</v>
      </c>
      <c r="AE707" s="61">
        <v>0</v>
      </c>
      <c r="AF707" s="61">
        <v>0</v>
      </c>
      <c r="AG707" s="61">
        <v>0.95454545454545459</v>
      </c>
      <c r="AH707" s="61">
        <v>2.2727272727272728E-2</v>
      </c>
      <c r="AI707" s="61">
        <v>4.5454545454545456E-2</v>
      </c>
      <c r="AJ707" s="59">
        <v>0.65900000000000003</v>
      </c>
      <c r="AK707" s="59">
        <v>0</v>
      </c>
      <c r="AL707" s="3">
        <v>5</v>
      </c>
      <c r="AM707" s="3">
        <v>8</v>
      </c>
      <c r="AN707" s="3">
        <v>0</v>
      </c>
      <c r="AO707" s="3">
        <v>6</v>
      </c>
      <c r="AP707" s="3">
        <v>3</v>
      </c>
      <c r="AQ707" s="3">
        <v>6</v>
      </c>
      <c r="AR707" s="3">
        <v>3</v>
      </c>
      <c r="AS707" s="59">
        <v>0</v>
      </c>
      <c r="AT707" s="3">
        <v>1</v>
      </c>
      <c r="AU707" s="3">
        <v>6</v>
      </c>
      <c r="AV707" s="49">
        <v>97.468354430379705</v>
      </c>
      <c r="AW707" s="49">
        <v>2.5316455696202498</v>
      </c>
      <c r="AX707" s="49">
        <v>0</v>
      </c>
      <c r="AY707" s="67">
        <v>0</v>
      </c>
      <c r="AZ707" s="62">
        <v>0</v>
      </c>
      <c r="BA707" s="62">
        <v>3.2258064516129031E-2</v>
      </c>
      <c r="BB707" s="77">
        <v>92.257088580876697</v>
      </c>
      <c r="BC707" s="49">
        <v>45.2631578947368</v>
      </c>
      <c r="BD707" s="87">
        <v>0</v>
      </c>
      <c r="BE707" s="87">
        <v>0</v>
      </c>
      <c r="BF707" s="87">
        <v>0</v>
      </c>
      <c r="BG707" s="87">
        <v>0</v>
      </c>
      <c r="BH707" s="87">
        <v>0</v>
      </c>
      <c r="BI707" s="87">
        <v>0</v>
      </c>
      <c r="BJ707" s="49"/>
      <c r="BK707" s="129">
        <v>15256</v>
      </c>
      <c r="BL707" s="129">
        <v>43395</v>
      </c>
      <c r="BM707" s="129">
        <v>37144</v>
      </c>
      <c r="BN707" s="129">
        <v>33438</v>
      </c>
      <c r="BO707" s="59">
        <v>0</v>
      </c>
      <c r="BP707" s="59">
        <v>0.51400000000000001</v>
      </c>
      <c r="BQ707" s="59">
        <v>9.1700000000000004E-2</v>
      </c>
      <c r="BR707" s="59">
        <v>0</v>
      </c>
      <c r="BS707" s="59">
        <v>0</v>
      </c>
      <c r="BT707" s="49">
        <v>24.1</v>
      </c>
      <c r="BU707" s="59">
        <f t="shared" ref="BU707:BU770" si="56">SUM(BO707:BS707)</f>
        <v>0.60570000000000002</v>
      </c>
      <c r="BV707" s="59">
        <v>4.2500000000000003E-2</v>
      </c>
      <c r="BW707" s="59">
        <v>0</v>
      </c>
      <c r="BX707" s="59">
        <v>3.6799999999999999E-2</v>
      </c>
      <c r="BY707" s="59">
        <v>0</v>
      </c>
      <c r="BZ707" s="59">
        <v>0</v>
      </c>
      <c r="CA707" s="49">
        <v>9.1</v>
      </c>
      <c r="CB707" s="59">
        <f t="shared" ref="CB707:CB770" si="57">SUM(BV707:BZ707)</f>
        <v>7.9300000000000009E-2</v>
      </c>
      <c r="CC707" s="59">
        <v>0.35759999999999997</v>
      </c>
      <c r="CD707" s="59">
        <v>0.51400000000000001</v>
      </c>
      <c r="CE707" s="59">
        <v>0.1285</v>
      </c>
      <c r="CF707" s="59">
        <v>0</v>
      </c>
      <c r="CG707" s="59">
        <v>0</v>
      </c>
      <c r="CH707" s="49">
        <v>15.8</v>
      </c>
      <c r="CI707" s="25" t="s">
        <v>160</v>
      </c>
      <c r="CJ707" s="18" t="s">
        <v>489</v>
      </c>
      <c r="CK707" s="20"/>
    </row>
    <row r="708" spans="1:99" x14ac:dyDescent="0.25">
      <c r="A708" s="18" t="s">
        <v>489</v>
      </c>
      <c r="B708" s="26" t="s">
        <v>158</v>
      </c>
      <c r="C708" s="25" t="s">
        <v>161</v>
      </c>
      <c r="D708" s="6">
        <v>3</v>
      </c>
      <c r="E708" s="6">
        <v>2</v>
      </c>
      <c r="F708" s="6">
        <v>1</v>
      </c>
      <c r="G708" s="163">
        <v>2</v>
      </c>
      <c r="H708" s="163">
        <v>0</v>
      </c>
      <c r="I708" s="162" t="s">
        <v>83</v>
      </c>
      <c r="J708" s="163">
        <v>0</v>
      </c>
      <c r="K708" s="163">
        <v>1</v>
      </c>
      <c r="L708" s="163">
        <v>0</v>
      </c>
      <c r="M708" s="163">
        <v>0</v>
      </c>
      <c r="N708" s="115">
        <v>2.01342281879195E-2</v>
      </c>
      <c r="O708" s="115">
        <v>1.03092783505155E-2</v>
      </c>
      <c r="P708" s="115">
        <v>7.69230769230769E-2</v>
      </c>
      <c r="Q708" s="115">
        <v>0</v>
      </c>
      <c r="R708" s="116" t="s">
        <v>83</v>
      </c>
      <c r="S708" s="115">
        <v>0</v>
      </c>
      <c r="T708" s="115">
        <v>3.7037037037037E-2</v>
      </c>
      <c r="U708" s="115">
        <v>0</v>
      </c>
      <c r="V708" s="115">
        <v>0</v>
      </c>
      <c r="W708" s="6">
        <v>299</v>
      </c>
      <c r="X708" s="40">
        <f t="shared" si="54"/>
        <v>92</v>
      </c>
      <c r="Y708" s="40">
        <f t="shared" si="55"/>
        <v>136</v>
      </c>
      <c r="Z708" s="59">
        <v>0.49159999999999998</v>
      </c>
      <c r="AA708" s="59">
        <v>0.50839999999999996</v>
      </c>
      <c r="AB708" s="61">
        <v>0</v>
      </c>
      <c r="AC708" s="61">
        <v>1.3377926421404682E-2</v>
      </c>
      <c r="AD708" s="61">
        <v>0.10702341137123746</v>
      </c>
      <c r="AE708" s="61">
        <v>2.3411371237458192E-2</v>
      </c>
      <c r="AF708" s="61">
        <v>0</v>
      </c>
      <c r="AG708" s="61">
        <v>0.83946488294314381</v>
      </c>
      <c r="AH708" s="61">
        <v>1.6722408026755852E-2</v>
      </c>
      <c r="AI708" s="61">
        <v>0.16053511705685619</v>
      </c>
      <c r="AJ708" s="59">
        <v>0.56499999999999995</v>
      </c>
      <c r="AK708" s="59">
        <v>0</v>
      </c>
      <c r="AL708" s="3">
        <v>24</v>
      </c>
      <c r="AM708" s="3">
        <v>20</v>
      </c>
      <c r="AN708" s="3">
        <v>0</v>
      </c>
      <c r="AO708" s="3">
        <v>26</v>
      </c>
      <c r="AP708" s="3">
        <v>25</v>
      </c>
      <c r="AQ708" s="3">
        <v>27</v>
      </c>
      <c r="AR708" s="3">
        <v>14</v>
      </c>
      <c r="AS708" s="59">
        <v>0</v>
      </c>
      <c r="AT708" s="3">
        <v>1</v>
      </c>
      <c r="AU708" s="3">
        <v>6</v>
      </c>
      <c r="AV708" s="49">
        <v>66.40625</v>
      </c>
      <c r="AW708" s="49">
        <v>32.8125</v>
      </c>
      <c r="AX708" s="49">
        <v>0.78125</v>
      </c>
      <c r="AY708" s="67">
        <v>0</v>
      </c>
      <c r="AZ708" s="62">
        <v>1.2618296529968454E-2</v>
      </c>
      <c r="BA708" s="62">
        <v>5.6782334384858045E-2</v>
      </c>
      <c r="BB708" s="78">
        <v>92.623911920187595</v>
      </c>
      <c r="BC708" s="49">
        <v>46.708463949843299</v>
      </c>
      <c r="BD708" s="87">
        <v>0</v>
      </c>
      <c r="BE708" s="87">
        <v>4.8</v>
      </c>
      <c r="BF708" s="87">
        <v>0</v>
      </c>
      <c r="BG708" s="87">
        <v>0</v>
      </c>
      <c r="BH708" s="87">
        <v>0</v>
      </c>
      <c r="BI708" s="87">
        <v>0</v>
      </c>
      <c r="BJ708" s="49">
        <v>19.3</v>
      </c>
      <c r="BK708" s="129">
        <v>11078</v>
      </c>
      <c r="BL708" s="129">
        <v>38425</v>
      </c>
      <c r="BM708" s="129">
        <v>39839</v>
      </c>
      <c r="BN708" s="129">
        <v>30185</v>
      </c>
      <c r="BO708" s="59">
        <v>0</v>
      </c>
      <c r="BP708" s="59">
        <v>0.3528</v>
      </c>
      <c r="BQ708" s="59">
        <v>0.17849999999999999</v>
      </c>
      <c r="BR708" s="59">
        <v>0</v>
      </c>
      <c r="BS708" s="59">
        <v>2.5000000000000001E-2</v>
      </c>
      <c r="BT708" s="49">
        <v>16.399999999999999</v>
      </c>
      <c r="BU708" s="59">
        <f t="shared" si="56"/>
        <v>0.55630000000000002</v>
      </c>
      <c r="BV708" s="59">
        <v>3.2199999999999999E-2</v>
      </c>
      <c r="BW708" s="59">
        <v>0</v>
      </c>
      <c r="BX708" s="59">
        <v>3.95E-2</v>
      </c>
      <c r="BY708" s="59">
        <v>0</v>
      </c>
      <c r="BZ708" s="59">
        <v>0</v>
      </c>
      <c r="CA708" s="49">
        <v>16.399999999999999</v>
      </c>
      <c r="CB708" s="59">
        <f t="shared" si="57"/>
        <v>7.17E-2</v>
      </c>
      <c r="CC708" s="59">
        <v>0.39639999999999997</v>
      </c>
      <c r="CD708" s="59">
        <v>0.35389999999999999</v>
      </c>
      <c r="CE708" s="59">
        <v>0.22470000000000001</v>
      </c>
      <c r="CF708" s="59">
        <v>0</v>
      </c>
      <c r="CG708" s="59">
        <v>2.5000000000000001E-2</v>
      </c>
      <c r="CH708" s="49">
        <v>10.7</v>
      </c>
      <c r="CI708" s="25" t="s">
        <v>161</v>
      </c>
      <c r="CJ708" s="18" t="s">
        <v>489</v>
      </c>
      <c r="CK708" s="20"/>
    </row>
    <row r="709" spans="1:99" x14ac:dyDescent="0.25">
      <c r="A709" s="18" t="s">
        <v>489</v>
      </c>
      <c r="B709" s="26" t="s">
        <v>158</v>
      </c>
      <c r="C709" s="25" t="s">
        <v>162</v>
      </c>
      <c r="D709" s="6">
        <v>1</v>
      </c>
      <c r="E709" s="6">
        <v>1</v>
      </c>
      <c r="F709" s="6">
        <v>0</v>
      </c>
      <c r="G709" s="163">
        <v>1</v>
      </c>
      <c r="H709" s="163">
        <v>0</v>
      </c>
      <c r="I709" s="162" t="s">
        <v>83</v>
      </c>
      <c r="J709" s="163">
        <v>0</v>
      </c>
      <c r="K709" s="163">
        <v>0</v>
      </c>
      <c r="L709" s="163">
        <v>0</v>
      </c>
      <c r="M709" s="163">
        <v>0</v>
      </c>
      <c r="N709" s="115">
        <v>9.3457943925233603E-3</v>
      </c>
      <c r="O709" s="115">
        <v>0</v>
      </c>
      <c r="P709" s="115">
        <v>4.7619047619047603E-2</v>
      </c>
      <c r="Q709" s="115">
        <v>0</v>
      </c>
      <c r="R709" s="116" t="s">
        <v>83</v>
      </c>
      <c r="S709" s="115">
        <v>0</v>
      </c>
      <c r="T709" s="115">
        <v>0</v>
      </c>
      <c r="U709" s="115">
        <v>0</v>
      </c>
      <c r="V709" s="115">
        <v>0</v>
      </c>
      <c r="W709" s="6">
        <v>266</v>
      </c>
      <c r="X709" s="40">
        <f t="shared" si="54"/>
        <v>65</v>
      </c>
      <c r="Y709" s="40">
        <f t="shared" si="55"/>
        <v>96</v>
      </c>
      <c r="Z709" s="59">
        <v>0.4662</v>
      </c>
      <c r="AA709" s="59">
        <v>0.53380000000000005</v>
      </c>
      <c r="AB709" s="61">
        <v>0</v>
      </c>
      <c r="AC709" s="61">
        <v>3.7593984962406013E-3</v>
      </c>
      <c r="AD709" s="61">
        <v>0.50751879699248126</v>
      </c>
      <c r="AE709" s="61">
        <v>2.6315789473684209E-2</v>
      </c>
      <c r="AF709" s="61">
        <v>0</v>
      </c>
      <c r="AG709" s="61">
        <v>0.45488721804511278</v>
      </c>
      <c r="AH709" s="61">
        <v>7.5187969924812026E-3</v>
      </c>
      <c r="AI709" s="61">
        <v>0.54511278195488722</v>
      </c>
      <c r="AJ709" s="59">
        <v>0.86799999999999999</v>
      </c>
      <c r="AK709" s="59">
        <v>0</v>
      </c>
      <c r="AL709" s="3">
        <v>19</v>
      </c>
      <c r="AM709" s="3">
        <v>12</v>
      </c>
      <c r="AN709" s="3">
        <v>0</v>
      </c>
      <c r="AO709" s="3">
        <v>17</v>
      </c>
      <c r="AP709" s="3">
        <v>19</v>
      </c>
      <c r="AQ709" s="3">
        <v>16</v>
      </c>
      <c r="AR709" s="3">
        <v>13</v>
      </c>
      <c r="AS709" s="59">
        <v>0</v>
      </c>
      <c r="AT709" s="3">
        <v>1</v>
      </c>
      <c r="AU709" s="3">
        <v>6</v>
      </c>
      <c r="AV709" s="49">
        <v>94.326241134751797</v>
      </c>
      <c r="AW709" s="49">
        <v>5.6737588652482307</v>
      </c>
      <c r="AX709" s="49">
        <v>0</v>
      </c>
      <c r="AY709" s="67">
        <v>0</v>
      </c>
      <c r="AZ709" s="62">
        <v>3.4482758620689655E-3</v>
      </c>
      <c r="BA709" s="62">
        <v>0.1310344827586207</v>
      </c>
      <c r="BB709" s="77">
        <v>92.233882060611407</v>
      </c>
      <c r="BC709" s="49">
        <v>52.329749103942703</v>
      </c>
      <c r="BD709" s="87">
        <v>35</v>
      </c>
      <c r="BE709" s="87">
        <v>0</v>
      </c>
      <c r="BF709" s="87">
        <v>0</v>
      </c>
      <c r="BG709" s="87">
        <v>0</v>
      </c>
      <c r="BH709" s="87">
        <v>0</v>
      </c>
      <c r="BI709" s="87">
        <v>0</v>
      </c>
      <c r="BJ709" s="49">
        <v>19.5</v>
      </c>
      <c r="BK709" s="129">
        <v>13058</v>
      </c>
      <c r="BL709" s="129">
        <v>42006</v>
      </c>
      <c r="BM709" s="129">
        <v>31757</v>
      </c>
      <c r="BN709" s="129">
        <v>28692</v>
      </c>
      <c r="BO709" s="59">
        <v>0</v>
      </c>
      <c r="BP709" s="59">
        <v>0.32350000000000001</v>
      </c>
      <c r="BQ709" s="59">
        <v>0.1535</v>
      </c>
      <c r="BR709" s="59">
        <v>0</v>
      </c>
      <c r="BS709" s="59">
        <v>0</v>
      </c>
      <c r="BT709" s="49">
        <v>19.8</v>
      </c>
      <c r="BU709" s="59">
        <f t="shared" si="56"/>
        <v>0.47699999999999998</v>
      </c>
      <c r="BV709" s="59">
        <v>3.5499999999999997E-2</v>
      </c>
      <c r="BW709" s="59">
        <v>0</v>
      </c>
      <c r="BX709" s="59">
        <v>1.7299999999999999E-2</v>
      </c>
      <c r="BY709" s="59">
        <v>0</v>
      </c>
      <c r="BZ709" s="59">
        <v>0</v>
      </c>
      <c r="CA709" s="49">
        <v>10.8</v>
      </c>
      <c r="CB709" s="59">
        <f t="shared" si="57"/>
        <v>5.28E-2</v>
      </c>
      <c r="CC709" s="59">
        <v>0.48420000000000002</v>
      </c>
      <c r="CD709" s="59">
        <v>0.32350000000000001</v>
      </c>
      <c r="CE709" s="59">
        <v>0.1923</v>
      </c>
      <c r="CF709" s="59">
        <v>0</v>
      </c>
      <c r="CG709" s="59">
        <v>0</v>
      </c>
      <c r="CH709" s="49">
        <v>10.7</v>
      </c>
      <c r="CI709" s="25" t="s">
        <v>162</v>
      </c>
      <c r="CJ709" s="18" t="s">
        <v>489</v>
      </c>
      <c r="CK709" s="20"/>
    </row>
    <row r="710" spans="1:99" x14ac:dyDescent="0.25">
      <c r="A710" s="18" t="s">
        <v>489</v>
      </c>
      <c r="B710" s="26" t="s">
        <v>163</v>
      </c>
      <c r="C710" s="25" t="s">
        <v>164</v>
      </c>
      <c r="D710" s="6">
        <v>0</v>
      </c>
      <c r="E710" s="6">
        <v>0</v>
      </c>
      <c r="F710" s="6">
        <v>0</v>
      </c>
      <c r="G710" s="163">
        <v>0</v>
      </c>
      <c r="H710" s="163">
        <v>0</v>
      </c>
      <c r="I710" s="162" t="s">
        <v>83</v>
      </c>
      <c r="J710" s="163">
        <v>0</v>
      </c>
      <c r="K710" s="163">
        <v>0</v>
      </c>
      <c r="L710" s="163">
        <v>0</v>
      </c>
      <c r="M710" s="163">
        <v>0</v>
      </c>
      <c r="N710" s="115">
        <v>0</v>
      </c>
      <c r="O710" s="115">
        <v>0</v>
      </c>
      <c r="P710" s="115">
        <v>0</v>
      </c>
      <c r="Q710" s="115">
        <v>0</v>
      </c>
      <c r="R710" s="116" t="s">
        <v>83</v>
      </c>
      <c r="S710" s="115">
        <v>0</v>
      </c>
      <c r="T710" s="115">
        <v>0</v>
      </c>
      <c r="U710" s="115">
        <v>0</v>
      </c>
      <c r="V710" s="115">
        <v>0</v>
      </c>
      <c r="W710" s="6">
        <v>329</v>
      </c>
      <c r="X710" s="40">
        <f t="shared" si="54"/>
        <v>190</v>
      </c>
      <c r="Y710" s="40">
        <f t="shared" si="55"/>
        <v>257</v>
      </c>
      <c r="Z710" s="59">
        <v>0.46500000000000002</v>
      </c>
      <c r="AA710" s="59">
        <v>0.53500000000000003</v>
      </c>
      <c r="AB710" s="61">
        <v>0</v>
      </c>
      <c r="AC710" s="61">
        <v>0</v>
      </c>
      <c r="AD710" s="61">
        <v>0.62006079027355621</v>
      </c>
      <c r="AE710" s="61">
        <v>2.1276595744680851E-2</v>
      </c>
      <c r="AF710" s="61">
        <v>0</v>
      </c>
      <c r="AG710" s="61">
        <v>0.35258358662613981</v>
      </c>
      <c r="AH710" s="61">
        <v>6.0790273556231003E-3</v>
      </c>
      <c r="AI710" s="61">
        <v>0.64741641337386013</v>
      </c>
      <c r="AJ710" s="59">
        <v>0.79</v>
      </c>
      <c r="AK710" s="59">
        <v>0</v>
      </c>
      <c r="AL710" s="3">
        <v>36</v>
      </c>
      <c r="AM710" s="3">
        <v>31</v>
      </c>
      <c r="AN710" s="3">
        <v>0</v>
      </c>
      <c r="AO710" s="3">
        <v>43</v>
      </c>
      <c r="AP710" s="3">
        <v>47</v>
      </c>
      <c r="AQ710" s="3">
        <v>44</v>
      </c>
      <c r="AR710" s="3">
        <v>56</v>
      </c>
      <c r="AS710" s="59">
        <v>0</v>
      </c>
      <c r="AT710" s="3">
        <v>5</v>
      </c>
      <c r="AU710" s="3">
        <v>6</v>
      </c>
      <c r="AV710" s="49">
        <v>78.804347826086996</v>
      </c>
      <c r="AW710" s="49">
        <v>14.130434782608701</v>
      </c>
      <c r="AX710" s="49">
        <v>5.4347826086956497</v>
      </c>
      <c r="AY710" s="67">
        <v>1.6304347826087002</v>
      </c>
      <c r="AZ710" s="62">
        <v>0.14285714285714285</v>
      </c>
      <c r="BA710" s="62">
        <v>0.11428571428571428</v>
      </c>
      <c r="BB710" s="78">
        <v>93.010486107285203</v>
      </c>
      <c r="BC710" s="49">
        <v>41.025641025641001</v>
      </c>
      <c r="BD710" s="87">
        <v>0</v>
      </c>
      <c r="BE710" s="87">
        <v>0</v>
      </c>
      <c r="BF710" s="87">
        <v>2.4</v>
      </c>
      <c r="BG710" s="87">
        <v>0</v>
      </c>
      <c r="BH710" s="87">
        <v>0</v>
      </c>
      <c r="BI710" s="87">
        <v>0</v>
      </c>
      <c r="BJ710" s="49">
        <v>17.2</v>
      </c>
      <c r="BK710" s="129">
        <v>10338</v>
      </c>
      <c r="BL710" s="129">
        <v>48280</v>
      </c>
      <c r="BM710" s="129">
        <v>47824</v>
      </c>
      <c r="BN710" s="129">
        <v>38168</v>
      </c>
      <c r="BO710" s="59">
        <v>0</v>
      </c>
      <c r="BP710" s="59">
        <v>0.27739999999999998</v>
      </c>
      <c r="BQ710" s="59">
        <v>0.22189999999999999</v>
      </c>
      <c r="BR710" s="59">
        <v>0</v>
      </c>
      <c r="BS710" s="59">
        <v>0</v>
      </c>
      <c r="BT710" s="49">
        <v>14.9</v>
      </c>
      <c r="BU710" s="59">
        <f t="shared" si="56"/>
        <v>0.49929999999999997</v>
      </c>
      <c r="BV710" s="59">
        <v>5.5500000000000001E-2</v>
      </c>
      <c r="BW710" s="59">
        <v>0</v>
      </c>
      <c r="BX710" s="59">
        <v>5.5500000000000001E-2</v>
      </c>
      <c r="BY710" s="59">
        <v>0</v>
      </c>
      <c r="BZ710" s="59">
        <v>0</v>
      </c>
      <c r="CA710" s="49">
        <v>15</v>
      </c>
      <c r="CB710" s="59">
        <f t="shared" si="57"/>
        <v>0.111</v>
      </c>
      <c r="CC710" s="59">
        <v>0.36199999999999999</v>
      </c>
      <c r="CD710" s="59">
        <v>0.30509999999999998</v>
      </c>
      <c r="CE710" s="59">
        <v>0.33289999999999997</v>
      </c>
      <c r="CF710" s="59">
        <v>0</v>
      </c>
      <c r="CG710" s="59">
        <v>0</v>
      </c>
      <c r="CH710" s="49">
        <v>15.3</v>
      </c>
      <c r="CI710" s="25" t="s">
        <v>164</v>
      </c>
      <c r="CJ710" s="18" t="s">
        <v>489</v>
      </c>
      <c r="CK710" s="20"/>
    </row>
    <row r="711" spans="1:99" x14ac:dyDescent="0.25">
      <c r="A711" s="18" t="s">
        <v>489</v>
      </c>
      <c r="B711" s="26" t="s">
        <v>163</v>
      </c>
      <c r="C711" s="25" t="s">
        <v>165</v>
      </c>
      <c r="D711" s="6">
        <v>3</v>
      </c>
      <c r="E711" s="40" t="s">
        <v>83</v>
      </c>
      <c r="F711" s="6">
        <v>3</v>
      </c>
      <c r="G711" s="162" t="s">
        <v>83</v>
      </c>
      <c r="H711" s="162" t="s">
        <v>83</v>
      </c>
      <c r="I711" s="162" t="s">
        <v>83</v>
      </c>
      <c r="J711" s="163">
        <v>1</v>
      </c>
      <c r="K711" s="163">
        <v>0</v>
      </c>
      <c r="L711" s="163">
        <v>0</v>
      </c>
      <c r="M711" s="163">
        <v>2</v>
      </c>
      <c r="N711" s="115">
        <v>1.3215859030837E-2</v>
      </c>
      <c r="O711" s="115">
        <v>1.3215859030837E-2</v>
      </c>
      <c r="P711" s="116" t="s">
        <v>83</v>
      </c>
      <c r="Q711" s="116" t="s">
        <v>83</v>
      </c>
      <c r="R711" s="116" t="s">
        <v>83</v>
      </c>
      <c r="S711" s="115">
        <v>1.3333333333333299E-2</v>
      </c>
      <c r="T711" s="115">
        <v>0</v>
      </c>
      <c r="U711" s="115">
        <v>0</v>
      </c>
      <c r="V711" s="115">
        <v>4.3478260869565202E-2</v>
      </c>
      <c r="W711" s="6">
        <v>197</v>
      </c>
      <c r="X711" s="40">
        <f t="shared" si="54"/>
        <v>197</v>
      </c>
      <c r="Y711" s="40">
        <f t="shared" si="55"/>
        <v>197</v>
      </c>
      <c r="Z711" s="59">
        <v>0.47210000000000002</v>
      </c>
      <c r="AA711" s="59">
        <v>0.52790000000000004</v>
      </c>
      <c r="AB711" s="61">
        <v>0</v>
      </c>
      <c r="AC711" s="61">
        <v>5.076142131979695E-3</v>
      </c>
      <c r="AD711" s="61">
        <v>0.81725888324873097</v>
      </c>
      <c r="AE711" s="61">
        <v>3.553299492385787E-2</v>
      </c>
      <c r="AF711" s="61">
        <v>0</v>
      </c>
      <c r="AG711" s="61">
        <v>0.14213197969543148</v>
      </c>
      <c r="AH711" s="61">
        <v>0</v>
      </c>
      <c r="AI711" s="61">
        <v>0.85786802030456855</v>
      </c>
      <c r="AJ711" s="59">
        <v>0.84799999999999998</v>
      </c>
      <c r="AK711" s="59">
        <v>0</v>
      </c>
      <c r="AL711" s="3">
        <v>0</v>
      </c>
      <c r="AM711" s="3">
        <v>0</v>
      </c>
      <c r="AN711" s="3">
        <v>0</v>
      </c>
      <c r="AO711" s="3">
        <v>66</v>
      </c>
      <c r="AP711" s="3">
        <v>42</v>
      </c>
      <c r="AQ711" s="3">
        <v>48</v>
      </c>
      <c r="AR711" s="3">
        <v>41</v>
      </c>
      <c r="AS711" s="59">
        <v>0</v>
      </c>
      <c r="AT711" s="3">
        <v>9</v>
      </c>
      <c r="AU711" s="3">
        <v>6</v>
      </c>
      <c r="AV711" s="49">
        <v>86.885245901639294</v>
      </c>
      <c r="AW711" s="49">
        <v>11.4754098360656</v>
      </c>
      <c r="AX711" s="49">
        <v>1.63934426229508</v>
      </c>
      <c r="AY711" s="67">
        <v>0</v>
      </c>
      <c r="AZ711" s="62">
        <v>0.44690265486725661</v>
      </c>
      <c r="BA711" s="62">
        <v>0.23451327433628319</v>
      </c>
      <c r="BB711" s="77">
        <v>89.987523393636906</v>
      </c>
      <c r="BC711" s="49">
        <v>43.805309734513301</v>
      </c>
      <c r="BD711" s="90" t="s">
        <v>83</v>
      </c>
      <c r="BE711" s="90" t="s">
        <v>83</v>
      </c>
      <c r="BF711" s="87">
        <v>0</v>
      </c>
      <c r="BG711" s="87">
        <v>0</v>
      </c>
      <c r="BH711" s="87">
        <v>0</v>
      </c>
      <c r="BI711" s="87">
        <v>7</v>
      </c>
      <c r="BJ711" s="49">
        <v>16.2</v>
      </c>
      <c r="BK711" s="129">
        <v>13426</v>
      </c>
      <c r="BL711" s="129">
        <v>45733</v>
      </c>
      <c r="BM711" s="129">
        <v>49845</v>
      </c>
      <c r="BN711" s="129">
        <v>31446</v>
      </c>
      <c r="BO711" s="59">
        <v>0</v>
      </c>
      <c r="BP711" s="59">
        <v>0.25340000000000001</v>
      </c>
      <c r="BQ711" s="59">
        <v>0.12670000000000001</v>
      </c>
      <c r="BR711" s="59">
        <v>0</v>
      </c>
      <c r="BS711" s="59">
        <v>0</v>
      </c>
      <c r="BT711" s="49">
        <v>13.7</v>
      </c>
      <c r="BU711" s="59">
        <f t="shared" si="56"/>
        <v>0.38009999999999999</v>
      </c>
      <c r="BV711" s="59">
        <v>1.06E-2</v>
      </c>
      <c r="BW711" s="59">
        <v>2.53E-2</v>
      </c>
      <c r="BX711" s="59">
        <v>5.0700000000000002E-2</v>
      </c>
      <c r="BY711" s="59">
        <v>0</v>
      </c>
      <c r="BZ711" s="59">
        <v>0</v>
      </c>
      <c r="CA711" s="49">
        <v>17</v>
      </c>
      <c r="CB711" s="59">
        <f t="shared" si="57"/>
        <v>8.660000000000001E-2</v>
      </c>
      <c r="CC711" s="59">
        <v>0.51849999999999996</v>
      </c>
      <c r="CD711" s="59">
        <v>0.2787</v>
      </c>
      <c r="CE711" s="59">
        <v>0.20269999999999999</v>
      </c>
      <c r="CF711" s="59">
        <v>0</v>
      </c>
      <c r="CG711" s="59">
        <v>0</v>
      </c>
      <c r="CH711" s="49">
        <v>15.3</v>
      </c>
      <c r="CI711" s="25" t="s">
        <v>165</v>
      </c>
      <c r="CJ711" s="18" t="s">
        <v>489</v>
      </c>
      <c r="CK711" s="20"/>
    </row>
    <row r="712" spans="1:99" x14ac:dyDescent="0.25">
      <c r="A712" s="18" t="s">
        <v>489</v>
      </c>
      <c r="B712" s="26" t="s">
        <v>163</v>
      </c>
      <c r="C712" s="25" t="s">
        <v>166</v>
      </c>
      <c r="D712" s="6">
        <v>0</v>
      </c>
      <c r="E712" s="6">
        <v>0</v>
      </c>
      <c r="F712" s="6">
        <v>0</v>
      </c>
      <c r="G712" s="163">
        <v>0</v>
      </c>
      <c r="H712" s="163">
        <v>0</v>
      </c>
      <c r="I712" s="162" t="s">
        <v>83</v>
      </c>
      <c r="J712" s="163">
        <v>0</v>
      </c>
      <c r="K712" s="163">
        <v>0</v>
      </c>
      <c r="L712" s="163">
        <v>0</v>
      </c>
      <c r="M712" s="163">
        <v>0</v>
      </c>
      <c r="N712" s="115">
        <v>0</v>
      </c>
      <c r="O712" s="115">
        <v>0</v>
      </c>
      <c r="P712" s="115">
        <v>0</v>
      </c>
      <c r="Q712" s="115">
        <v>0</v>
      </c>
      <c r="R712" s="116" t="s">
        <v>83</v>
      </c>
      <c r="S712" s="115">
        <v>0</v>
      </c>
      <c r="T712" s="115">
        <v>0</v>
      </c>
      <c r="U712" s="115">
        <v>0</v>
      </c>
      <c r="V712" s="115">
        <v>0</v>
      </c>
      <c r="W712" s="6">
        <v>305</v>
      </c>
      <c r="X712" s="40">
        <f t="shared" si="54"/>
        <v>92</v>
      </c>
      <c r="Y712" s="40">
        <f t="shared" si="55"/>
        <v>130</v>
      </c>
      <c r="Z712" s="59">
        <v>0.58689999999999998</v>
      </c>
      <c r="AA712" s="59">
        <v>0.41310000000000002</v>
      </c>
      <c r="AB712" s="61">
        <v>0</v>
      </c>
      <c r="AC712" s="61">
        <v>3.2786885245901639E-3</v>
      </c>
      <c r="AD712" s="61">
        <v>0.3737704918032787</v>
      </c>
      <c r="AE712" s="61">
        <v>3.2786885245901639E-3</v>
      </c>
      <c r="AF712" s="61">
        <v>0</v>
      </c>
      <c r="AG712" s="61">
        <v>0.60655737704918034</v>
      </c>
      <c r="AH712" s="61">
        <v>1.3114754098360656E-2</v>
      </c>
      <c r="AI712" s="61">
        <v>0.39344262295081966</v>
      </c>
      <c r="AJ712" s="59">
        <v>0.64600000000000002</v>
      </c>
      <c r="AK712" s="59">
        <v>0</v>
      </c>
      <c r="AL712" s="3">
        <v>22</v>
      </c>
      <c r="AM712" s="3">
        <v>16</v>
      </c>
      <c r="AN712" s="3">
        <v>0</v>
      </c>
      <c r="AO712" s="3">
        <v>24</v>
      </c>
      <c r="AP712" s="3">
        <v>27</v>
      </c>
      <c r="AQ712" s="3">
        <v>20</v>
      </c>
      <c r="AR712" s="3">
        <v>21</v>
      </c>
      <c r="AS712" s="59">
        <v>0</v>
      </c>
      <c r="AT712" s="3">
        <v>1</v>
      </c>
      <c r="AU712" s="3">
        <v>6</v>
      </c>
      <c r="AV712" s="49">
        <v>75.187969924812009</v>
      </c>
      <c r="AW712" s="49">
        <v>18.796992481203002</v>
      </c>
      <c r="AX712" s="49">
        <v>6.0150375939849603</v>
      </c>
      <c r="AY712" s="67">
        <v>0</v>
      </c>
      <c r="AZ712" s="62">
        <v>7.1207430340557279E-2</v>
      </c>
      <c r="BA712" s="62">
        <v>8.9783281733746126E-2</v>
      </c>
      <c r="BB712" s="78">
        <v>94.085314977054693</v>
      </c>
      <c r="BC712" s="49">
        <v>21.967213114754099</v>
      </c>
      <c r="BD712" s="87">
        <v>4.5</v>
      </c>
      <c r="BE712" s="87">
        <v>0</v>
      </c>
      <c r="BF712" s="87">
        <v>0</v>
      </c>
      <c r="BG712" s="87">
        <v>4.2</v>
      </c>
      <c r="BH712" s="87">
        <v>0</v>
      </c>
      <c r="BI712" s="87">
        <v>0</v>
      </c>
      <c r="BJ712" s="49">
        <v>19.100000000000001</v>
      </c>
      <c r="BK712" s="129">
        <v>10647</v>
      </c>
      <c r="BL712" s="129">
        <v>47421</v>
      </c>
      <c r="BM712" s="129">
        <v>48383</v>
      </c>
      <c r="BN712" s="129">
        <v>37387</v>
      </c>
      <c r="BO712" s="59">
        <v>0</v>
      </c>
      <c r="BP712" s="59">
        <v>0.36449999999999999</v>
      </c>
      <c r="BQ712" s="59">
        <v>0.15290000000000001</v>
      </c>
      <c r="BR712" s="59">
        <v>0</v>
      </c>
      <c r="BS712" s="59">
        <v>0</v>
      </c>
      <c r="BT712" s="49">
        <v>16</v>
      </c>
      <c r="BU712" s="59">
        <f t="shared" si="56"/>
        <v>0.51739999999999997</v>
      </c>
      <c r="BV712" s="59">
        <v>8.6999999999999994E-3</v>
      </c>
      <c r="BW712" s="59">
        <v>2.29E-2</v>
      </c>
      <c r="BX712" s="59">
        <v>3.04E-2</v>
      </c>
      <c r="BY712" s="59">
        <v>0</v>
      </c>
      <c r="BZ712" s="59">
        <v>0</v>
      </c>
      <c r="CA712" s="49">
        <v>16.399999999999999</v>
      </c>
      <c r="CB712" s="59">
        <f t="shared" si="57"/>
        <v>6.2E-2</v>
      </c>
      <c r="CC712" s="59">
        <v>0.3997</v>
      </c>
      <c r="CD712" s="59">
        <v>0.38769999999999999</v>
      </c>
      <c r="CE712" s="59">
        <v>0.21260000000000001</v>
      </c>
      <c r="CF712" s="59">
        <v>0</v>
      </c>
      <c r="CG712" s="59">
        <v>0</v>
      </c>
      <c r="CH712" s="49">
        <v>15.1</v>
      </c>
      <c r="CI712" s="25" t="s">
        <v>166</v>
      </c>
      <c r="CJ712" s="18" t="s">
        <v>489</v>
      </c>
      <c r="CK712" s="20"/>
    </row>
    <row r="713" spans="1:99" x14ac:dyDescent="0.25">
      <c r="A713" s="18" t="s">
        <v>489</v>
      </c>
      <c r="B713" s="26" t="s">
        <v>167</v>
      </c>
      <c r="C713" s="25" t="s">
        <v>168</v>
      </c>
      <c r="D713" s="6">
        <v>6</v>
      </c>
      <c r="E713" s="40" t="s">
        <v>83</v>
      </c>
      <c r="F713" s="6">
        <v>6</v>
      </c>
      <c r="G713" s="162" t="s">
        <v>83</v>
      </c>
      <c r="H713" s="162" t="s">
        <v>83</v>
      </c>
      <c r="I713" s="163">
        <v>0</v>
      </c>
      <c r="J713" s="163">
        <v>4</v>
      </c>
      <c r="K713" s="163">
        <v>2</v>
      </c>
      <c r="L713" s="163">
        <v>0</v>
      </c>
      <c r="M713" s="163">
        <v>0</v>
      </c>
      <c r="N713" s="115">
        <v>1.6085790884718499E-2</v>
      </c>
      <c r="O713" s="115">
        <v>1.6085790884718499E-2</v>
      </c>
      <c r="P713" s="116" t="s">
        <v>83</v>
      </c>
      <c r="Q713" s="116" t="s">
        <v>83</v>
      </c>
      <c r="R713" s="115">
        <v>0</v>
      </c>
      <c r="S713" s="115">
        <v>3.77358490566038E-2</v>
      </c>
      <c r="T713" s="115">
        <v>2.0833333333333301E-2</v>
      </c>
      <c r="U713" s="115">
        <v>0</v>
      </c>
      <c r="V713" s="115">
        <v>0</v>
      </c>
      <c r="W713" s="6">
        <v>334</v>
      </c>
      <c r="X713" s="40">
        <f t="shared" si="54"/>
        <v>334</v>
      </c>
      <c r="Y713" s="40">
        <f t="shared" si="55"/>
        <v>334</v>
      </c>
      <c r="Z713" s="59">
        <v>0.497</v>
      </c>
      <c r="AA713" s="59">
        <v>0.503</v>
      </c>
      <c r="AB713" s="61">
        <v>0</v>
      </c>
      <c r="AC713" s="61">
        <v>0</v>
      </c>
      <c r="AD713" s="61">
        <v>0.9640718562874252</v>
      </c>
      <c r="AE713" s="61">
        <v>2.9940119760479044E-3</v>
      </c>
      <c r="AF713" s="61">
        <v>0</v>
      </c>
      <c r="AG713" s="61">
        <v>2.6946107784431138E-2</v>
      </c>
      <c r="AH713" s="61">
        <v>5.9880239520958087E-3</v>
      </c>
      <c r="AI713" s="61">
        <v>0.97305389221556882</v>
      </c>
      <c r="AJ713" s="59">
        <v>0.92200000000000004</v>
      </c>
      <c r="AK713" s="59">
        <v>3.0000000000000001E-3</v>
      </c>
      <c r="AL713" s="3">
        <v>0</v>
      </c>
      <c r="AM713" s="3">
        <v>0</v>
      </c>
      <c r="AN713" s="3">
        <v>5</v>
      </c>
      <c r="AO713" s="3">
        <v>92</v>
      </c>
      <c r="AP713" s="3">
        <v>82</v>
      </c>
      <c r="AQ713" s="3">
        <v>77</v>
      </c>
      <c r="AR713" s="3">
        <v>78</v>
      </c>
      <c r="AS713" s="59">
        <v>5.1546391752577317E-2</v>
      </c>
      <c r="AT713" s="3">
        <v>9</v>
      </c>
      <c r="AU713" s="3">
        <v>6</v>
      </c>
      <c r="AV713" s="49">
        <v>76.33136094674559</v>
      </c>
      <c r="AW713" s="49">
        <v>23.668639053254399</v>
      </c>
      <c r="AX713" s="49">
        <v>0</v>
      </c>
      <c r="AY713" s="67">
        <v>0</v>
      </c>
      <c r="AZ713" s="62">
        <v>0.27027027027027029</v>
      </c>
      <c r="BA713" s="62">
        <v>0.4081081081081081</v>
      </c>
      <c r="BB713" s="77">
        <v>93.238235748228703</v>
      </c>
      <c r="BC713" s="49">
        <v>52.673796791443799</v>
      </c>
      <c r="BD713" s="90" t="s">
        <v>83</v>
      </c>
      <c r="BE713" s="90" t="s">
        <v>83</v>
      </c>
      <c r="BF713" s="87">
        <v>1.2</v>
      </c>
      <c r="BG713" s="87">
        <v>2.2999999999999998</v>
      </c>
      <c r="BH713" s="87">
        <v>0</v>
      </c>
      <c r="BI713" s="87">
        <v>1.3</v>
      </c>
      <c r="BJ713" s="49">
        <v>16.7</v>
      </c>
      <c r="BK713" s="129">
        <v>11105</v>
      </c>
      <c r="BL713" s="129">
        <v>44708</v>
      </c>
      <c r="BM713" s="129">
        <v>52973</v>
      </c>
      <c r="BN713" s="129">
        <v>36843</v>
      </c>
      <c r="BO713" s="59">
        <v>0</v>
      </c>
      <c r="BP713" s="59">
        <v>0.27850000000000003</v>
      </c>
      <c r="BQ713" s="59">
        <v>0.2606</v>
      </c>
      <c r="BR713" s="59">
        <v>0</v>
      </c>
      <c r="BS713" s="59">
        <v>0</v>
      </c>
      <c r="BT713" s="49">
        <v>11.9</v>
      </c>
      <c r="BU713" s="59">
        <f t="shared" si="56"/>
        <v>0.53910000000000002</v>
      </c>
      <c r="BV713" s="59">
        <v>0</v>
      </c>
      <c r="BW713" s="59">
        <v>2.1700000000000001E-2</v>
      </c>
      <c r="BX713" s="59">
        <v>4.5499999999999999E-2</v>
      </c>
      <c r="BY713" s="59">
        <v>0</v>
      </c>
      <c r="BZ713" s="59">
        <v>0</v>
      </c>
      <c r="CA713" s="49">
        <v>15.4</v>
      </c>
      <c r="CB713" s="59">
        <f t="shared" si="57"/>
        <v>6.7199999999999996E-2</v>
      </c>
      <c r="CC713" s="59">
        <v>0.3216</v>
      </c>
      <c r="CD713" s="59">
        <v>0.32679999999999998</v>
      </c>
      <c r="CE713" s="59">
        <v>0.35160000000000002</v>
      </c>
      <c r="CF713" s="59">
        <v>0</v>
      </c>
      <c r="CG713" s="59">
        <v>0</v>
      </c>
      <c r="CH713" s="49">
        <v>11.4</v>
      </c>
      <c r="CI713" s="25" t="s">
        <v>168</v>
      </c>
      <c r="CJ713" s="18" t="s">
        <v>489</v>
      </c>
      <c r="CK713" s="20"/>
    </row>
    <row r="714" spans="1:99" x14ac:dyDescent="0.25">
      <c r="A714" s="18" t="s">
        <v>489</v>
      </c>
      <c r="B714" s="26" t="s">
        <v>167</v>
      </c>
      <c r="C714" s="25" t="s">
        <v>169</v>
      </c>
      <c r="D714" s="6">
        <v>0</v>
      </c>
      <c r="E714" s="6">
        <v>0</v>
      </c>
      <c r="F714" s="6">
        <v>0</v>
      </c>
      <c r="G714" s="163">
        <v>0</v>
      </c>
      <c r="H714" s="163">
        <v>0</v>
      </c>
      <c r="I714" s="162" t="s">
        <v>83</v>
      </c>
      <c r="J714" s="163">
        <v>0</v>
      </c>
      <c r="K714" s="163">
        <v>0</v>
      </c>
      <c r="L714" s="163">
        <v>0</v>
      </c>
      <c r="M714" s="163">
        <v>0</v>
      </c>
      <c r="N714" s="115">
        <v>0</v>
      </c>
      <c r="O714" s="115">
        <v>0</v>
      </c>
      <c r="P714" s="115">
        <v>0</v>
      </c>
      <c r="Q714" s="115">
        <v>0</v>
      </c>
      <c r="R714" s="116" t="s">
        <v>83</v>
      </c>
      <c r="S714" s="115">
        <v>0</v>
      </c>
      <c r="T714" s="115">
        <v>0</v>
      </c>
      <c r="U714" s="115">
        <v>0</v>
      </c>
      <c r="V714" s="115">
        <v>0</v>
      </c>
      <c r="W714" s="6">
        <v>477</v>
      </c>
      <c r="X714" s="40">
        <f t="shared" si="54"/>
        <v>133</v>
      </c>
      <c r="Y714" s="40">
        <f t="shared" si="55"/>
        <v>200</v>
      </c>
      <c r="Z714" s="59">
        <v>0.48220000000000002</v>
      </c>
      <c r="AA714" s="59">
        <v>0.51780000000000004</v>
      </c>
      <c r="AB714" s="61">
        <v>8.385744234800839E-3</v>
      </c>
      <c r="AC714" s="61">
        <v>0</v>
      </c>
      <c r="AD714" s="61">
        <v>1.6771488469601678E-2</v>
      </c>
      <c r="AE714" s="61">
        <v>1.0482180293501049E-2</v>
      </c>
      <c r="AF714" s="61">
        <v>0</v>
      </c>
      <c r="AG714" s="61">
        <v>0.96226415094339623</v>
      </c>
      <c r="AH714" s="61">
        <v>2.0964360587002098E-3</v>
      </c>
      <c r="AI714" s="61">
        <v>3.7735849056603772E-2</v>
      </c>
      <c r="AJ714" s="59">
        <v>0.57399999999999995</v>
      </c>
      <c r="AK714" s="59">
        <v>6.3E-3</v>
      </c>
      <c r="AL714" s="3">
        <v>36</v>
      </c>
      <c r="AM714" s="3">
        <v>31</v>
      </c>
      <c r="AN714" s="3">
        <v>0</v>
      </c>
      <c r="AO714" s="3">
        <v>36</v>
      </c>
      <c r="AP714" s="3">
        <v>25</v>
      </c>
      <c r="AQ714" s="3">
        <v>32</v>
      </c>
      <c r="AR714" s="3">
        <v>40</v>
      </c>
      <c r="AS714" s="59">
        <v>0</v>
      </c>
      <c r="AT714" s="3">
        <v>1</v>
      </c>
      <c r="AU714" s="3">
        <v>6</v>
      </c>
      <c r="AV714" s="49">
        <v>80.097087378640794</v>
      </c>
      <c r="AW714" s="49">
        <v>15.0485436893204</v>
      </c>
      <c r="AX714" s="49">
        <v>1.4563106796116501</v>
      </c>
      <c r="AY714" s="67">
        <v>3.3980582524271803</v>
      </c>
      <c r="AZ714" s="62">
        <v>6.6666666666666666E-2</v>
      </c>
      <c r="BA714" s="62">
        <v>4.0404040404040404E-3</v>
      </c>
      <c r="BB714" s="78">
        <v>95.131897695594503</v>
      </c>
      <c r="BC714" s="49">
        <v>23.578947368421101</v>
      </c>
      <c r="BD714" s="87">
        <v>2.9</v>
      </c>
      <c r="BE714" s="87">
        <v>3.7</v>
      </c>
      <c r="BF714" s="87">
        <v>2.9</v>
      </c>
      <c r="BG714" s="87">
        <v>0</v>
      </c>
      <c r="BH714" s="87">
        <v>3.2</v>
      </c>
      <c r="BI714" s="87">
        <v>0</v>
      </c>
      <c r="BJ714" s="49">
        <v>20.3</v>
      </c>
      <c r="BK714" s="129">
        <v>10442</v>
      </c>
      <c r="BL714" s="129">
        <v>47333</v>
      </c>
      <c r="BM714" s="129">
        <v>49850</v>
      </c>
      <c r="BN714" s="129">
        <v>39213</v>
      </c>
      <c r="BO714" s="59">
        <v>0</v>
      </c>
      <c r="BP714" s="59">
        <v>0.4516</v>
      </c>
      <c r="BQ714" s="59">
        <v>0.15110000000000001</v>
      </c>
      <c r="BR714" s="59">
        <v>0</v>
      </c>
      <c r="BS714" s="59">
        <v>0</v>
      </c>
      <c r="BT714" s="49">
        <v>19.899999999999999</v>
      </c>
      <c r="BU714" s="59">
        <f t="shared" si="56"/>
        <v>0.60270000000000001</v>
      </c>
      <c r="BV714" s="59">
        <v>0</v>
      </c>
      <c r="BW714" s="59">
        <v>1.9099999999999999E-2</v>
      </c>
      <c r="BX714" s="59">
        <v>3.9899999999999998E-2</v>
      </c>
      <c r="BY714" s="59">
        <v>0</v>
      </c>
      <c r="BZ714" s="59">
        <v>0</v>
      </c>
      <c r="CA714" s="49">
        <v>15.2</v>
      </c>
      <c r="CB714" s="59">
        <f t="shared" si="57"/>
        <v>5.8999999999999997E-2</v>
      </c>
      <c r="CC714" s="59">
        <v>0.27960000000000002</v>
      </c>
      <c r="CD714" s="59">
        <v>0.50370000000000004</v>
      </c>
      <c r="CE714" s="59">
        <v>0.2167</v>
      </c>
      <c r="CF714" s="59">
        <v>0</v>
      </c>
      <c r="CG714" s="59">
        <v>0</v>
      </c>
      <c r="CH714" s="49">
        <v>17.3</v>
      </c>
      <c r="CI714" s="25" t="s">
        <v>169</v>
      </c>
      <c r="CJ714" s="18" t="s">
        <v>489</v>
      </c>
      <c r="CK714" s="20"/>
    </row>
    <row r="715" spans="1:99" ht="15.75" thickBot="1" x14ac:dyDescent="0.3">
      <c r="A715" s="18" t="s">
        <v>489</v>
      </c>
      <c r="B715" s="26" t="s">
        <v>167</v>
      </c>
      <c r="C715" s="25" t="s">
        <v>170</v>
      </c>
      <c r="D715" s="6">
        <v>4</v>
      </c>
      <c r="E715" s="40" t="s">
        <v>83</v>
      </c>
      <c r="F715" s="6">
        <v>4</v>
      </c>
      <c r="G715" s="162" t="s">
        <v>83</v>
      </c>
      <c r="H715" s="162" t="s">
        <v>83</v>
      </c>
      <c r="I715" s="163">
        <v>0</v>
      </c>
      <c r="J715" s="163">
        <v>1</v>
      </c>
      <c r="K715" s="163">
        <v>1</v>
      </c>
      <c r="L715" s="163">
        <v>2</v>
      </c>
      <c r="M715" s="163">
        <v>0</v>
      </c>
      <c r="N715" s="115">
        <v>8.5653104925053503E-3</v>
      </c>
      <c r="O715" s="115">
        <v>8.5653104925053503E-3</v>
      </c>
      <c r="P715" s="116" t="s">
        <v>83</v>
      </c>
      <c r="Q715" s="116" t="s">
        <v>83</v>
      </c>
      <c r="R715" s="115">
        <v>0</v>
      </c>
      <c r="S715" s="115">
        <v>6.7567567567567597E-3</v>
      </c>
      <c r="T715" s="115">
        <v>9.2592592592592605E-3</v>
      </c>
      <c r="U715" s="115">
        <v>1.8348623853211E-2</v>
      </c>
      <c r="V715" s="115">
        <v>0</v>
      </c>
      <c r="W715" s="6">
        <v>427</v>
      </c>
      <c r="X715" s="40">
        <f t="shared" si="54"/>
        <v>427</v>
      </c>
      <c r="Y715" s="40">
        <f t="shared" si="55"/>
        <v>427</v>
      </c>
      <c r="Z715" s="59">
        <v>0.46139999999999998</v>
      </c>
      <c r="AA715" s="59">
        <v>0.53859999999999997</v>
      </c>
      <c r="AB715" s="61">
        <v>0</v>
      </c>
      <c r="AC715" s="61">
        <v>9.3676814988290398E-3</v>
      </c>
      <c r="AD715" s="61">
        <v>0.35128805620608899</v>
      </c>
      <c r="AE715" s="61">
        <v>3.2786885245901641E-2</v>
      </c>
      <c r="AF715" s="61">
        <v>0</v>
      </c>
      <c r="AG715" s="61">
        <v>0.58548009367681497</v>
      </c>
      <c r="AH715" s="61">
        <v>2.1077283372365339E-2</v>
      </c>
      <c r="AI715" s="61">
        <v>0.41451990632318503</v>
      </c>
      <c r="AJ715" s="59">
        <v>0.64900000000000002</v>
      </c>
      <c r="AK715" s="59">
        <v>1.8700000000000001E-2</v>
      </c>
      <c r="AL715" s="3">
        <v>0</v>
      </c>
      <c r="AM715" s="3">
        <v>0</v>
      </c>
      <c r="AN715" s="3">
        <v>1</v>
      </c>
      <c r="AO715" s="3">
        <v>134</v>
      </c>
      <c r="AP715" s="3">
        <v>96</v>
      </c>
      <c r="AQ715" s="3">
        <v>98</v>
      </c>
      <c r="AR715" s="3">
        <v>98</v>
      </c>
      <c r="AS715" s="59">
        <v>7.4074074074074077E-3</v>
      </c>
      <c r="AT715" s="3">
        <v>9</v>
      </c>
      <c r="AU715" s="3">
        <v>6</v>
      </c>
      <c r="AV715" s="49">
        <v>73.362445414847201</v>
      </c>
      <c r="AW715" s="49">
        <v>24.454148471615699</v>
      </c>
      <c r="AX715" s="49">
        <v>2.1834061135371199</v>
      </c>
      <c r="AY715" s="67">
        <v>0</v>
      </c>
      <c r="AZ715" s="62">
        <v>1.7241379310344827E-2</v>
      </c>
      <c r="BA715" s="62">
        <v>0.1875</v>
      </c>
      <c r="BB715" s="77">
        <v>91.977936245055503</v>
      </c>
      <c r="BC715" s="49">
        <v>44.420600858369099</v>
      </c>
      <c r="BD715" s="90" t="s">
        <v>83</v>
      </c>
      <c r="BE715" s="90" t="s">
        <v>83</v>
      </c>
      <c r="BF715" s="87">
        <v>10.3</v>
      </c>
      <c r="BG715" s="87">
        <v>3.3</v>
      </c>
      <c r="BH715" s="87">
        <v>0</v>
      </c>
      <c r="BI715" s="87">
        <v>5.2</v>
      </c>
      <c r="BJ715" s="49">
        <v>18.3</v>
      </c>
      <c r="BK715" s="129">
        <v>10821</v>
      </c>
      <c r="BL715" s="129">
        <v>44102</v>
      </c>
      <c r="BM715" s="129">
        <v>57774</v>
      </c>
      <c r="BN715" s="129">
        <v>38387</v>
      </c>
      <c r="BO715" s="59">
        <v>0</v>
      </c>
      <c r="BP715" s="59">
        <v>0.38279999999999997</v>
      </c>
      <c r="BQ715" s="59">
        <v>0.20169999999999999</v>
      </c>
      <c r="BR715" s="59">
        <v>0</v>
      </c>
      <c r="BS715" s="59">
        <v>0</v>
      </c>
      <c r="BT715" s="49">
        <v>14.6</v>
      </c>
      <c r="BU715" s="59">
        <f t="shared" si="56"/>
        <v>0.58450000000000002</v>
      </c>
      <c r="BV715" s="59">
        <v>1.9900000000000001E-2</v>
      </c>
      <c r="BW715" s="59">
        <v>0</v>
      </c>
      <c r="BX715" s="59">
        <v>6.2899999999999998E-2</v>
      </c>
      <c r="BY715" s="59">
        <v>0</v>
      </c>
      <c r="BZ715" s="59">
        <v>0</v>
      </c>
      <c r="CA715" s="49">
        <v>21.5</v>
      </c>
      <c r="CB715" s="59">
        <f t="shared" si="57"/>
        <v>8.2799999999999999E-2</v>
      </c>
      <c r="CC715" s="59">
        <v>0.28770000000000001</v>
      </c>
      <c r="CD715" s="59">
        <v>0.40179999999999999</v>
      </c>
      <c r="CE715" s="59">
        <v>0.3105</v>
      </c>
      <c r="CF715" s="59">
        <v>0</v>
      </c>
      <c r="CG715" s="59">
        <v>0</v>
      </c>
      <c r="CH715" s="49">
        <v>14.5</v>
      </c>
      <c r="CI715" s="25" t="s">
        <v>170</v>
      </c>
      <c r="CJ715" s="18" t="s">
        <v>489</v>
      </c>
      <c r="CK715" s="20"/>
    </row>
    <row r="716" spans="1:99" s="1" customFormat="1" ht="21" customHeight="1" x14ac:dyDescent="0.25">
      <c r="A716" s="21" t="s">
        <v>0</v>
      </c>
      <c r="B716" s="22" t="s">
        <v>1</v>
      </c>
      <c r="C716" s="22" t="s">
        <v>2</v>
      </c>
      <c r="D716" s="9" t="s">
        <v>3</v>
      </c>
      <c r="E716" s="9" t="s">
        <v>4</v>
      </c>
      <c r="F716" s="9" t="s">
        <v>5</v>
      </c>
      <c r="G716" s="161" t="s">
        <v>565</v>
      </c>
      <c r="H716" s="161" t="s">
        <v>566</v>
      </c>
      <c r="I716" s="161" t="s">
        <v>567</v>
      </c>
      <c r="J716" s="161" t="s">
        <v>568</v>
      </c>
      <c r="K716" s="161" t="s">
        <v>569</v>
      </c>
      <c r="L716" s="161" t="s">
        <v>570</v>
      </c>
      <c r="M716" s="161" t="s">
        <v>571</v>
      </c>
      <c r="N716" s="120" t="s">
        <v>6</v>
      </c>
      <c r="O716" s="120" t="s">
        <v>7</v>
      </c>
      <c r="P716" s="120" t="s">
        <v>8</v>
      </c>
      <c r="Q716" s="120" t="s">
        <v>9</v>
      </c>
      <c r="R716" s="120" t="s">
        <v>10</v>
      </c>
      <c r="S716" s="120" t="s">
        <v>11</v>
      </c>
      <c r="T716" s="120" t="s">
        <v>12</v>
      </c>
      <c r="U716" s="120" t="s">
        <v>13</v>
      </c>
      <c r="V716" s="120" t="s">
        <v>14</v>
      </c>
      <c r="W716" s="41" t="s">
        <v>15</v>
      </c>
      <c r="X716" s="41" t="s">
        <v>16</v>
      </c>
      <c r="Y716" s="41" t="s">
        <v>17</v>
      </c>
      <c r="Z716" s="107" t="s">
        <v>18</v>
      </c>
      <c r="AA716" s="107" t="s">
        <v>19</v>
      </c>
      <c r="AB716" s="95" t="s">
        <v>20</v>
      </c>
      <c r="AC716" s="95" t="s">
        <v>21</v>
      </c>
      <c r="AD716" s="95" t="s">
        <v>22</v>
      </c>
      <c r="AE716" s="95" t="s">
        <v>23</v>
      </c>
      <c r="AF716" s="95" t="s">
        <v>24</v>
      </c>
      <c r="AG716" s="95" t="s">
        <v>25</v>
      </c>
      <c r="AH716" s="95" t="s">
        <v>26</v>
      </c>
      <c r="AI716" s="95" t="s">
        <v>27</v>
      </c>
      <c r="AJ716" s="95" t="s">
        <v>28</v>
      </c>
      <c r="AK716" s="107" t="s">
        <v>29</v>
      </c>
      <c r="AL716" s="42" t="s">
        <v>30</v>
      </c>
      <c r="AM716" s="42" t="s">
        <v>31</v>
      </c>
      <c r="AN716" s="42" t="s">
        <v>32</v>
      </c>
      <c r="AO716" s="42" t="s">
        <v>33</v>
      </c>
      <c r="AP716" s="42" t="s">
        <v>34</v>
      </c>
      <c r="AQ716" s="42" t="s">
        <v>35</v>
      </c>
      <c r="AR716" s="42" t="s">
        <v>36</v>
      </c>
      <c r="AS716" s="100" t="s">
        <v>37</v>
      </c>
      <c r="AT716" s="41" t="s">
        <v>38</v>
      </c>
      <c r="AU716" s="23" t="s">
        <v>39</v>
      </c>
      <c r="AV716" s="51" t="s">
        <v>40</v>
      </c>
      <c r="AW716" s="51" t="s">
        <v>41</v>
      </c>
      <c r="AX716" s="51" t="s">
        <v>42</v>
      </c>
      <c r="AY716" s="66" t="s">
        <v>43</v>
      </c>
      <c r="AZ716" s="58" t="s">
        <v>44</v>
      </c>
      <c r="BA716" s="58" t="s">
        <v>45</v>
      </c>
      <c r="BB716" s="75" t="s">
        <v>46</v>
      </c>
      <c r="BC716" s="83" t="s">
        <v>47</v>
      </c>
      <c r="BD716" s="89" t="s">
        <v>48</v>
      </c>
      <c r="BE716" s="89" t="s">
        <v>49</v>
      </c>
      <c r="BF716" s="89" t="s">
        <v>50</v>
      </c>
      <c r="BG716" s="89" t="s">
        <v>51</v>
      </c>
      <c r="BH716" s="89" t="s">
        <v>52</v>
      </c>
      <c r="BI716" s="89" t="s">
        <v>53</v>
      </c>
      <c r="BJ716" s="86" t="s">
        <v>54</v>
      </c>
      <c r="BK716" s="123" t="s">
        <v>55</v>
      </c>
      <c r="BL716" s="123" t="s">
        <v>56</v>
      </c>
      <c r="BM716" s="123" t="s">
        <v>57</v>
      </c>
      <c r="BN716" s="123" t="s">
        <v>58</v>
      </c>
      <c r="BO716" s="131" t="s">
        <v>59</v>
      </c>
      <c r="BP716" s="131" t="s">
        <v>60</v>
      </c>
      <c r="BQ716" s="131" t="s">
        <v>61</v>
      </c>
      <c r="BR716" s="131" t="s">
        <v>62</v>
      </c>
      <c r="BS716" s="131" t="s">
        <v>63</v>
      </c>
      <c r="BT716" s="131" t="s">
        <v>64</v>
      </c>
      <c r="BU716" s="131" t="s">
        <v>65</v>
      </c>
      <c r="BV716" s="132" t="s">
        <v>66</v>
      </c>
      <c r="BW716" s="132" t="s">
        <v>67</v>
      </c>
      <c r="BX716" s="132" t="s">
        <v>68</v>
      </c>
      <c r="BY716" s="132" t="s">
        <v>69</v>
      </c>
      <c r="BZ716" s="132" t="s">
        <v>70</v>
      </c>
      <c r="CA716" s="132" t="s">
        <v>71</v>
      </c>
      <c r="CB716" s="132" t="s">
        <v>72</v>
      </c>
      <c r="CC716" s="123" t="s">
        <v>73</v>
      </c>
      <c r="CD716" s="123" t="s">
        <v>74</v>
      </c>
      <c r="CE716" s="123" t="s">
        <v>75</v>
      </c>
      <c r="CF716" s="123" t="s">
        <v>76</v>
      </c>
      <c r="CG716" s="123" t="s">
        <v>77</v>
      </c>
      <c r="CH716" s="123" t="s">
        <v>78</v>
      </c>
      <c r="CI716" s="22" t="s">
        <v>2</v>
      </c>
      <c r="CJ716" s="21" t="s">
        <v>0</v>
      </c>
      <c r="CK716" s="24" t="s">
        <v>79</v>
      </c>
      <c r="CL716"/>
      <c r="CM716"/>
      <c r="CN716"/>
      <c r="CO716"/>
      <c r="CP716"/>
      <c r="CQ716"/>
      <c r="CR716"/>
      <c r="CS716"/>
      <c r="CT716"/>
      <c r="CU716"/>
    </row>
    <row r="717" spans="1:99" x14ac:dyDescent="0.25">
      <c r="A717" s="18" t="s">
        <v>489</v>
      </c>
      <c r="B717" s="19" t="s">
        <v>171</v>
      </c>
      <c r="C717" s="25" t="s">
        <v>172</v>
      </c>
      <c r="D717" s="6">
        <v>0</v>
      </c>
      <c r="E717" s="6">
        <v>0</v>
      </c>
      <c r="F717" s="6">
        <v>0</v>
      </c>
      <c r="G717" s="163">
        <v>0</v>
      </c>
      <c r="H717" s="163">
        <v>0</v>
      </c>
      <c r="I717" s="162" t="s">
        <v>83</v>
      </c>
      <c r="J717" s="163">
        <v>0</v>
      </c>
      <c r="K717" s="163">
        <v>0</v>
      </c>
      <c r="L717" s="163">
        <v>0</v>
      </c>
      <c r="M717" s="163">
        <v>0</v>
      </c>
      <c r="N717" s="115">
        <v>0</v>
      </c>
      <c r="O717" s="115">
        <v>0</v>
      </c>
      <c r="P717" s="115">
        <v>0</v>
      </c>
      <c r="Q717" s="115">
        <v>0</v>
      </c>
      <c r="R717" s="116" t="s">
        <v>83</v>
      </c>
      <c r="S717" s="115">
        <v>0</v>
      </c>
      <c r="T717" s="115">
        <v>0</v>
      </c>
      <c r="U717" s="115">
        <v>0</v>
      </c>
      <c r="V717" s="115">
        <v>0</v>
      </c>
      <c r="W717" s="6">
        <v>680</v>
      </c>
      <c r="X717" s="40">
        <f t="shared" si="54"/>
        <v>210</v>
      </c>
      <c r="Y717" s="40">
        <f t="shared" si="55"/>
        <v>289</v>
      </c>
      <c r="Z717" s="59">
        <v>0.4824</v>
      </c>
      <c r="AA717" s="59">
        <v>0.51759999999999995</v>
      </c>
      <c r="AB717" s="61">
        <v>4.4117647058823529E-3</v>
      </c>
      <c r="AC717" s="61">
        <v>1.4705882352941176E-3</v>
      </c>
      <c r="AD717" s="61">
        <v>0.36176470588235293</v>
      </c>
      <c r="AE717" s="61">
        <v>4.8529411764705883E-2</v>
      </c>
      <c r="AF717" s="61">
        <v>0</v>
      </c>
      <c r="AG717" s="61">
        <v>0.55441176470588238</v>
      </c>
      <c r="AH717" s="61">
        <v>2.9411764705882353E-2</v>
      </c>
      <c r="AI717" s="61">
        <v>0.44558823529411767</v>
      </c>
      <c r="AJ717" s="59">
        <v>0.69099999999999995</v>
      </c>
      <c r="AK717" s="59">
        <v>1.32E-2</v>
      </c>
      <c r="AL717" s="3">
        <v>43</v>
      </c>
      <c r="AM717" s="3">
        <v>36</v>
      </c>
      <c r="AN717" s="3">
        <v>0</v>
      </c>
      <c r="AO717" s="3">
        <v>53</v>
      </c>
      <c r="AP717" s="3">
        <v>59</v>
      </c>
      <c r="AQ717" s="3">
        <v>53</v>
      </c>
      <c r="AR717" s="3">
        <v>45</v>
      </c>
      <c r="AS717" s="59">
        <v>0</v>
      </c>
      <c r="AT717" s="3">
        <v>1</v>
      </c>
      <c r="AU717" s="3">
        <v>6</v>
      </c>
      <c r="AV717" s="49">
        <v>75.739644970414204</v>
      </c>
      <c r="AW717" s="49">
        <v>19.822485207100602</v>
      </c>
      <c r="AX717" s="49">
        <v>3.55029585798817</v>
      </c>
      <c r="AY717" s="67">
        <v>0.88757396449704096</v>
      </c>
      <c r="AZ717" s="62">
        <v>0.21832884097035041</v>
      </c>
      <c r="BA717" s="62">
        <v>3.0997304582210242E-2</v>
      </c>
      <c r="BB717" s="77">
        <v>93.962076291904097</v>
      </c>
      <c r="BC717" s="49">
        <v>26.6280752532561</v>
      </c>
      <c r="BD717" s="87">
        <v>0</v>
      </c>
      <c r="BE717" s="87">
        <v>0</v>
      </c>
      <c r="BF717" s="87">
        <v>0</v>
      </c>
      <c r="BG717" s="87">
        <v>0</v>
      </c>
      <c r="BH717" s="87">
        <v>0</v>
      </c>
      <c r="BI717" s="87">
        <v>4</v>
      </c>
      <c r="BJ717" s="49">
        <v>17.899999999999999</v>
      </c>
      <c r="BK717" s="126">
        <v>16209</v>
      </c>
      <c r="BL717" s="126">
        <v>61380</v>
      </c>
      <c r="BM717" s="126">
        <v>57145</v>
      </c>
      <c r="BN717" s="126">
        <v>47198</v>
      </c>
      <c r="BO717" s="59">
        <v>0</v>
      </c>
      <c r="BP717" s="59">
        <v>0.377</v>
      </c>
      <c r="BQ717" s="59">
        <v>0.12590000000000001</v>
      </c>
      <c r="BR717" s="59">
        <v>0</v>
      </c>
      <c r="BS717" s="59">
        <v>0</v>
      </c>
      <c r="BT717" s="49">
        <v>15.5</v>
      </c>
      <c r="BU717" s="59">
        <f t="shared" si="56"/>
        <v>0.50290000000000001</v>
      </c>
      <c r="BV717" s="59">
        <v>1.6199999999999999E-2</v>
      </c>
      <c r="BW717" s="59">
        <v>1.0500000000000001E-2</v>
      </c>
      <c r="BX717" s="59">
        <v>2.1000000000000001E-2</v>
      </c>
      <c r="BY717" s="59">
        <v>0</v>
      </c>
      <c r="BZ717" s="59">
        <v>0</v>
      </c>
      <c r="CA717" s="49">
        <v>16.7</v>
      </c>
      <c r="CB717" s="59">
        <f t="shared" si="57"/>
        <v>4.7700000000000006E-2</v>
      </c>
      <c r="CC717" s="59">
        <v>0.40300000000000002</v>
      </c>
      <c r="CD717" s="59">
        <v>0.43969999999999998</v>
      </c>
      <c r="CE717" s="59">
        <v>0.1573</v>
      </c>
      <c r="CF717" s="59">
        <v>0</v>
      </c>
      <c r="CG717" s="59">
        <v>0</v>
      </c>
      <c r="CH717" s="49">
        <v>14.5</v>
      </c>
      <c r="CI717" s="25" t="s">
        <v>172</v>
      </c>
      <c r="CJ717" s="18" t="s">
        <v>489</v>
      </c>
      <c r="CK717" s="20"/>
    </row>
    <row r="718" spans="1:99" x14ac:dyDescent="0.25">
      <c r="A718" s="18" t="s">
        <v>489</v>
      </c>
      <c r="B718" s="19" t="s">
        <v>171</v>
      </c>
      <c r="C718" s="25" t="s">
        <v>173</v>
      </c>
      <c r="D718" s="6">
        <v>9</v>
      </c>
      <c r="E718" s="40" t="s">
        <v>83</v>
      </c>
      <c r="F718" s="6">
        <v>9</v>
      </c>
      <c r="G718" s="162" t="s">
        <v>83</v>
      </c>
      <c r="H718" s="162" t="s">
        <v>83</v>
      </c>
      <c r="I718" s="162" t="s">
        <v>83</v>
      </c>
      <c r="J718" s="163">
        <v>1</v>
      </c>
      <c r="K718" s="163">
        <v>2</v>
      </c>
      <c r="L718" s="163">
        <v>0</v>
      </c>
      <c r="M718" s="163">
        <v>6</v>
      </c>
      <c r="N718" s="115">
        <v>2.0044543429844099E-2</v>
      </c>
      <c r="O718" s="115">
        <v>2.0044543429844099E-2</v>
      </c>
      <c r="P718" s="116" t="s">
        <v>83</v>
      </c>
      <c r="Q718" s="116" t="s">
        <v>83</v>
      </c>
      <c r="R718" s="116" t="s">
        <v>83</v>
      </c>
      <c r="S718" s="115">
        <v>9.5238095238095195E-3</v>
      </c>
      <c r="T718" s="115">
        <v>1.4492753623188401E-2</v>
      </c>
      <c r="U718" s="115">
        <v>0</v>
      </c>
      <c r="V718" s="115">
        <v>6.18556701030928E-2</v>
      </c>
      <c r="W718" s="6">
        <v>419</v>
      </c>
      <c r="X718" s="40">
        <f t="shared" si="54"/>
        <v>419</v>
      </c>
      <c r="Y718" s="40">
        <f t="shared" si="55"/>
        <v>419</v>
      </c>
      <c r="Z718" s="59">
        <v>0.49159999999999998</v>
      </c>
      <c r="AA718" s="59">
        <v>0.50839999999999996</v>
      </c>
      <c r="AB718" s="61">
        <v>4.7732696897374704E-3</v>
      </c>
      <c r="AC718" s="61">
        <v>4.7732696897374704E-3</v>
      </c>
      <c r="AD718" s="61">
        <v>0.88066825775656321</v>
      </c>
      <c r="AE718" s="61">
        <v>2.6252983293556086E-2</v>
      </c>
      <c r="AF718" s="61">
        <v>0</v>
      </c>
      <c r="AG718" s="61">
        <v>7.1599045346062054E-2</v>
      </c>
      <c r="AH718" s="61">
        <v>1.1933174224343675E-2</v>
      </c>
      <c r="AI718" s="61">
        <v>0.9284009546539379</v>
      </c>
      <c r="AJ718" s="59">
        <v>0.81399999999999995</v>
      </c>
      <c r="AK718" s="59">
        <v>4.7999999999999996E-3</v>
      </c>
      <c r="AL718" s="3">
        <v>0</v>
      </c>
      <c r="AM718" s="3">
        <v>0</v>
      </c>
      <c r="AN718" s="3">
        <v>0</v>
      </c>
      <c r="AO718" s="3">
        <v>98</v>
      </c>
      <c r="AP718" s="3">
        <v>128</v>
      </c>
      <c r="AQ718" s="3">
        <v>104</v>
      </c>
      <c r="AR718" s="3">
        <v>89</v>
      </c>
      <c r="AS718" s="59">
        <v>0</v>
      </c>
      <c r="AT718" s="3">
        <v>9</v>
      </c>
      <c r="AU718" s="3">
        <v>6</v>
      </c>
      <c r="AV718" s="49">
        <v>71.223021582733807</v>
      </c>
      <c r="AW718" s="49">
        <v>20.863309352518002</v>
      </c>
      <c r="AX718" s="49">
        <v>6.8345323741007196</v>
      </c>
      <c r="AY718" s="67">
        <v>1.07913669064748</v>
      </c>
      <c r="AZ718" s="62">
        <v>0.27375565610859731</v>
      </c>
      <c r="BA718" s="62">
        <v>0.27828054298642535</v>
      </c>
      <c r="BB718" s="78">
        <v>94.202288551535204</v>
      </c>
      <c r="BC718" s="49">
        <v>19.015659955257298</v>
      </c>
      <c r="BD718" s="90" t="s">
        <v>83</v>
      </c>
      <c r="BE718" s="90" t="s">
        <v>83</v>
      </c>
      <c r="BF718" s="87">
        <v>2.1</v>
      </c>
      <c r="BG718" s="87">
        <v>0</v>
      </c>
      <c r="BH718" s="87">
        <v>1</v>
      </c>
      <c r="BI718" s="87">
        <v>1.1000000000000001</v>
      </c>
      <c r="BJ718" s="49">
        <v>17.2</v>
      </c>
      <c r="BK718" s="126">
        <v>15812</v>
      </c>
      <c r="BL718" s="126">
        <v>59033</v>
      </c>
      <c r="BM718" s="126">
        <v>59553</v>
      </c>
      <c r="BN718" s="126">
        <v>50518</v>
      </c>
      <c r="BO718" s="59">
        <v>1.8599999999999998E-2</v>
      </c>
      <c r="BP718" s="59">
        <v>0.36409999999999998</v>
      </c>
      <c r="BQ718" s="59">
        <v>0.1923</v>
      </c>
      <c r="BR718" s="59">
        <v>0</v>
      </c>
      <c r="BS718" s="59">
        <v>0</v>
      </c>
      <c r="BT718" s="49">
        <v>11.6</v>
      </c>
      <c r="BU718" s="59">
        <f t="shared" si="56"/>
        <v>0.57499999999999996</v>
      </c>
      <c r="BV718" s="59">
        <v>1.8599999999999998E-2</v>
      </c>
      <c r="BW718" s="59">
        <v>1.8599999999999998E-2</v>
      </c>
      <c r="BX718" s="59">
        <v>3.7199999999999997E-2</v>
      </c>
      <c r="BY718" s="59">
        <v>0</v>
      </c>
      <c r="BZ718" s="59">
        <v>0</v>
      </c>
      <c r="CA718" s="49">
        <v>23</v>
      </c>
      <c r="CB718" s="59">
        <f t="shared" si="57"/>
        <v>7.4399999999999994E-2</v>
      </c>
      <c r="CC718" s="59">
        <v>0.29670000000000002</v>
      </c>
      <c r="CD718" s="59">
        <v>0.41930000000000001</v>
      </c>
      <c r="CE718" s="59">
        <v>0.26540000000000002</v>
      </c>
      <c r="CF718" s="59">
        <v>0</v>
      </c>
      <c r="CG718" s="59">
        <v>1.8599999999999998E-2</v>
      </c>
      <c r="CH718" s="49">
        <v>11.8</v>
      </c>
      <c r="CI718" s="25" t="s">
        <v>173</v>
      </c>
      <c r="CJ718" s="18" t="s">
        <v>489</v>
      </c>
      <c r="CK718" s="20"/>
    </row>
    <row r="719" spans="1:99" x14ac:dyDescent="0.25">
      <c r="A719" s="18" t="s">
        <v>489</v>
      </c>
      <c r="B719" s="19" t="s">
        <v>171</v>
      </c>
      <c r="C719" s="25" t="s">
        <v>174</v>
      </c>
      <c r="D719" s="6">
        <v>2</v>
      </c>
      <c r="E719" s="6">
        <v>0</v>
      </c>
      <c r="F719" s="6">
        <v>2</v>
      </c>
      <c r="G719" s="163">
        <v>0</v>
      </c>
      <c r="H719" s="163">
        <v>0</v>
      </c>
      <c r="I719" s="162" t="s">
        <v>83</v>
      </c>
      <c r="J719" s="163">
        <v>0</v>
      </c>
      <c r="K719" s="163">
        <v>1</v>
      </c>
      <c r="L719" s="163">
        <v>1</v>
      </c>
      <c r="M719" s="163">
        <v>0</v>
      </c>
      <c r="N719" s="115">
        <v>1.1235955056179799E-2</v>
      </c>
      <c r="O719" s="115">
        <v>1.6806722689075598E-2</v>
      </c>
      <c r="P719" s="115">
        <v>0</v>
      </c>
      <c r="Q719" s="115">
        <v>0</v>
      </c>
      <c r="R719" s="116" t="s">
        <v>83</v>
      </c>
      <c r="S719" s="115">
        <v>0</v>
      </c>
      <c r="T719" s="115">
        <v>2.8571428571428598E-2</v>
      </c>
      <c r="U719" s="115">
        <v>2.7027027027027001E-2</v>
      </c>
      <c r="V719" s="115">
        <v>0</v>
      </c>
      <c r="W719" s="6">
        <v>398</v>
      </c>
      <c r="X719" s="40">
        <f t="shared" si="54"/>
        <v>109</v>
      </c>
      <c r="Y719" s="40">
        <f t="shared" si="55"/>
        <v>164</v>
      </c>
      <c r="Z719" s="59">
        <v>0.47739999999999999</v>
      </c>
      <c r="AA719" s="59">
        <v>0.52259999999999995</v>
      </c>
      <c r="AB719" s="61">
        <v>2.5125628140703518E-3</v>
      </c>
      <c r="AC719" s="61">
        <v>0</v>
      </c>
      <c r="AD719" s="61">
        <v>0.16834170854271358</v>
      </c>
      <c r="AE719" s="61">
        <v>1.0050251256281407E-2</v>
      </c>
      <c r="AF719" s="61">
        <v>0</v>
      </c>
      <c r="AG719" s="61">
        <v>0.80904522613065322</v>
      </c>
      <c r="AH719" s="61">
        <v>1.0050251256281407E-2</v>
      </c>
      <c r="AI719" s="61">
        <v>0.19095477386934673</v>
      </c>
      <c r="AJ719" s="59">
        <v>0.55000000000000004</v>
      </c>
      <c r="AK719" s="59">
        <v>7.4999999999999997E-3</v>
      </c>
      <c r="AL719" s="3">
        <v>24</v>
      </c>
      <c r="AM719" s="3">
        <v>31</v>
      </c>
      <c r="AN719" s="3">
        <v>0</v>
      </c>
      <c r="AO719" s="3">
        <v>21</v>
      </c>
      <c r="AP719" s="3">
        <v>32</v>
      </c>
      <c r="AQ719" s="3">
        <v>35</v>
      </c>
      <c r="AR719" s="3">
        <v>21</v>
      </c>
      <c r="AS719" s="59">
        <v>0</v>
      </c>
      <c r="AT719" s="3">
        <v>1</v>
      </c>
      <c r="AU719" s="3">
        <v>6</v>
      </c>
      <c r="AV719" s="49">
        <v>78.523489932885909</v>
      </c>
      <c r="AW719" s="49">
        <v>16.778523489932901</v>
      </c>
      <c r="AX719" s="49">
        <v>4.6979865771812106</v>
      </c>
      <c r="AY719" s="67">
        <v>0</v>
      </c>
      <c r="AZ719" s="62">
        <v>9.4786729857819899E-2</v>
      </c>
      <c r="BA719" s="62">
        <v>2.132701421800948E-2</v>
      </c>
      <c r="BB719" s="77">
        <v>95.209784398748994</v>
      </c>
      <c r="BC719" s="49">
        <v>13.4328358208955</v>
      </c>
      <c r="BD719" s="87">
        <v>3.8</v>
      </c>
      <c r="BE719" s="87">
        <v>3.2</v>
      </c>
      <c r="BF719" s="87">
        <v>4.8</v>
      </c>
      <c r="BG719" s="87">
        <v>0</v>
      </c>
      <c r="BH719" s="87">
        <v>2.9</v>
      </c>
      <c r="BI719" s="87">
        <v>0</v>
      </c>
      <c r="BJ719" s="49">
        <v>19</v>
      </c>
      <c r="BK719" s="126">
        <v>16423</v>
      </c>
      <c r="BL719" s="126">
        <v>61435</v>
      </c>
      <c r="BM719" s="126">
        <v>71758</v>
      </c>
      <c r="BN719" s="126">
        <v>51524</v>
      </c>
      <c r="BO719" s="59">
        <v>0</v>
      </c>
      <c r="BP719" s="59">
        <v>0.39800000000000002</v>
      </c>
      <c r="BQ719" s="59">
        <v>0.2107</v>
      </c>
      <c r="BR719" s="59">
        <v>0</v>
      </c>
      <c r="BS719" s="59">
        <v>0</v>
      </c>
      <c r="BT719" s="49">
        <v>16.600000000000001</v>
      </c>
      <c r="BU719" s="59">
        <f t="shared" si="56"/>
        <v>0.60870000000000002</v>
      </c>
      <c r="BV719" s="59">
        <v>1.9199999999999998E-2</v>
      </c>
      <c r="BW719" s="59">
        <v>0</v>
      </c>
      <c r="BX719" s="59">
        <v>1.9199999999999998E-2</v>
      </c>
      <c r="BY719" s="59">
        <v>0</v>
      </c>
      <c r="BZ719" s="59">
        <v>0</v>
      </c>
      <c r="CA719" s="49">
        <v>26</v>
      </c>
      <c r="CB719" s="59">
        <f t="shared" si="57"/>
        <v>3.8399999999999997E-2</v>
      </c>
      <c r="CC719" s="59">
        <v>0.31459999999999999</v>
      </c>
      <c r="CD719" s="59">
        <v>0.43630000000000002</v>
      </c>
      <c r="CE719" s="59">
        <v>0.24909999999999999</v>
      </c>
      <c r="CF719" s="59">
        <v>0</v>
      </c>
      <c r="CG719" s="59">
        <v>0</v>
      </c>
      <c r="CH719" s="49">
        <v>15.7</v>
      </c>
      <c r="CI719" s="25" t="s">
        <v>174</v>
      </c>
      <c r="CJ719" s="18" t="s">
        <v>489</v>
      </c>
      <c r="CK719" s="20"/>
    </row>
    <row r="720" spans="1:99" x14ac:dyDescent="0.25">
      <c r="A720" s="18" t="s">
        <v>489</v>
      </c>
      <c r="B720" s="19" t="s">
        <v>171</v>
      </c>
      <c r="C720" s="25" t="s">
        <v>175</v>
      </c>
      <c r="D720" s="6">
        <v>15</v>
      </c>
      <c r="E720" s="40" t="s">
        <v>83</v>
      </c>
      <c r="F720" s="6">
        <v>15</v>
      </c>
      <c r="G720" s="162" t="s">
        <v>83</v>
      </c>
      <c r="H720" s="162" t="s">
        <v>83</v>
      </c>
      <c r="I720" s="162" t="s">
        <v>83</v>
      </c>
      <c r="J720" s="163">
        <v>2</v>
      </c>
      <c r="K720" s="163">
        <v>4</v>
      </c>
      <c r="L720" s="163">
        <v>7</v>
      </c>
      <c r="M720" s="163">
        <v>2</v>
      </c>
      <c r="N720" s="115">
        <v>0.02</v>
      </c>
      <c r="O720" s="115">
        <v>0.02</v>
      </c>
      <c r="P720" s="116" t="s">
        <v>83</v>
      </c>
      <c r="Q720" s="116" t="s">
        <v>83</v>
      </c>
      <c r="R720" s="116" t="s">
        <v>83</v>
      </c>
      <c r="S720" s="115">
        <v>8.8495575221238902E-3</v>
      </c>
      <c r="T720" s="115">
        <v>2.1621621621621599E-2</v>
      </c>
      <c r="U720" s="115">
        <v>3.8888888888888903E-2</v>
      </c>
      <c r="V720" s="115">
        <v>1.25786163522013E-2</v>
      </c>
      <c r="W720" s="6">
        <v>711</v>
      </c>
      <c r="X720" s="40">
        <f t="shared" si="54"/>
        <v>711</v>
      </c>
      <c r="Y720" s="40">
        <f t="shared" si="55"/>
        <v>711</v>
      </c>
      <c r="Z720" s="59">
        <v>0.46410000000000001</v>
      </c>
      <c r="AA720" s="59">
        <v>0.53590000000000004</v>
      </c>
      <c r="AB720" s="61">
        <v>2.8129395218002813E-3</v>
      </c>
      <c r="AC720" s="61">
        <v>7.0323488045007029E-3</v>
      </c>
      <c r="AD720" s="61">
        <v>0.21800281293952181</v>
      </c>
      <c r="AE720" s="61">
        <v>2.5316455696202531E-2</v>
      </c>
      <c r="AF720" s="61">
        <v>0</v>
      </c>
      <c r="AG720" s="61">
        <v>0.7412095639943741</v>
      </c>
      <c r="AH720" s="61">
        <v>5.6258790436005627E-3</v>
      </c>
      <c r="AI720" s="61">
        <v>0.2587904360056259</v>
      </c>
      <c r="AJ720" s="59">
        <v>0.435</v>
      </c>
      <c r="AK720" s="59">
        <v>2.8E-3</v>
      </c>
      <c r="AL720" s="3">
        <v>0</v>
      </c>
      <c r="AM720" s="3">
        <v>0</v>
      </c>
      <c r="AN720" s="3">
        <v>0</v>
      </c>
      <c r="AO720" s="3">
        <v>210</v>
      </c>
      <c r="AP720" s="3">
        <v>177</v>
      </c>
      <c r="AQ720" s="3">
        <v>170</v>
      </c>
      <c r="AR720" s="3">
        <v>154</v>
      </c>
      <c r="AS720" s="59">
        <v>0</v>
      </c>
      <c r="AT720" s="3">
        <v>9</v>
      </c>
      <c r="AU720" s="3">
        <v>6</v>
      </c>
      <c r="AV720" s="49">
        <v>53.374233128834405</v>
      </c>
      <c r="AW720" s="49">
        <v>26.380368098159501</v>
      </c>
      <c r="AX720" s="49">
        <v>19.018404907975501</v>
      </c>
      <c r="AY720" s="67">
        <v>1.22699386503067</v>
      </c>
      <c r="AZ720" s="62">
        <v>0.18809201623815969</v>
      </c>
      <c r="BA720" s="62">
        <v>2.165087956698241E-2</v>
      </c>
      <c r="BB720" s="78">
        <v>93.651056248409304</v>
      </c>
      <c r="BC720" s="49">
        <v>11.631016042780701</v>
      </c>
      <c r="BD720" s="90" t="s">
        <v>83</v>
      </c>
      <c r="BE720" s="90" t="s">
        <v>83</v>
      </c>
      <c r="BF720" s="87">
        <v>7.5</v>
      </c>
      <c r="BG720" s="87">
        <v>1.8</v>
      </c>
      <c r="BH720" s="87">
        <v>0</v>
      </c>
      <c r="BI720" s="87">
        <v>0.6</v>
      </c>
      <c r="BJ720" s="49">
        <v>20.8</v>
      </c>
      <c r="BK720" s="126">
        <v>13124</v>
      </c>
      <c r="BL720" s="126">
        <v>61707</v>
      </c>
      <c r="BM720" s="126">
        <v>63479</v>
      </c>
      <c r="BN720" s="126">
        <v>54049</v>
      </c>
      <c r="BO720" s="59">
        <v>7.4999999999999997E-3</v>
      </c>
      <c r="BP720" s="59">
        <v>0.4758</v>
      </c>
      <c r="BQ720" s="59">
        <v>0.1522</v>
      </c>
      <c r="BR720" s="59">
        <v>0</v>
      </c>
      <c r="BS720" s="59">
        <v>1.52E-2</v>
      </c>
      <c r="BT720" s="49">
        <v>14.9</v>
      </c>
      <c r="BU720" s="59">
        <f t="shared" si="56"/>
        <v>0.65069999999999995</v>
      </c>
      <c r="BV720" s="59">
        <v>2.9700000000000001E-2</v>
      </c>
      <c r="BW720" s="59">
        <v>0</v>
      </c>
      <c r="BX720" s="59">
        <v>4.5699999999999998E-2</v>
      </c>
      <c r="BY720" s="59">
        <v>0</v>
      </c>
      <c r="BZ720" s="59">
        <v>0</v>
      </c>
      <c r="CA720" s="49">
        <v>16.5</v>
      </c>
      <c r="CB720" s="59">
        <f t="shared" si="57"/>
        <v>7.5399999999999995E-2</v>
      </c>
      <c r="CC720" s="59">
        <v>0.28070000000000001</v>
      </c>
      <c r="CD720" s="59">
        <v>0.4758</v>
      </c>
      <c r="CE720" s="59">
        <v>0.2283</v>
      </c>
      <c r="CF720" s="59">
        <v>0</v>
      </c>
      <c r="CG720" s="59">
        <v>1.52E-2</v>
      </c>
      <c r="CH720" s="49">
        <v>13.8</v>
      </c>
      <c r="CI720" s="25" t="s">
        <v>175</v>
      </c>
      <c r="CJ720" s="18" t="s">
        <v>489</v>
      </c>
      <c r="CK720" s="20"/>
    </row>
    <row r="721" spans="1:89" x14ac:dyDescent="0.25">
      <c r="A721" s="18" t="s">
        <v>489</v>
      </c>
      <c r="B721" s="19" t="s">
        <v>176</v>
      </c>
      <c r="C721" s="25" t="s">
        <v>177</v>
      </c>
      <c r="D721" s="6">
        <v>2</v>
      </c>
      <c r="E721" s="40" t="s">
        <v>83</v>
      </c>
      <c r="F721" s="6">
        <v>2</v>
      </c>
      <c r="G721" s="162" t="s">
        <v>83</v>
      </c>
      <c r="H721" s="162" t="s">
        <v>83</v>
      </c>
      <c r="I721" s="162" t="s">
        <v>83</v>
      </c>
      <c r="J721" s="163">
        <v>1</v>
      </c>
      <c r="K721" s="163">
        <v>0</v>
      </c>
      <c r="L721" s="163">
        <v>1</v>
      </c>
      <c r="M721" s="163">
        <v>0</v>
      </c>
      <c r="N721" s="115">
        <v>1.3422818791946299E-3</v>
      </c>
      <c r="O721" s="115">
        <v>1.3422818791946299E-3</v>
      </c>
      <c r="P721" s="116" t="s">
        <v>83</v>
      </c>
      <c r="Q721" s="116" t="s">
        <v>83</v>
      </c>
      <c r="R721" s="116" t="s">
        <v>83</v>
      </c>
      <c r="S721" s="115">
        <v>2.3696682464455E-3</v>
      </c>
      <c r="T721" s="115">
        <v>0</v>
      </c>
      <c r="U721" s="115">
        <v>3.0211480362537799E-3</v>
      </c>
      <c r="V721" s="115">
        <v>0</v>
      </c>
      <c r="W721" s="6">
        <v>1473</v>
      </c>
      <c r="X721" s="40">
        <f t="shared" si="54"/>
        <v>1473</v>
      </c>
      <c r="Y721" s="40">
        <f t="shared" si="55"/>
        <v>1473</v>
      </c>
      <c r="Z721" s="59">
        <v>0.66059999999999997</v>
      </c>
      <c r="AA721" s="59">
        <v>0.33939999999999998</v>
      </c>
      <c r="AB721" s="61">
        <v>1.3577732518669382E-3</v>
      </c>
      <c r="AC721" s="61">
        <v>0.15274949083503056</v>
      </c>
      <c r="AD721" s="61">
        <v>0.44942294636795654</v>
      </c>
      <c r="AE721" s="61">
        <v>5.5668703326544465E-2</v>
      </c>
      <c r="AF721" s="61">
        <v>2.0366598778004071E-3</v>
      </c>
      <c r="AG721" s="61">
        <v>0.32993890020366601</v>
      </c>
      <c r="AH721" s="61">
        <v>8.8255261371350986E-3</v>
      </c>
      <c r="AI721" s="61">
        <v>0.67006109979633399</v>
      </c>
      <c r="AJ721" s="59">
        <v>0.502</v>
      </c>
      <c r="AK721" s="59">
        <v>0</v>
      </c>
      <c r="AL721" s="3">
        <v>0</v>
      </c>
      <c r="AM721" s="3">
        <v>0</v>
      </c>
      <c r="AN721" s="3">
        <v>0</v>
      </c>
      <c r="AO721" s="3">
        <v>415</v>
      </c>
      <c r="AP721" s="3">
        <v>377</v>
      </c>
      <c r="AQ721" s="3">
        <v>328</v>
      </c>
      <c r="AR721" s="3">
        <v>353</v>
      </c>
      <c r="AS721" s="59">
        <v>0</v>
      </c>
      <c r="AT721" s="3">
        <v>9</v>
      </c>
      <c r="AU721" s="3">
        <v>7</v>
      </c>
      <c r="AV721" s="49">
        <v>40.328467153284706</v>
      </c>
      <c r="AW721" s="49">
        <v>17.700729927007298</v>
      </c>
      <c r="AX721" s="49">
        <v>34.306569343065703</v>
      </c>
      <c r="AY721" s="67">
        <v>7.6642335766423404</v>
      </c>
      <c r="AZ721" s="62">
        <v>9.5302013422818799E-2</v>
      </c>
      <c r="BA721" s="62">
        <v>0</v>
      </c>
      <c r="BB721" s="78">
        <v>99.404457128467698</v>
      </c>
      <c r="BC721" s="49">
        <v>2.4161073825503401</v>
      </c>
      <c r="BD721" s="90" t="s">
        <v>83</v>
      </c>
      <c r="BE721" s="90" t="s">
        <v>83</v>
      </c>
      <c r="BF721" s="87">
        <v>0</v>
      </c>
      <c r="BG721" s="87">
        <v>0</v>
      </c>
      <c r="BH721" s="87">
        <v>0</v>
      </c>
      <c r="BI721" s="87">
        <v>0</v>
      </c>
      <c r="BJ721" s="49">
        <v>25.6</v>
      </c>
      <c r="BK721" s="126">
        <v>10378</v>
      </c>
      <c r="BL721" s="126">
        <v>53410</v>
      </c>
      <c r="BM721" s="126">
        <v>50237</v>
      </c>
      <c r="BN721" s="126">
        <v>50088</v>
      </c>
      <c r="BO721" s="59">
        <v>0</v>
      </c>
      <c r="BP721" s="59">
        <v>0.36749999999999999</v>
      </c>
      <c r="BQ721" s="59">
        <v>0.37140000000000001</v>
      </c>
      <c r="BR721" s="59">
        <v>1.2500000000000001E-2</v>
      </c>
      <c r="BS721" s="59">
        <v>9.1999999999999998E-3</v>
      </c>
      <c r="BT721" s="49">
        <v>17</v>
      </c>
      <c r="BU721" s="59">
        <f t="shared" si="56"/>
        <v>0.76059999999999994</v>
      </c>
      <c r="BV721" s="59">
        <v>3.2500000000000001E-2</v>
      </c>
      <c r="BW721" s="59">
        <v>0</v>
      </c>
      <c r="BX721" s="59">
        <v>1.84E-2</v>
      </c>
      <c r="BY721" s="59">
        <v>0</v>
      </c>
      <c r="BZ721" s="59">
        <v>0</v>
      </c>
      <c r="CA721" s="49">
        <v>18.399999999999999</v>
      </c>
      <c r="CB721" s="59">
        <f t="shared" si="57"/>
        <v>5.0900000000000001E-2</v>
      </c>
      <c r="CC721" s="59">
        <v>0.13070000000000001</v>
      </c>
      <c r="CD721" s="59">
        <v>0.40179999999999999</v>
      </c>
      <c r="CE721" s="59">
        <v>0.43659999999999999</v>
      </c>
      <c r="CF721" s="59">
        <v>1.2500000000000001E-2</v>
      </c>
      <c r="CG721" s="59">
        <v>1.84E-2</v>
      </c>
      <c r="CH721" s="49">
        <v>16.7</v>
      </c>
      <c r="CI721" s="25" t="s">
        <v>177</v>
      </c>
      <c r="CJ721" s="18" t="s">
        <v>489</v>
      </c>
      <c r="CK721" s="20"/>
    </row>
    <row r="722" spans="1:89" x14ac:dyDescent="0.25">
      <c r="A722" s="18" t="s">
        <v>489</v>
      </c>
      <c r="B722" s="19" t="s">
        <v>176</v>
      </c>
      <c r="C722" s="25" t="s">
        <v>178</v>
      </c>
      <c r="D722" s="6">
        <v>181</v>
      </c>
      <c r="E722" s="40" t="s">
        <v>83</v>
      </c>
      <c r="F722" s="6">
        <v>181</v>
      </c>
      <c r="G722" s="162" t="s">
        <v>83</v>
      </c>
      <c r="H722" s="162" t="s">
        <v>83</v>
      </c>
      <c r="I722" s="162" t="s">
        <v>83</v>
      </c>
      <c r="J722" s="163">
        <v>34</v>
      </c>
      <c r="K722" s="163">
        <v>50</v>
      </c>
      <c r="L722" s="163">
        <v>48</v>
      </c>
      <c r="M722" s="163">
        <v>49</v>
      </c>
      <c r="N722" s="115">
        <v>0.112772585669782</v>
      </c>
      <c r="O722" s="115">
        <v>0.112772585669782</v>
      </c>
      <c r="P722" s="116" t="s">
        <v>83</v>
      </c>
      <c r="Q722" s="116" t="s">
        <v>83</v>
      </c>
      <c r="R722" s="116" t="s">
        <v>83</v>
      </c>
      <c r="S722" s="115">
        <v>7.2805139186295498E-2</v>
      </c>
      <c r="T722" s="115">
        <v>0.107991360691145</v>
      </c>
      <c r="U722" s="115">
        <v>0.12151898734177199</v>
      </c>
      <c r="V722" s="115">
        <v>0.17499999999999999</v>
      </c>
      <c r="W722" s="6">
        <v>1205</v>
      </c>
      <c r="X722" s="40">
        <f t="shared" si="54"/>
        <v>1205</v>
      </c>
      <c r="Y722" s="40">
        <f t="shared" si="55"/>
        <v>1205</v>
      </c>
      <c r="Z722" s="59">
        <v>0.50790000000000002</v>
      </c>
      <c r="AA722" s="59">
        <v>0.49209999999999998</v>
      </c>
      <c r="AB722" s="61">
        <v>1.6597510373443983E-3</v>
      </c>
      <c r="AC722" s="61">
        <v>4.9792531120331947E-3</v>
      </c>
      <c r="AD722" s="61">
        <v>0.9045643153526971</v>
      </c>
      <c r="AE722" s="61">
        <v>6.3900414937759331E-2</v>
      </c>
      <c r="AF722" s="61">
        <v>0</v>
      </c>
      <c r="AG722" s="61">
        <v>2.2406639004149378E-2</v>
      </c>
      <c r="AH722" s="61">
        <v>2.4896265560165973E-3</v>
      </c>
      <c r="AI722" s="61">
        <v>0.97759336099585059</v>
      </c>
      <c r="AJ722" s="59">
        <v>0.96799999999999997</v>
      </c>
      <c r="AK722" s="59">
        <v>5.2299999999999999E-2</v>
      </c>
      <c r="AL722" s="3">
        <v>0</v>
      </c>
      <c r="AM722" s="3">
        <v>0</v>
      </c>
      <c r="AN722" s="3">
        <v>0</v>
      </c>
      <c r="AO722" s="3">
        <v>322</v>
      </c>
      <c r="AP722" s="3">
        <v>347</v>
      </c>
      <c r="AQ722" s="3">
        <v>314</v>
      </c>
      <c r="AR722" s="3">
        <v>222</v>
      </c>
      <c r="AS722" s="59">
        <v>0</v>
      </c>
      <c r="AT722" s="3">
        <v>9</v>
      </c>
      <c r="AU722" s="3">
        <v>6</v>
      </c>
      <c r="AV722" s="49">
        <v>30.097087378640801</v>
      </c>
      <c r="AW722" s="49">
        <v>17.669902912621399</v>
      </c>
      <c r="AX722" s="49">
        <v>29.708737864077701</v>
      </c>
      <c r="AY722" s="67">
        <v>22.524271844660202</v>
      </c>
      <c r="AZ722" s="62">
        <v>0.30693069306930693</v>
      </c>
      <c r="BA722" s="62">
        <v>0</v>
      </c>
      <c r="BB722" s="77">
        <v>88.167600373482699</v>
      </c>
      <c r="BC722" s="49">
        <v>80.167958656330796</v>
      </c>
      <c r="BD722" s="90" t="s">
        <v>83</v>
      </c>
      <c r="BE722" s="90" t="s">
        <v>83</v>
      </c>
      <c r="BF722" s="87">
        <v>7.8</v>
      </c>
      <c r="BG722" s="87">
        <v>3.6</v>
      </c>
      <c r="BH722" s="87">
        <v>4.4000000000000004</v>
      </c>
      <c r="BI722" s="87">
        <v>10.5</v>
      </c>
      <c r="BJ722" s="49">
        <v>15.9</v>
      </c>
      <c r="BK722" s="126">
        <v>11986</v>
      </c>
      <c r="BL722" s="126">
        <v>52631</v>
      </c>
      <c r="BM722" s="126">
        <v>48059</v>
      </c>
      <c r="BN722" s="126">
        <v>46054</v>
      </c>
      <c r="BO722" s="59">
        <v>0</v>
      </c>
      <c r="BP722" s="59">
        <v>0.32629999999999998</v>
      </c>
      <c r="BQ722" s="59">
        <v>0.2989</v>
      </c>
      <c r="BR722" s="59">
        <v>0</v>
      </c>
      <c r="BS722" s="59">
        <v>0</v>
      </c>
      <c r="BT722" s="49">
        <v>13.2</v>
      </c>
      <c r="BU722" s="59">
        <f t="shared" si="56"/>
        <v>0.62519999999999998</v>
      </c>
      <c r="BV722" s="59">
        <v>1.7100000000000001E-2</v>
      </c>
      <c r="BW722" s="59">
        <v>1.7100000000000001E-2</v>
      </c>
      <c r="BX722" s="59">
        <v>3.1699999999999999E-2</v>
      </c>
      <c r="BY722" s="59">
        <v>8.6E-3</v>
      </c>
      <c r="BZ722" s="59">
        <v>0</v>
      </c>
      <c r="CA722" s="49">
        <v>17.7</v>
      </c>
      <c r="CB722" s="59">
        <f t="shared" si="57"/>
        <v>7.4499999999999997E-2</v>
      </c>
      <c r="CC722" s="59">
        <v>0.16439999999999999</v>
      </c>
      <c r="CD722" s="59">
        <v>0.43440000000000001</v>
      </c>
      <c r="CE722" s="59">
        <v>0.37559999999999999</v>
      </c>
      <c r="CF722" s="59">
        <v>2.5700000000000001E-2</v>
      </c>
      <c r="CG722" s="59">
        <v>0</v>
      </c>
      <c r="CH722" s="49">
        <v>13.8</v>
      </c>
      <c r="CI722" s="25" t="s">
        <v>178</v>
      </c>
      <c r="CJ722" s="18" t="s">
        <v>489</v>
      </c>
      <c r="CK722" s="20"/>
    </row>
    <row r="723" spans="1:89" ht="14.45" customHeight="1" x14ac:dyDescent="0.25">
      <c r="A723" s="18" t="s">
        <v>489</v>
      </c>
      <c r="B723" s="19" t="s">
        <v>176</v>
      </c>
      <c r="C723" s="25" t="s">
        <v>179</v>
      </c>
      <c r="D723" s="6">
        <v>138</v>
      </c>
      <c r="E723" s="40" t="s">
        <v>83</v>
      </c>
      <c r="F723" s="6">
        <v>138</v>
      </c>
      <c r="G723" s="162" t="s">
        <v>83</v>
      </c>
      <c r="H723" s="162" t="s">
        <v>83</v>
      </c>
      <c r="I723" s="162">
        <v>3</v>
      </c>
      <c r="J723" s="163">
        <v>34</v>
      </c>
      <c r="K723" s="163">
        <v>43</v>
      </c>
      <c r="L723" s="163">
        <v>33</v>
      </c>
      <c r="M723" s="163">
        <v>25</v>
      </c>
      <c r="N723" s="115">
        <v>9.4005449591280696E-2</v>
      </c>
      <c r="O723" s="115">
        <v>9.4005449591280696E-2</v>
      </c>
      <c r="P723" s="116" t="s">
        <v>83</v>
      </c>
      <c r="Q723" s="116" t="s">
        <v>83</v>
      </c>
      <c r="R723" s="116">
        <v>1</v>
      </c>
      <c r="S723" s="115">
        <v>7.6749435665914204E-2</v>
      </c>
      <c r="T723" s="115">
        <v>0.106965174129353</v>
      </c>
      <c r="U723" s="115">
        <v>9.7922848664688394E-2</v>
      </c>
      <c r="V723" s="115">
        <v>8.8339222614841006E-2</v>
      </c>
      <c r="W723" s="6">
        <v>1135</v>
      </c>
      <c r="X723" s="40">
        <f t="shared" si="54"/>
        <v>1135</v>
      </c>
      <c r="Y723" s="40">
        <f t="shared" si="55"/>
        <v>1135</v>
      </c>
      <c r="Z723" s="59">
        <v>0.46960000000000002</v>
      </c>
      <c r="AA723" s="59">
        <v>0.53039999999999998</v>
      </c>
      <c r="AB723" s="61">
        <v>1.762114537444934E-3</v>
      </c>
      <c r="AC723" s="61">
        <v>4.933920704845815E-2</v>
      </c>
      <c r="AD723" s="61">
        <v>0.75242290748898677</v>
      </c>
      <c r="AE723" s="61">
        <v>0.12422907488986784</v>
      </c>
      <c r="AF723" s="61">
        <v>3.524229074889868E-3</v>
      </c>
      <c r="AG723" s="61">
        <v>6.0792951541850222E-2</v>
      </c>
      <c r="AH723" s="61">
        <v>7.9295154185022032E-3</v>
      </c>
      <c r="AI723" s="61">
        <v>0.93920704845814973</v>
      </c>
      <c r="AJ723" s="59">
        <v>0.92300000000000004</v>
      </c>
      <c r="AK723" s="59">
        <v>0.1119</v>
      </c>
      <c r="AL723" s="3">
        <v>0</v>
      </c>
      <c r="AM723" s="3">
        <v>0</v>
      </c>
      <c r="AN723" s="3">
        <v>0</v>
      </c>
      <c r="AO723" s="3">
        <v>311</v>
      </c>
      <c r="AP723" s="3">
        <v>304</v>
      </c>
      <c r="AQ723" s="3">
        <v>281</v>
      </c>
      <c r="AR723" s="3">
        <v>239</v>
      </c>
      <c r="AS723" s="59">
        <v>0</v>
      </c>
      <c r="AT723" s="3">
        <v>9</v>
      </c>
      <c r="AU723" s="3">
        <v>6</v>
      </c>
      <c r="AV723" s="49">
        <v>42.307692307692299</v>
      </c>
      <c r="AW723" s="49">
        <v>17.399267399267401</v>
      </c>
      <c r="AX723" s="49">
        <v>27.472527472527503</v>
      </c>
      <c r="AY723" s="67">
        <v>12.8205128205128</v>
      </c>
      <c r="AZ723" s="62">
        <v>0.1192005710206995</v>
      </c>
      <c r="BA723" s="62">
        <v>1.8558172733761598E-2</v>
      </c>
      <c r="BB723" s="78">
        <v>91.412573395644699</v>
      </c>
      <c r="BC723" s="49">
        <v>74.2616033755274</v>
      </c>
      <c r="BD723" s="90" t="s">
        <v>83</v>
      </c>
      <c r="BE723" s="90" t="s">
        <v>83</v>
      </c>
      <c r="BF723" s="87">
        <v>14.9</v>
      </c>
      <c r="BG723" s="87">
        <v>4.5999999999999996</v>
      </c>
      <c r="BH723" s="87">
        <v>1.2</v>
      </c>
      <c r="BI723" s="87">
        <v>10.1</v>
      </c>
      <c r="BJ723" s="49">
        <v>17.100000000000001</v>
      </c>
      <c r="BK723" s="126">
        <v>11788</v>
      </c>
      <c r="BL723" s="126">
        <v>54133</v>
      </c>
      <c r="BM723" s="126">
        <v>59905</v>
      </c>
      <c r="BN723" s="126">
        <v>49245</v>
      </c>
      <c r="BO723" s="59">
        <v>9.7000000000000003E-3</v>
      </c>
      <c r="BP723" s="59">
        <v>0.41089999999999999</v>
      </c>
      <c r="BQ723" s="59">
        <v>0.2472</v>
      </c>
      <c r="BR723" s="59">
        <v>0</v>
      </c>
      <c r="BS723" s="59">
        <v>1.9300000000000001E-2</v>
      </c>
      <c r="BT723" s="49">
        <v>14.8</v>
      </c>
      <c r="BU723" s="59">
        <f t="shared" si="56"/>
        <v>0.68709999999999993</v>
      </c>
      <c r="BV723" s="59">
        <v>9.7000000000000003E-3</v>
      </c>
      <c r="BW723" s="59">
        <v>1.2999999999999999E-2</v>
      </c>
      <c r="BX723" s="59">
        <v>4.1500000000000002E-2</v>
      </c>
      <c r="BY723" s="59">
        <v>0</v>
      </c>
      <c r="BZ723" s="59">
        <v>0</v>
      </c>
      <c r="CA723" s="49">
        <v>18.399999999999999</v>
      </c>
      <c r="CB723" s="59">
        <f t="shared" si="57"/>
        <v>6.4200000000000007E-2</v>
      </c>
      <c r="CC723" s="59">
        <v>0.1181</v>
      </c>
      <c r="CD723" s="59">
        <v>0.49909999999999999</v>
      </c>
      <c r="CE723" s="59">
        <v>0.36349999999999999</v>
      </c>
      <c r="CF723" s="59">
        <v>0</v>
      </c>
      <c r="CG723" s="59">
        <v>1.9300000000000001E-2</v>
      </c>
      <c r="CH723" s="49">
        <v>14.7</v>
      </c>
      <c r="CI723" s="25" t="s">
        <v>179</v>
      </c>
      <c r="CJ723" s="18" t="s">
        <v>489</v>
      </c>
      <c r="CK723" s="20"/>
    </row>
    <row r="724" spans="1:89" ht="14.45" customHeight="1" x14ac:dyDescent="0.25">
      <c r="A724" s="18" t="s">
        <v>489</v>
      </c>
      <c r="B724" s="25" t="s">
        <v>176</v>
      </c>
      <c r="C724" s="48" t="s">
        <v>180</v>
      </c>
      <c r="D724" s="7">
        <v>94</v>
      </c>
      <c r="E724" s="40" t="s">
        <v>83</v>
      </c>
      <c r="F724" s="7">
        <v>94</v>
      </c>
      <c r="G724" s="162" t="s">
        <v>83</v>
      </c>
      <c r="H724" s="162" t="s">
        <v>83</v>
      </c>
      <c r="I724" s="162">
        <v>1</v>
      </c>
      <c r="J724" s="163">
        <v>42</v>
      </c>
      <c r="K724" s="163">
        <v>16</v>
      </c>
      <c r="L724" s="163">
        <v>21</v>
      </c>
      <c r="M724" s="163">
        <v>14</v>
      </c>
      <c r="N724" s="115">
        <v>0.12702702702702701</v>
      </c>
      <c r="O724" s="115">
        <v>0.12702702702702701</v>
      </c>
      <c r="P724" s="116" t="s">
        <v>83</v>
      </c>
      <c r="Q724" s="116" t="s">
        <v>83</v>
      </c>
      <c r="R724" s="116">
        <v>1</v>
      </c>
      <c r="S724" s="115">
        <v>0.16800000000000001</v>
      </c>
      <c r="T724" s="115">
        <v>9.41176470588235E-2</v>
      </c>
      <c r="U724" s="115">
        <v>0.117977528089888</v>
      </c>
      <c r="V724" s="115">
        <v>9.9290780141844004E-2</v>
      </c>
      <c r="W724" s="7">
        <v>558</v>
      </c>
      <c r="X724" s="40">
        <f t="shared" si="54"/>
        <v>558</v>
      </c>
      <c r="Y724" s="40">
        <f t="shared" si="55"/>
        <v>558</v>
      </c>
      <c r="Z724" s="112">
        <v>0.510752688172043</v>
      </c>
      <c r="AA724" s="112">
        <v>0.489247311827957</v>
      </c>
      <c r="AB724" s="111">
        <v>0</v>
      </c>
      <c r="AC724" s="111">
        <v>0</v>
      </c>
      <c r="AD724" s="111">
        <v>0.9623655913978495</v>
      </c>
      <c r="AE724" s="111">
        <v>2.5089605734767026E-2</v>
      </c>
      <c r="AF724" s="111">
        <v>1.7921146953405018E-3</v>
      </c>
      <c r="AG724" s="111">
        <v>7.1684587813620072E-3</v>
      </c>
      <c r="AH724" s="111">
        <v>3.5842293906810036E-3</v>
      </c>
      <c r="AI724" s="111">
        <v>0.99283154121863804</v>
      </c>
      <c r="AJ724" s="111">
        <v>0.9731182795698925</v>
      </c>
      <c r="AK724" s="112">
        <v>1.7921146953405E-2</v>
      </c>
      <c r="AL724" s="11">
        <v>0</v>
      </c>
      <c r="AM724" s="11">
        <v>0</v>
      </c>
      <c r="AN724" s="11">
        <v>0</v>
      </c>
      <c r="AO724" s="11">
        <v>161</v>
      </c>
      <c r="AP724" s="11">
        <v>145</v>
      </c>
      <c r="AQ724" s="11">
        <v>136</v>
      </c>
      <c r="AR724" s="11">
        <v>116</v>
      </c>
      <c r="AS724" s="59">
        <v>0</v>
      </c>
      <c r="AT724" s="3">
        <v>9</v>
      </c>
      <c r="AU724" s="3">
        <v>6</v>
      </c>
      <c r="AV724" s="49">
        <v>61.230769230769198</v>
      </c>
      <c r="AW724" s="49">
        <v>20</v>
      </c>
      <c r="AX724" s="49">
        <v>13.538461538461499</v>
      </c>
      <c r="AY724" s="67">
        <v>5.2307692307692299</v>
      </c>
      <c r="AZ724" s="62">
        <v>0.2417910447761194</v>
      </c>
      <c r="BA724" s="62">
        <v>0</v>
      </c>
      <c r="BB724" s="77">
        <v>90.820329767483003</v>
      </c>
      <c r="BC724" s="49">
        <v>75.109809663250402</v>
      </c>
      <c r="BD724" s="90" t="s">
        <v>83</v>
      </c>
      <c r="BE724" s="90" t="s">
        <v>83</v>
      </c>
      <c r="BF724" s="87">
        <v>8.4</v>
      </c>
      <c r="BG724" s="87">
        <v>8</v>
      </c>
      <c r="BH724" s="87">
        <v>4.0999999999999996</v>
      </c>
      <c r="BI724" s="87">
        <v>8.1</v>
      </c>
      <c r="BJ724" s="49">
        <v>16.3</v>
      </c>
      <c r="BK724" s="126">
        <v>16274</v>
      </c>
      <c r="BL724" s="126">
        <v>55134</v>
      </c>
      <c r="BM724" s="126">
        <v>57393</v>
      </c>
      <c r="BN724" s="126">
        <v>48483</v>
      </c>
      <c r="BO724" s="59">
        <v>0</v>
      </c>
      <c r="BP724" s="59">
        <v>0.25259999999999999</v>
      </c>
      <c r="BQ724" s="59">
        <v>0.30559999999999998</v>
      </c>
      <c r="BR724" s="59">
        <v>0</v>
      </c>
      <c r="BS724" s="59">
        <v>6.0299999999999999E-2</v>
      </c>
      <c r="BT724" s="49">
        <v>18.3</v>
      </c>
      <c r="BU724" s="59">
        <f t="shared" si="56"/>
        <v>0.61850000000000005</v>
      </c>
      <c r="BV724" s="59">
        <v>2.4199999999999999E-2</v>
      </c>
      <c r="BW724" s="59">
        <v>1.21E-2</v>
      </c>
      <c r="BX724" s="59">
        <v>4.8399999999999999E-2</v>
      </c>
      <c r="BY724" s="59">
        <v>0</v>
      </c>
      <c r="BZ724" s="59">
        <v>0</v>
      </c>
      <c r="CA724" s="49">
        <v>16.100000000000001</v>
      </c>
      <c r="CB724" s="59">
        <f t="shared" si="57"/>
        <v>8.4699999999999998E-2</v>
      </c>
      <c r="CC724" s="59">
        <v>0.19670000000000001</v>
      </c>
      <c r="CD724" s="59">
        <v>0.32</v>
      </c>
      <c r="CE724" s="59">
        <v>0.42280000000000001</v>
      </c>
      <c r="CF724" s="59">
        <v>0</v>
      </c>
      <c r="CG724" s="59">
        <v>6.0499999999999998E-2</v>
      </c>
      <c r="CH724" s="49">
        <v>17</v>
      </c>
      <c r="CI724" s="48" t="s">
        <v>180</v>
      </c>
      <c r="CJ724" s="18" t="s">
        <v>489</v>
      </c>
      <c r="CK724" s="20"/>
    </row>
    <row r="725" spans="1:89" ht="14.45" customHeight="1" x14ac:dyDescent="0.25">
      <c r="A725" s="18" t="s">
        <v>489</v>
      </c>
      <c r="B725" s="25" t="s">
        <v>176</v>
      </c>
      <c r="C725" s="48" t="s">
        <v>181</v>
      </c>
      <c r="D725" s="7">
        <v>152</v>
      </c>
      <c r="E725" s="40" t="s">
        <v>83</v>
      </c>
      <c r="F725" s="7">
        <v>152</v>
      </c>
      <c r="G725" s="162" t="s">
        <v>83</v>
      </c>
      <c r="H725" s="162" t="s">
        <v>83</v>
      </c>
      <c r="I725" s="162" t="s">
        <v>83</v>
      </c>
      <c r="J725" s="163">
        <v>43</v>
      </c>
      <c r="K725" s="163">
        <v>43</v>
      </c>
      <c r="L725" s="163">
        <v>44</v>
      </c>
      <c r="M725" s="163">
        <v>22</v>
      </c>
      <c r="N725" s="115">
        <v>9.2065414900060594E-2</v>
      </c>
      <c r="O725" s="115">
        <v>9.2065414900060594E-2</v>
      </c>
      <c r="P725" s="116" t="s">
        <v>83</v>
      </c>
      <c r="Q725" s="116" t="s">
        <v>83</v>
      </c>
      <c r="R725" s="116" t="s">
        <v>83</v>
      </c>
      <c r="S725" s="115">
        <v>8.3495145631067996E-2</v>
      </c>
      <c r="T725" s="115">
        <v>9.4713656387665199E-2</v>
      </c>
      <c r="U725" s="115">
        <v>0.122222222222222</v>
      </c>
      <c r="V725" s="115">
        <v>6.8322981366459604E-2</v>
      </c>
      <c r="W725" s="7">
        <v>1378</v>
      </c>
      <c r="X725" s="40">
        <f t="shared" si="54"/>
        <v>1378</v>
      </c>
      <c r="Y725" s="40">
        <f t="shared" si="55"/>
        <v>1378</v>
      </c>
      <c r="Z725" s="112">
        <v>0.479680696661829</v>
      </c>
      <c r="AA725" s="112">
        <v>0.520319303338171</v>
      </c>
      <c r="AB725" s="111">
        <v>0</v>
      </c>
      <c r="AC725" s="111">
        <v>9.433962264150943E-3</v>
      </c>
      <c r="AD725" s="111">
        <v>0.86357039187227869</v>
      </c>
      <c r="AE725" s="111">
        <v>6.095791001451379E-2</v>
      </c>
      <c r="AF725" s="111">
        <v>2.9027576197387518E-3</v>
      </c>
      <c r="AG725" s="111">
        <v>5.6603773584905662E-2</v>
      </c>
      <c r="AH725" s="111">
        <v>6.5312046444121917E-3</v>
      </c>
      <c r="AI725" s="111">
        <v>0.94339622641509435</v>
      </c>
      <c r="AJ725" s="111">
        <v>0.88896952104499272</v>
      </c>
      <c r="AK725" s="112">
        <v>5.2975326560232197E-2</v>
      </c>
      <c r="AL725" s="11">
        <v>0</v>
      </c>
      <c r="AM725" s="11">
        <v>0</v>
      </c>
      <c r="AN725" s="11">
        <v>0</v>
      </c>
      <c r="AO725" s="11">
        <v>400</v>
      </c>
      <c r="AP725" s="11">
        <v>373</v>
      </c>
      <c r="AQ725" s="11">
        <v>309</v>
      </c>
      <c r="AR725" s="11">
        <v>296</v>
      </c>
      <c r="AS725" s="59">
        <v>0</v>
      </c>
      <c r="AT725" s="3">
        <v>9</v>
      </c>
      <c r="AU725" s="3">
        <v>6</v>
      </c>
      <c r="AV725" s="49">
        <v>52.140672782874596</v>
      </c>
      <c r="AW725" s="49">
        <v>16.207951070336399</v>
      </c>
      <c r="AX725" s="49">
        <v>21.559633027522899</v>
      </c>
      <c r="AY725" s="67">
        <v>10.0917431192661</v>
      </c>
      <c r="AZ725" s="62">
        <v>0.2326478149100257</v>
      </c>
      <c r="BA725" s="62">
        <v>8.3547557840616959E-3</v>
      </c>
      <c r="BB725" s="78">
        <v>93.895054358640394</v>
      </c>
      <c r="BC725" s="49">
        <v>79.590531030070395</v>
      </c>
      <c r="BD725" s="90" t="s">
        <v>83</v>
      </c>
      <c r="BE725" s="90" t="s">
        <v>83</v>
      </c>
      <c r="BF725" s="87">
        <v>16.399999999999999</v>
      </c>
      <c r="BG725" s="87">
        <v>1.7</v>
      </c>
      <c r="BH725" s="87">
        <v>4</v>
      </c>
      <c r="BI725" s="87">
        <v>4.3</v>
      </c>
      <c r="BJ725" s="49">
        <v>18.399999999999999</v>
      </c>
      <c r="BK725" s="126">
        <v>12458</v>
      </c>
      <c r="BL725" s="126">
        <v>52161</v>
      </c>
      <c r="BM725" s="126">
        <v>51588</v>
      </c>
      <c r="BN725" s="126">
        <v>49555</v>
      </c>
      <c r="BO725" s="59">
        <v>0</v>
      </c>
      <c r="BP725" s="59">
        <v>0.36599999999999999</v>
      </c>
      <c r="BQ725" s="59">
        <v>0.32719999999999999</v>
      </c>
      <c r="BR725" s="59">
        <v>1.04E-2</v>
      </c>
      <c r="BS725" s="59">
        <v>3.7199999999999997E-2</v>
      </c>
      <c r="BT725" s="49">
        <v>12.4</v>
      </c>
      <c r="BU725" s="59">
        <f t="shared" si="56"/>
        <v>0.74080000000000001</v>
      </c>
      <c r="BV725" s="59">
        <v>9.2999999999999992E-3</v>
      </c>
      <c r="BW725" s="59">
        <v>1.46E-2</v>
      </c>
      <c r="BX725" s="59">
        <v>2.5100000000000001E-2</v>
      </c>
      <c r="BY725" s="59">
        <v>0</v>
      </c>
      <c r="BZ725" s="59">
        <v>7.4000000000000003E-3</v>
      </c>
      <c r="CA725" s="49">
        <v>15.7</v>
      </c>
      <c r="CB725" s="59">
        <f t="shared" si="57"/>
        <v>5.6400000000000006E-2</v>
      </c>
      <c r="CC725" s="59">
        <v>9.2200000000000004E-2</v>
      </c>
      <c r="CD725" s="59">
        <v>0.41970000000000002</v>
      </c>
      <c r="CE725" s="59">
        <v>0.42580000000000001</v>
      </c>
      <c r="CF725" s="59">
        <v>1.04E-2</v>
      </c>
      <c r="CG725" s="59">
        <v>5.1999999999999998E-2</v>
      </c>
      <c r="CH725" s="49">
        <v>12.7</v>
      </c>
      <c r="CI725" s="48" t="s">
        <v>181</v>
      </c>
      <c r="CJ725" s="18" t="s">
        <v>489</v>
      </c>
      <c r="CK725" s="20"/>
    </row>
    <row r="726" spans="1:89" ht="14.45" customHeight="1" x14ac:dyDescent="0.25">
      <c r="A726" s="18" t="s">
        <v>489</v>
      </c>
      <c r="B726" s="25" t="s">
        <v>176</v>
      </c>
      <c r="C726" s="48" t="s">
        <v>182</v>
      </c>
      <c r="D726" s="7">
        <v>23</v>
      </c>
      <c r="E726" s="7">
        <v>3</v>
      </c>
      <c r="F726" s="7">
        <v>20</v>
      </c>
      <c r="G726" s="163">
        <v>1</v>
      </c>
      <c r="H726" s="163">
        <v>2</v>
      </c>
      <c r="I726" s="162" t="s">
        <v>83</v>
      </c>
      <c r="J726" s="163">
        <v>4</v>
      </c>
      <c r="K726" s="163">
        <v>9</v>
      </c>
      <c r="L726" s="163">
        <v>7</v>
      </c>
      <c r="M726" s="163">
        <v>0</v>
      </c>
      <c r="N726" s="115">
        <v>0.04</v>
      </c>
      <c r="O726" s="115">
        <v>0.05</v>
      </c>
      <c r="P726" s="115">
        <v>1.1764705882352899E-2</v>
      </c>
      <c r="Q726" s="115">
        <v>2.2222222222222199E-2</v>
      </c>
      <c r="R726" s="116" t="s">
        <v>83</v>
      </c>
      <c r="S726" s="115">
        <v>3.5398230088495602E-2</v>
      </c>
      <c r="T726" s="115">
        <v>8.5714285714285701E-2</v>
      </c>
      <c r="U726" s="115">
        <v>5.83333333333333E-2</v>
      </c>
      <c r="V726" s="115">
        <v>0</v>
      </c>
      <c r="W726" s="7">
        <v>486</v>
      </c>
      <c r="X726" s="40">
        <f t="shared" si="54"/>
        <v>346</v>
      </c>
      <c r="Y726" s="40">
        <f t="shared" si="55"/>
        <v>486</v>
      </c>
      <c r="Z726" s="112">
        <v>0.48559670781893</v>
      </c>
      <c r="AA726" s="112">
        <v>0.51440329218106995</v>
      </c>
      <c r="AB726" s="111">
        <v>6.1728395061728392E-3</v>
      </c>
      <c r="AC726" s="111">
        <v>2.05761316872428E-3</v>
      </c>
      <c r="AD726" s="111">
        <v>0.82098765432098764</v>
      </c>
      <c r="AE726" s="111">
        <v>2.2633744855967079E-2</v>
      </c>
      <c r="AF726" s="111">
        <v>0</v>
      </c>
      <c r="AG726" s="111">
        <v>0.1419753086419753</v>
      </c>
      <c r="AH726" s="111">
        <v>6.1728395061728392E-3</v>
      </c>
      <c r="AI726" s="111">
        <v>0.85802469135802473</v>
      </c>
      <c r="AJ726" s="111">
        <v>0.93827160493827155</v>
      </c>
      <c r="AK726" s="112">
        <v>2.05761316872428E-3</v>
      </c>
      <c r="AL726" s="11">
        <v>70</v>
      </c>
      <c r="AM726" s="11">
        <v>70</v>
      </c>
      <c r="AN726" s="11">
        <v>0</v>
      </c>
      <c r="AO726" s="11">
        <v>89</v>
      </c>
      <c r="AP726" s="11">
        <v>95</v>
      </c>
      <c r="AQ726" s="11">
        <v>103</v>
      </c>
      <c r="AR726" s="11">
        <v>59</v>
      </c>
      <c r="AS726" s="59">
        <v>0</v>
      </c>
      <c r="AT726" s="3">
        <v>7</v>
      </c>
      <c r="AU726" s="3">
        <v>6</v>
      </c>
      <c r="AV726" s="49">
        <v>70.093457943925202</v>
      </c>
      <c r="AW726" s="49">
        <v>26.791277258566996</v>
      </c>
      <c r="AX726" s="49">
        <v>1.86915887850467</v>
      </c>
      <c r="AY726" s="67">
        <v>1.2461059190031198</v>
      </c>
      <c r="AZ726" s="62">
        <v>0.12903225806451613</v>
      </c>
      <c r="BA726" s="62">
        <v>0</v>
      </c>
      <c r="BB726" s="78">
        <v>91.108464757000306</v>
      </c>
      <c r="BC726" s="49">
        <v>77.659574468085097</v>
      </c>
      <c r="BD726" s="87">
        <v>3</v>
      </c>
      <c r="BE726" s="87">
        <v>9.9</v>
      </c>
      <c r="BF726" s="87">
        <v>2.2000000000000002</v>
      </c>
      <c r="BG726" s="87">
        <v>1.3</v>
      </c>
      <c r="BH726" s="87">
        <v>3.1</v>
      </c>
      <c r="BI726" s="87">
        <v>5.0999999999999996</v>
      </c>
      <c r="BJ726" s="49">
        <v>17.3</v>
      </c>
      <c r="BK726" s="126">
        <v>17089</v>
      </c>
      <c r="BL726" s="126">
        <v>57595</v>
      </c>
      <c r="BM726" s="126">
        <v>60012</v>
      </c>
      <c r="BN726" s="126">
        <v>51024</v>
      </c>
      <c r="BO726" s="59">
        <v>0</v>
      </c>
      <c r="BP726" s="59">
        <v>0.2777</v>
      </c>
      <c r="BQ726" s="59">
        <v>0.3231</v>
      </c>
      <c r="BR726" s="59">
        <v>2.7300000000000001E-2</v>
      </c>
      <c r="BS726" s="59">
        <v>1.3599999999999999E-2</v>
      </c>
      <c r="BT726" s="49">
        <v>16.600000000000001</v>
      </c>
      <c r="BU726" s="59">
        <f t="shared" si="56"/>
        <v>0.64169999999999994</v>
      </c>
      <c r="BV726" s="59">
        <v>4.1000000000000002E-2</v>
      </c>
      <c r="BW726" s="59">
        <v>0</v>
      </c>
      <c r="BX726" s="59">
        <v>4.1000000000000002E-2</v>
      </c>
      <c r="BY726" s="59">
        <v>1.3299999999999999E-2</v>
      </c>
      <c r="BZ726" s="59">
        <v>0</v>
      </c>
      <c r="CA726" s="49">
        <v>27.4</v>
      </c>
      <c r="CB726" s="59">
        <f t="shared" si="57"/>
        <v>9.5299999999999996E-2</v>
      </c>
      <c r="CC726" s="59">
        <v>0.1734</v>
      </c>
      <c r="CD726" s="59">
        <v>0.34570000000000001</v>
      </c>
      <c r="CE726" s="59">
        <v>0.42630000000000001</v>
      </c>
      <c r="CF726" s="59">
        <v>4.1000000000000002E-2</v>
      </c>
      <c r="CG726" s="59">
        <v>1.3599999999999999E-2</v>
      </c>
      <c r="CH726" s="49">
        <v>17.5</v>
      </c>
      <c r="CI726" s="48" t="s">
        <v>182</v>
      </c>
      <c r="CJ726" s="18" t="s">
        <v>489</v>
      </c>
      <c r="CK726" s="20"/>
    </row>
    <row r="727" spans="1:89" x14ac:dyDescent="0.25">
      <c r="A727" s="18" t="s">
        <v>489</v>
      </c>
      <c r="B727" s="19" t="s">
        <v>176</v>
      </c>
      <c r="C727" s="25" t="s">
        <v>183</v>
      </c>
      <c r="D727" s="6">
        <v>83</v>
      </c>
      <c r="E727" s="40" t="s">
        <v>83</v>
      </c>
      <c r="F727" s="6">
        <v>83</v>
      </c>
      <c r="G727" s="162" t="s">
        <v>83</v>
      </c>
      <c r="H727" s="162" t="s">
        <v>83</v>
      </c>
      <c r="I727" s="162">
        <v>1</v>
      </c>
      <c r="J727" s="163">
        <v>26</v>
      </c>
      <c r="K727" s="163">
        <v>27</v>
      </c>
      <c r="L727" s="163">
        <v>22</v>
      </c>
      <c r="M727" s="163">
        <v>7</v>
      </c>
      <c r="N727" s="115">
        <v>5.5407209612817102E-2</v>
      </c>
      <c r="O727" s="115">
        <v>5.5407209612817102E-2</v>
      </c>
      <c r="P727" s="116" t="s">
        <v>83</v>
      </c>
      <c r="Q727" s="116" t="s">
        <v>83</v>
      </c>
      <c r="R727" s="116">
        <v>1</v>
      </c>
      <c r="S727" s="115">
        <v>5.6768558951965101E-2</v>
      </c>
      <c r="T727" s="115">
        <v>7.2386058981233306E-2</v>
      </c>
      <c r="U727" s="115">
        <v>5.8201058201058198E-2</v>
      </c>
      <c r="V727" s="115">
        <v>2.4305555555555601E-2</v>
      </c>
      <c r="W727" s="6">
        <v>1296</v>
      </c>
      <c r="X727" s="40">
        <f t="shared" si="54"/>
        <v>1296</v>
      </c>
      <c r="Y727" s="40">
        <f t="shared" si="55"/>
        <v>1296</v>
      </c>
      <c r="Z727" s="59">
        <v>0.52310000000000001</v>
      </c>
      <c r="AA727" s="59">
        <v>0.47689999999999999</v>
      </c>
      <c r="AB727" s="61">
        <v>0</v>
      </c>
      <c r="AC727" s="61">
        <v>0</v>
      </c>
      <c r="AD727" s="61">
        <v>0.98919753086419748</v>
      </c>
      <c r="AE727" s="61">
        <v>3.8580246913580245E-3</v>
      </c>
      <c r="AF727" s="61">
        <v>0</v>
      </c>
      <c r="AG727" s="61">
        <v>5.4012345679012343E-3</v>
      </c>
      <c r="AH727" s="61">
        <v>1.5432098765432098E-3</v>
      </c>
      <c r="AI727" s="61">
        <v>0.9945987654320988</v>
      </c>
      <c r="AJ727" s="59">
        <v>0.95899999999999996</v>
      </c>
      <c r="AK727" s="59">
        <v>0</v>
      </c>
      <c r="AL727" s="3">
        <v>0</v>
      </c>
      <c r="AM727" s="3">
        <v>0</v>
      </c>
      <c r="AN727" s="3">
        <v>0</v>
      </c>
      <c r="AO727" s="3">
        <v>375</v>
      </c>
      <c r="AP727" s="3">
        <v>319</v>
      </c>
      <c r="AQ727" s="3">
        <v>323</v>
      </c>
      <c r="AR727" s="3">
        <v>279</v>
      </c>
      <c r="AS727" s="59">
        <v>0</v>
      </c>
      <c r="AT727" s="3">
        <v>9</v>
      </c>
      <c r="AU727" s="3">
        <v>6</v>
      </c>
      <c r="AV727" s="49">
        <v>37.288135593220304</v>
      </c>
      <c r="AW727" s="49">
        <v>30.847457627118601</v>
      </c>
      <c r="AX727" s="49">
        <v>28.305084745762699</v>
      </c>
      <c r="AY727" s="67">
        <v>3.5593220338983098</v>
      </c>
      <c r="AZ727" s="62">
        <v>0.10508241758241758</v>
      </c>
      <c r="BA727" s="62">
        <v>3.5027472527472528E-2</v>
      </c>
      <c r="BB727" s="77">
        <v>91.491679072355694</v>
      </c>
      <c r="BC727" s="49">
        <v>80.987324883255496</v>
      </c>
      <c r="BD727" s="90" t="s">
        <v>83</v>
      </c>
      <c r="BE727" s="90" t="s">
        <v>83</v>
      </c>
      <c r="BF727" s="87">
        <v>9.9</v>
      </c>
      <c r="BG727" s="87">
        <v>5.5</v>
      </c>
      <c r="BH727" s="87">
        <v>2.6</v>
      </c>
      <c r="BI727" s="87">
        <v>3.6</v>
      </c>
      <c r="BJ727" s="49">
        <v>17.2</v>
      </c>
      <c r="BK727" s="126">
        <v>11808</v>
      </c>
      <c r="BL727" s="126">
        <v>53204</v>
      </c>
      <c r="BM727" s="126">
        <v>64895</v>
      </c>
      <c r="BN727" s="126">
        <v>48309</v>
      </c>
      <c r="BO727" s="59">
        <v>0</v>
      </c>
      <c r="BP727" s="59">
        <v>0.3266</v>
      </c>
      <c r="BQ727" s="59">
        <v>0.33229999999999998</v>
      </c>
      <c r="BR727" s="59">
        <v>0</v>
      </c>
      <c r="BS727" s="59">
        <v>2.46E-2</v>
      </c>
      <c r="BT727" s="49">
        <v>15</v>
      </c>
      <c r="BU727" s="59">
        <f t="shared" si="56"/>
        <v>0.6835</v>
      </c>
      <c r="BV727" s="59">
        <v>1.5100000000000001E-2</v>
      </c>
      <c r="BW727" s="59">
        <v>1.52E-2</v>
      </c>
      <c r="BX727" s="59">
        <v>2.4799999999999999E-2</v>
      </c>
      <c r="BY727" s="59">
        <v>0</v>
      </c>
      <c r="BZ727" s="59">
        <v>8.3000000000000001E-3</v>
      </c>
      <c r="CA727" s="49">
        <v>21.6</v>
      </c>
      <c r="CB727" s="59">
        <f t="shared" si="57"/>
        <v>6.3399999999999998E-2</v>
      </c>
      <c r="CC727" s="59">
        <v>0.13789999999999999</v>
      </c>
      <c r="CD727" s="59">
        <v>0.39910000000000001</v>
      </c>
      <c r="CE727" s="59">
        <v>0.43009999999999998</v>
      </c>
      <c r="CF727" s="59">
        <v>0</v>
      </c>
      <c r="CG727" s="59">
        <v>3.2899999999999999E-2</v>
      </c>
      <c r="CH727" s="49">
        <v>14.6</v>
      </c>
      <c r="CI727" s="25" t="s">
        <v>183</v>
      </c>
      <c r="CJ727" s="18" t="s">
        <v>489</v>
      </c>
      <c r="CK727" s="20"/>
    </row>
    <row r="728" spans="1:89" x14ac:dyDescent="0.25">
      <c r="A728" s="18" t="s">
        <v>489</v>
      </c>
      <c r="B728" s="19" t="s">
        <v>176</v>
      </c>
      <c r="C728" s="25" t="s">
        <v>184</v>
      </c>
      <c r="D728" s="6">
        <v>167</v>
      </c>
      <c r="E728" s="40" t="s">
        <v>83</v>
      </c>
      <c r="F728" s="6">
        <v>167</v>
      </c>
      <c r="G728" s="162" t="s">
        <v>83</v>
      </c>
      <c r="H728" s="162" t="s">
        <v>83</v>
      </c>
      <c r="I728" s="162" t="s">
        <v>83</v>
      </c>
      <c r="J728" s="163">
        <v>50</v>
      </c>
      <c r="K728" s="163">
        <v>41</v>
      </c>
      <c r="L728" s="163">
        <v>53</v>
      </c>
      <c r="M728" s="163">
        <v>23</v>
      </c>
      <c r="N728" s="115">
        <v>0.10879478827361599</v>
      </c>
      <c r="O728" s="115">
        <v>0.10879478827361599</v>
      </c>
      <c r="P728" s="116" t="s">
        <v>83</v>
      </c>
      <c r="Q728" s="116" t="s">
        <v>83</v>
      </c>
      <c r="R728" s="116" t="s">
        <v>83</v>
      </c>
      <c r="S728" s="115">
        <v>0.106837606837607</v>
      </c>
      <c r="T728" s="115">
        <v>9.9033816425120796E-2</v>
      </c>
      <c r="U728" s="115">
        <v>0.13984168865435401</v>
      </c>
      <c r="V728" s="115">
        <v>8.3941605839416095E-2</v>
      </c>
      <c r="W728" s="6">
        <v>1138</v>
      </c>
      <c r="X728" s="40">
        <f t="shared" si="54"/>
        <v>1138</v>
      </c>
      <c r="Y728" s="40">
        <f t="shared" si="55"/>
        <v>1138</v>
      </c>
      <c r="Z728" s="59">
        <v>0.47539999999999999</v>
      </c>
      <c r="AA728" s="59">
        <v>0.52459999999999996</v>
      </c>
      <c r="AB728" s="61">
        <v>8.7873462214411243E-4</v>
      </c>
      <c r="AC728" s="61">
        <v>1.3181019332161687E-2</v>
      </c>
      <c r="AD728" s="61">
        <v>0.80404217926186294</v>
      </c>
      <c r="AE728" s="61">
        <v>0.11687170474516696</v>
      </c>
      <c r="AF728" s="61">
        <v>8.7873462214411243E-4</v>
      </c>
      <c r="AG728" s="61">
        <v>6.2390158172231987E-2</v>
      </c>
      <c r="AH728" s="61">
        <v>1.7574692442882249E-3</v>
      </c>
      <c r="AI728" s="61">
        <v>0.93760984182776796</v>
      </c>
      <c r="AJ728" s="59">
        <v>0.91900000000000004</v>
      </c>
      <c r="AK728" s="59">
        <v>0.1019</v>
      </c>
      <c r="AL728" s="3">
        <v>0</v>
      </c>
      <c r="AM728" s="3">
        <v>0</v>
      </c>
      <c r="AN728" s="3">
        <v>0</v>
      </c>
      <c r="AO728" s="3">
        <v>284</v>
      </c>
      <c r="AP728" s="3">
        <v>314</v>
      </c>
      <c r="AQ728" s="3">
        <v>288</v>
      </c>
      <c r="AR728" s="3">
        <v>252</v>
      </c>
      <c r="AS728" s="59">
        <v>0</v>
      </c>
      <c r="AT728" s="3">
        <v>9</v>
      </c>
      <c r="AU728" s="3">
        <v>6</v>
      </c>
      <c r="AV728" s="49">
        <v>41.209829867674905</v>
      </c>
      <c r="AW728" s="49">
        <v>20.4158790170132</v>
      </c>
      <c r="AX728" s="49">
        <v>31.379962192816603</v>
      </c>
      <c r="AY728" s="67">
        <v>6.9943289224952698</v>
      </c>
      <c r="AZ728" s="62">
        <v>0.20459290187891441</v>
      </c>
      <c r="BA728" s="62">
        <v>4.1753653444676405E-3</v>
      </c>
      <c r="BB728" s="78">
        <v>87.964730652586596</v>
      </c>
      <c r="BC728" s="49">
        <v>83.560709413369693</v>
      </c>
      <c r="BD728" s="90" t="s">
        <v>83</v>
      </c>
      <c r="BE728" s="90" t="s">
        <v>83</v>
      </c>
      <c r="BF728" s="87">
        <v>17.7</v>
      </c>
      <c r="BG728" s="87">
        <v>10.3</v>
      </c>
      <c r="BH728" s="87">
        <v>21.3</v>
      </c>
      <c r="BI728" s="87">
        <v>5.8</v>
      </c>
      <c r="BJ728" s="49">
        <v>16.7</v>
      </c>
      <c r="BK728" s="126">
        <v>12024</v>
      </c>
      <c r="BL728" s="126">
        <v>53598</v>
      </c>
      <c r="BM728" s="126">
        <v>51219</v>
      </c>
      <c r="BN728" s="126">
        <v>47645</v>
      </c>
      <c r="BO728" s="59">
        <v>8.9999999999999993E-3</v>
      </c>
      <c r="BP728" s="59">
        <v>0.3175</v>
      </c>
      <c r="BQ728" s="59">
        <v>0.30080000000000001</v>
      </c>
      <c r="BR728" s="59">
        <v>1.47E-2</v>
      </c>
      <c r="BS728" s="59">
        <v>1.77E-2</v>
      </c>
      <c r="BT728" s="49">
        <v>15</v>
      </c>
      <c r="BU728" s="59">
        <f t="shared" si="56"/>
        <v>0.65970000000000006</v>
      </c>
      <c r="BV728" s="59">
        <v>4.4299999999999999E-2</v>
      </c>
      <c r="BW728" s="59">
        <v>0</v>
      </c>
      <c r="BX728" s="59">
        <v>4.2099999999999999E-2</v>
      </c>
      <c r="BY728" s="59">
        <v>1.6999999999999999E-3</v>
      </c>
      <c r="BZ728" s="59">
        <v>0</v>
      </c>
      <c r="CA728" s="49">
        <v>17.399999999999999</v>
      </c>
      <c r="CB728" s="59">
        <f t="shared" si="57"/>
        <v>8.8099999999999998E-2</v>
      </c>
      <c r="CC728" s="59">
        <v>0.13370000000000001</v>
      </c>
      <c r="CD728" s="59">
        <v>0.4047</v>
      </c>
      <c r="CE728" s="59">
        <v>0.41839999999999999</v>
      </c>
      <c r="CF728" s="59">
        <v>1.6400000000000001E-2</v>
      </c>
      <c r="CG728" s="59">
        <v>2.6800000000000001E-2</v>
      </c>
      <c r="CH728" s="49">
        <v>13.9</v>
      </c>
      <c r="CI728" s="25" t="s">
        <v>184</v>
      </c>
      <c r="CJ728" s="18" t="s">
        <v>489</v>
      </c>
      <c r="CK728" s="20"/>
    </row>
    <row r="729" spans="1:89" x14ac:dyDescent="0.25">
      <c r="A729" s="18" t="s">
        <v>489</v>
      </c>
      <c r="B729" s="19" t="s">
        <v>176</v>
      </c>
      <c r="C729" s="25" t="s">
        <v>185</v>
      </c>
      <c r="D729" s="6">
        <v>115</v>
      </c>
      <c r="E729" s="40" t="s">
        <v>83</v>
      </c>
      <c r="F729" s="6">
        <v>115</v>
      </c>
      <c r="G729" s="162" t="s">
        <v>83</v>
      </c>
      <c r="H729" s="162" t="s">
        <v>83</v>
      </c>
      <c r="I729" s="162" t="s">
        <v>83</v>
      </c>
      <c r="J729" s="163">
        <v>35</v>
      </c>
      <c r="K729" s="163">
        <v>28</v>
      </c>
      <c r="L729" s="163">
        <v>28</v>
      </c>
      <c r="M729" s="163">
        <v>24</v>
      </c>
      <c r="N729" s="115">
        <v>8.2201572551822699E-2</v>
      </c>
      <c r="O729" s="115">
        <v>8.2201572551822699E-2</v>
      </c>
      <c r="P729" s="116" t="s">
        <v>83</v>
      </c>
      <c r="Q729" s="116" t="s">
        <v>83</v>
      </c>
      <c r="R729" s="116" t="s">
        <v>83</v>
      </c>
      <c r="S729" s="115">
        <v>8.6419753086419707E-2</v>
      </c>
      <c r="T729" s="115">
        <v>7.2164948453608199E-2</v>
      </c>
      <c r="U729" s="115">
        <v>8.4592145015105702E-2</v>
      </c>
      <c r="V729" s="115">
        <v>8.7272727272727293E-2</v>
      </c>
      <c r="W729" s="6">
        <v>1148</v>
      </c>
      <c r="X729" s="40">
        <f t="shared" si="54"/>
        <v>1148</v>
      </c>
      <c r="Y729" s="40">
        <f t="shared" si="55"/>
        <v>1148</v>
      </c>
      <c r="Z729" s="59">
        <v>0.44159999999999999</v>
      </c>
      <c r="AA729" s="59">
        <v>0.55840000000000001</v>
      </c>
      <c r="AB729" s="61">
        <v>2.6132404181184671E-3</v>
      </c>
      <c r="AC729" s="61">
        <v>3.2229965156794424E-2</v>
      </c>
      <c r="AD729" s="61">
        <v>0.57055749128919864</v>
      </c>
      <c r="AE729" s="61">
        <v>0.12282229965156795</v>
      </c>
      <c r="AF729" s="61">
        <v>8.710801393728223E-4</v>
      </c>
      <c r="AG729" s="61">
        <v>0.25261324041811845</v>
      </c>
      <c r="AH729" s="61">
        <v>1.8292682926829267E-2</v>
      </c>
      <c r="AI729" s="61">
        <v>0.7473867595818815</v>
      </c>
      <c r="AJ729" s="59">
        <v>0.77400000000000002</v>
      </c>
      <c r="AK729" s="59">
        <v>7.3999999999999996E-2</v>
      </c>
      <c r="AL729" s="3">
        <v>0</v>
      </c>
      <c r="AM729" s="3">
        <v>0</v>
      </c>
      <c r="AN729" s="3">
        <v>0</v>
      </c>
      <c r="AO729" s="3">
        <v>311</v>
      </c>
      <c r="AP729" s="3">
        <v>314</v>
      </c>
      <c r="AQ729" s="3">
        <v>276</v>
      </c>
      <c r="AR729" s="3">
        <v>247</v>
      </c>
      <c r="AS729" s="59">
        <v>0</v>
      </c>
      <c r="AT729" s="3">
        <v>9</v>
      </c>
      <c r="AU729" s="3">
        <v>6</v>
      </c>
      <c r="AV729" s="49">
        <v>61.134751773049601</v>
      </c>
      <c r="AW729" s="49">
        <v>17.588652482269502</v>
      </c>
      <c r="AX729" s="49">
        <v>18.297872340425499</v>
      </c>
      <c r="AY729" s="67">
        <v>2.9787234042553199</v>
      </c>
      <c r="AZ729" s="62">
        <v>0.21518054532056005</v>
      </c>
      <c r="BA729" s="62">
        <v>7.3691967575534268E-4</v>
      </c>
      <c r="BB729" s="78">
        <v>92.549639782112095</v>
      </c>
      <c r="BC729" s="49">
        <v>72.713972201901996</v>
      </c>
      <c r="BD729" s="90" t="s">
        <v>83</v>
      </c>
      <c r="BE729" s="90" t="s">
        <v>83</v>
      </c>
      <c r="BF729" s="87">
        <v>10</v>
      </c>
      <c r="BG729" s="87">
        <v>5.6</v>
      </c>
      <c r="BH729" s="87">
        <v>4.5999999999999996</v>
      </c>
      <c r="BI729" s="87">
        <v>8.6999999999999993</v>
      </c>
      <c r="BJ729" s="49">
        <v>18.5</v>
      </c>
      <c r="BK729" s="126">
        <v>13806</v>
      </c>
      <c r="BL729" s="126">
        <v>54280</v>
      </c>
      <c r="BM729" s="126">
        <v>50996</v>
      </c>
      <c r="BN729" s="126">
        <v>48781</v>
      </c>
      <c r="BO729" s="59">
        <v>7.3000000000000001E-3</v>
      </c>
      <c r="BP729" s="59">
        <v>0.37109999999999999</v>
      </c>
      <c r="BQ729" s="59">
        <v>0.26719999999999999</v>
      </c>
      <c r="BR729" s="59">
        <v>2.9399999999999999E-2</v>
      </c>
      <c r="BS729" s="59">
        <v>2.1999999999999999E-2</v>
      </c>
      <c r="BT729" s="49">
        <v>14.7</v>
      </c>
      <c r="BU729" s="59">
        <f t="shared" si="56"/>
        <v>0.69699999999999995</v>
      </c>
      <c r="BV729" s="59">
        <v>2.6700000000000002E-2</v>
      </c>
      <c r="BW729" s="59">
        <v>7.3000000000000001E-3</v>
      </c>
      <c r="BX729" s="59">
        <v>2.12E-2</v>
      </c>
      <c r="BY729" s="59">
        <v>1.47E-2</v>
      </c>
      <c r="BZ729" s="59">
        <v>0</v>
      </c>
      <c r="CA729" s="49">
        <v>16.100000000000001</v>
      </c>
      <c r="CB729" s="59">
        <f t="shared" si="57"/>
        <v>6.9900000000000004E-2</v>
      </c>
      <c r="CC729" s="59">
        <v>0.16619999999999999</v>
      </c>
      <c r="CD729" s="59">
        <v>0.4289</v>
      </c>
      <c r="CE729" s="59">
        <v>0.33879999999999999</v>
      </c>
      <c r="CF729" s="59">
        <v>4.41E-2</v>
      </c>
      <c r="CG729" s="59">
        <v>2.1999999999999999E-2</v>
      </c>
      <c r="CH729" s="49">
        <v>13.8</v>
      </c>
      <c r="CI729" s="25" t="s">
        <v>185</v>
      </c>
      <c r="CJ729" s="18" t="s">
        <v>489</v>
      </c>
      <c r="CK729" s="20"/>
    </row>
    <row r="730" spans="1:89" x14ac:dyDescent="0.25">
      <c r="A730" s="18" t="s">
        <v>489</v>
      </c>
      <c r="B730" s="19" t="s">
        <v>176</v>
      </c>
      <c r="C730" s="25" t="s">
        <v>481</v>
      </c>
      <c r="D730" s="6">
        <v>22</v>
      </c>
      <c r="E730" s="40" t="s">
        <v>83</v>
      </c>
      <c r="F730" s="6">
        <v>22</v>
      </c>
      <c r="G730" s="162" t="s">
        <v>83</v>
      </c>
      <c r="H730" s="162" t="s">
        <v>83</v>
      </c>
      <c r="I730" s="162" t="s">
        <v>83</v>
      </c>
      <c r="J730" s="163">
        <v>6</v>
      </c>
      <c r="K730" s="163">
        <v>4</v>
      </c>
      <c r="L730" s="163">
        <v>4</v>
      </c>
      <c r="M730" s="163">
        <v>8</v>
      </c>
      <c r="N730" s="115">
        <v>3.3639143730886799E-2</v>
      </c>
      <c r="O730" s="115">
        <v>3.3639143730886799E-2</v>
      </c>
      <c r="P730" s="116" t="s">
        <v>83</v>
      </c>
      <c r="Q730" s="116" t="s">
        <v>83</v>
      </c>
      <c r="R730" s="116" t="s">
        <v>83</v>
      </c>
      <c r="S730" s="115">
        <v>2.2471910112359599E-2</v>
      </c>
      <c r="T730" s="115">
        <v>2.6490066225165601E-2</v>
      </c>
      <c r="U730" s="115">
        <v>3.7383177570093497E-2</v>
      </c>
      <c r="V730" s="115">
        <v>6.2015503875968998E-2</v>
      </c>
      <c r="W730" s="6">
        <v>588</v>
      </c>
      <c r="X730" s="40">
        <f t="shared" si="54"/>
        <v>588</v>
      </c>
      <c r="Y730" s="40">
        <f t="shared" si="55"/>
        <v>588</v>
      </c>
      <c r="Z730" s="59">
        <v>0.52039999999999997</v>
      </c>
      <c r="AA730" s="59">
        <v>0.47960000000000003</v>
      </c>
      <c r="AB730" s="61">
        <v>0</v>
      </c>
      <c r="AC730" s="61">
        <v>0</v>
      </c>
      <c r="AD730" s="61">
        <v>0.95068027210884354</v>
      </c>
      <c r="AE730" s="61">
        <v>2.3809523809523808E-2</v>
      </c>
      <c r="AF730" s="61">
        <v>0</v>
      </c>
      <c r="AG730" s="61">
        <v>2.2108843537414966E-2</v>
      </c>
      <c r="AH730" s="61">
        <v>3.4013605442176869E-3</v>
      </c>
      <c r="AI730" s="61">
        <v>0.97789115646258506</v>
      </c>
      <c r="AJ730" s="59">
        <v>0.94899999999999995</v>
      </c>
      <c r="AK730" s="59">
        <v>6.7999999999999996E-3</v>
      </c>
      <c r="AL730" s="3">
        <v>0</v>
      </c>
      <c r="AM730" s="3">
        <v>0</v>
      </c>
      <c r="AN730" s="3">
        <v>0</v>
      </c>
      <c r="AO730" s="3">
        <v>244</v>
      </c>
      <c r="AP730" s="3">
        <v>132</v>
      </c>
      <c r="AQ730" s="3">
        <v>98</v>
      </c>
      <c r="AR730" s="3">
        <v>114</v>
      </c>
      <c r="AS730" s="59">
        <v>0</v>
      </c>
      <c r="AT730" s="3">
        <v>9</v>
      </c>
      <c r="AU730" s="3">
        <v>1</v>
      </c>
      <c r="AV730" s="49">
        <v>42.592592592592595</v>
      </c>
      <c r="AW730" s="49">
        <v>28.888888888888896</v>
      </c>
      <c r="AX730" s="49">
        <v>26.6666666666667</v>
      </c>
      <c r="AY730" s="67">
        <v>1.8518518518518501</v>
      </c>
      <c r="AZ730" s="62">
        <v>0</v>
      </c>
      <c r="BA730" s="62">
        <v>0.17310664605873261</v>
      </c>
      <c r="BB730" s="78">
        <v>96.750954690886601</v>
      </c>
      <c r="BC730" s="49">
        <v>70.216049382716093</v>
      </c>
      <c r="BD730" s="90" t="s">
        <v>83</v>
      </c>
      <c r="BE730" s="90" t="s">
        <v>83</v>
      </c>
      <c r="BF730" s="87">
        <v>3.7</v>
      </c>
      <c r="BG730" s="87">
        <v>0.8</v>
      </c>
      <c r="BH730" s="87">
        <v>2.2000000000000002</v>
      </c>
      <c r="BI730" s="87">
        <v>6.4</v>
      </c>
      <c r="BJ730" s="49">
        <v>17.399999999999999</v>
      </c>
      <c r="BK730" s="126">
        <v>13208</v>
      </c>
      <c r="BL730" s="126">
        <v>52036</v>
      </c>
      <c r="BM730" s="126">
        <v>66625</v>
      </c>
      <c r="BN730" s="126">
        <v>50384</v>
      </c>
      <c r="BO730" s="59">
        <v>0</v>
      </c>
      <c r="BP730" s="59">
        <v>0.39439999999999997</v>
      </c>
      <c r="BQ730" s="59">
        <v>0.2009</v>
      </c>
      <c r="BR730" s="59">
        <v>0</v>
      </c>
      <c r="BS730" s="59">
        <v>0</v>
      </c>
      <c r="BT730" s="49">
        <v>2.1</v>
      </c>
      <c r="BU730" s="59">
        <f t="shared" si="56"/>
        <v>0.59529999999999994</v>
      </c>
      <c r="BV730" s="59">
        <v>0</v>
      </c>
      <c r="BW730" s="59">
        <v>3.2399999999999998E-2</v>
      </c>
      <c r="BX730" s="59">
        <v>3.2399999999999998E-2</v>
      </c>
      <c r="BY730" s="59">
        <v>0</v>
      </c>
      <c r="BZ730" s="59">
        <v>0</v>
      </c>
      <c r="CA730" s="49">
        <v>3</v>
      </c>
      <c r="CB730" s="59">
        <f t="shared" si="57"/>
        <v>6.4799999999999996E-2</v>
      </c>
      <c r="CC730" s="59">
        <v>0.1943</v>
      </c>
      <c r="CD730" s="59">
        <v>0.52390000000000003</v>
      </c>
      <c r="CE730" s="59">
        <v>0.2656</v>
      </c>
      <c r="CF730" s="59">
        <v>0</v>
      </c>
      <c r="CG730" s="59">
        <v>1.6199999999999999E-2</v>
      </c>
      <c r="CH730" s="49">
        <v>1.8</v>
      </c>
      <c r="CI730" s="25" t="s">
        <v>481</v>
      </c>
      <c r="CJ730" s="18" t="s">
        <v>489</v>
      </c>
      <c r="CK730" s="20"/>
    </row>
    <row r="731" spans="1:89" x14ac:dyDescent="0.25">
      <c r="A731" s="18" t="s">
        <v>489</v>
      </c>
      <c r="B731" s="19" t="s">
        <v>176</v>
      </c>
      <c r="C731" s="25" t="s">
        <v>492</v>
      </c>
      <c r="D731" s="6">
        <v>12</v>
      </c>
      <c r="E731" s="40" t="s">
        <v>83</v>
      </c>
      <c r="F731" s="6">
        <v>12</v>
      </c>
      <c r="G731" s="162" t="s">
        <v>83</v>
      </c>
      <c r="H731" s="162" t="s">
        <v>83</v>
      </c>
      <c r="I731" s="162" t="s">
        <v>83</v>
      </c>
      <c r="J731" s="163">
        <v>7</v>
      </c>
      <c r="K731" s="163">
        <v>1</v>
      </c>
      <c r="L731" s="163">
        <v>4</v>
      </c>
      <c r="M731" s="163">
        <v>0</v>
      </c>
      <c r="N731" s="115">
        <v>1.41509433962264E-2</v>
      </c>
      <c r="O731" s="115">
        <v>1.41509433962264E-2</v>
      </c>
      <c r="P731" s="116" t="s">
        <v>83</v>
      </c>
      <c r="Q731" s="116" t="s">
        <v>83</v>
      </c>
      <c r="R731" s="116" t="s">
        <v>83</v>
      </c>
      <c r="S731" s="115">
        <v>1.9390581717451501E-2</v>
      </c>
      <c r="T731" s="115">
        <v>4.78468899521531E-3</v>
      </c>
      <c r="U731" s="115">
        <v>1.8957345971564E-2</v>
      </c>
      <c r="V731" s="115">
        <v>0</v>
      </c>
      <c r="W731" s="6">
        <v>806</v>
      </c>
      <c r="X731" s="40">
        <f t="shared" si="54"/>
        <v>806</v>
      </c>
      <c r="Y731" s="40">
        <f t="shared" si="55"/>
        <v>806</v>
      </c>
      <c r="Z731" s="59">
        <v>0.629</v>
      </c>
      <c r="AA731" s="59">
        <v>0.371</v>
      </c>
      <c r="AB731" s="61">
        <v>0</v>
      </c>
      <c r="AC731" s="61">
        <v>6.9478908188585611E-2</v>
      </c>
      <c r="AD731" s="61">
        <v>0.64392059553349879</v>
      </c>
      <c r="AE731" s="61">
        <v>3.5980148883374689E-2</v>
      </c>
      <c r="AF731" s="61">
        <v>2.4813895781637717E-3</v>
      </c>
      <c r="AG731" s="61">
        <v>0.24069478908188585</v>
      </c>
      <c r="AH731" s="61">
        <v>7.4441687344913151E-3</v>
      </c>
      <c r="AI731" s="61">
        <v>0.75930521091811409</v>
      </c>
      <c r="AJ731" s="59">
        <v>0.67700000000000005</v>
      </c>
      <c r="AK731" s="59">
        <v>2.5000000000000001E-3</v>
      </c>
      <c r="AL731" s="3">
        <v>0</v>
      </c>
      <c r="AM731" s="3">
        <v>0</v>
      </c>
      <c r="AN731" s="3">
        <v>0</v>
      </c>
      <c r="AO731" s="3">
        <v>341</v>
      </c>
      <c r="AP731" s="3">
        <v>202</v>
      </c>
      <c r="AQ731" s="3">
        <v>200</v>
      </c>
      <c r="AR731" s="3">
        <v>63</v>
      </c>
      <c r="AS731" s="59">
        <v>0</v>
      </c>
      <c r="AT731" s="3">
        <v>9</v>
      </c>
      <c r="AU731" s="3">
        <v>7</v>
      </c>
      <c r="AV731" s="49">
        <v>45.625</v>
      </c>
      <c r="AW731" s="49">
        <v>18.75</v>
      </c>
      <c r="AX731" s="49">
        <v>28.125</v>
      </c>
      <c r="AY731" s="67">
        <v>7.5</v>
      </c>
      <c r="AZ731" s="62">
        <v>0.10650887573964497</v>
      </c>
      <c r="BA731" s="62">
        <v>0</v>
      </c>
      <c r="BB731" s="78">
        <v>99.402471453151904</v>
      </c>
      <c r="BC731" s="49">
        <v>3.4319526627218901</v>
      </c>
      <c r="BD731" s="90" t="s">
        <v>83</v>
      </c>
      <c r="BE731" s="90" t="s">
        <v>83</v>
      </c>
      <c r="BF731" s="87">
        <v>1.7</v>
      </c>
      <c r="BG731" s="87">
        <v>0</v>
      </c>
      <c r="BH731" s="87">
        <v>0</v>
      </c>
      <c r="BI731" s="87">
        <v>0</v>
      </c>
      <c r="BJ731" s="49">
        <v>21.8</v>
      </c>
      <c r="BK731" s="126">
        <v>11919</v>
      </c>
      <c r="BL731" s="126">
        <v>52081</v>
      </c>
      <c r="BM731" s="126">
        <v>50540</v>
      </c>
      <c r="BN731" s="126">
        <v>47669</v>
      </c>
      <c r="BO731" s="59">
        <v>0</v>
      </c>
      <c r="BP731" s="59">
        <v>0.2984</v>
      </c>
      <c r="BQ731" s="59">
        <v>0.3458</v>
      </c>
      <c r="BR731" s="59">
        <v>9.2999999999999992E-3</v>
      </c>
      <c r="BS731" s="59">
        <v>2.5899999999999999E-2</v>
      </c>
      <c r="BT731" s="49">
        <v>10.6</v>
      </c>
      <c r="BU731" s="59">
        <f t="shared" si="56"/>
        <v>0.6794</v>
      </c>
      <c r="BV731" s="59">
        <v>4.4900000000000002E-2</v>
      </c>
      <c r="BW731" s="59">
        <v>1.2999999999999999E-2</v>
      </c>
      <c r="BX731" s="59">
        <v>3.8800000000000001E-2</v>
      </c>
      <c r="BY731" s="59">
        <v>0</v>
      </c>
      <c r="BZ731" s="59">
        <v>0</v>
      </c>
      <c r="CA731" s="49">
        <v>15.2</v>
      </c>
      <c r="CB731" s="59">
        <f t="shared" si="57"/>
        <v>9.6700000000000008E-2</v>
      </c>
      <c r="CC731" s="59">
        <v>0.1797</v>
      </c>
      <c r="CD731" s="59">
        <v>0.34899999999999998</v>
      </c>
      <c r="CE731" s="59">
        <v>0.43609999999999999</v>
      </c>
      <c r="CF731" s="59">
        <v>9.2999999999999992E-3</v>
      </c>
      <c r="CG731" s="59">
        <v>2.5899999999999999E-2</v>
      </c>
      <c r="CH731" s="49">
        <v>10.9</v>
      </c>
      <c r="CI731" s="25" t="s">
        <v>492</v>
      </c>
      <c r="CJ731" s="18" t="s">
        <v>489</v>
      </c>
      <c r="CK731" s="20"/>
    </row>
    <row r="732" spans="1:89" x14ac:dyDescent="0.25">
      <c r="A732" s="18" t="s">
        <v>489</v>
      </c>
      <c r="B732" s="19" t="s">
        <v>189</v>
      </c>
      <c r="C732" s="25" t="s">
        <v>190</v>
      </c>
      <c r="D732" s="6">
        <v>11</v>
      </c>
      <c r="E732" s="40" t="s">
        <v>83</v>
      </c>
      <c r="F732" s="6">
        <v>11</v>
      </c>
      <c r="G732" s="162" t="s">
        <v>83</v>
      </c>
      <c r="H732" s="162" t="s">
        <v>83</v>
      </c>
      <c r="I732" s="162">
        <v>1</v>
      </c>
      <c r="J732" s="163">
        <v>5</v>
      </c>
      <c r="K732" s="163">
        <v>3</v>
      </c>
      <c r="L732" s="163">
        <v>0</v>
      </c>
      <c r="M732" s="163">
        <v>2</v>
      </c>
      <c r="N732" s="115">
        <v>3.8869257950529999E-2</v>
      </c>
      <c r="O732" s="115">
        <v>3.8869257950529999E-2</v>
      </c>
      <c r="P732" s="116" t="s">
        <v>83</v>
      </c>
      <c r="Q732" s="116" t="s">
        <v>83</v>
      </c>
      <c r="R732" s="116">
        <v>1</v>
      </c>
      <c r="S732" s="115">
        <v>6.25E-2</v>
      </c>
      <c r="T732" s="115">
        <v>3.8961038961039002E-2</v>
      </c>
      <c r="U732" s="115">
        <v>0</v>
      </c>
      <c r="V732" s="115">
        <v>3.3333333333333298E-2</v>
      </c>
      <c r="W732" s="6">
        <v>265</v>
      </c>
      <c r="X732" s="40">
        <f t="shared" si="54"/>
        <v>265</v>
      </c>
      <c r="Y732" s="40">
        <f t="shared" si="55"/>
        <v>265</v>
      </c>
      <c r="Z732" s="59">
        <v>0.50570000000000004</v>
      </c>
      <c r="AA732" s="59">
        <v>0.49430000000000002</v>
      </c>
      <c r="AB732" s="61">
        <v>0</v>
      </c>
      <c r="AC732" s="61">
        <v>3.7735849056603774E-3</v>
      </c>
      <c r="AD732" s="61">
        <v>0.99245283018867925</v>
      </c>
      <c r="AE732" s="61">
        <v>3.7735849056603774E-3</v>
      </c>
      <c r="AF732" s="61">
        <v>0</v>
      </c>
      <c r="AG732" s="61">
        <v>0</v>
      </c>
      <c r="AH732" s="61">
        <v>0</v>
      </c>
      <c r="AI732" s="61">
        <v>1</v>
      </c>
      <c r="AJ732" s="59">
        <v>0.91300000000000003</v>
      </c>
      <c r="AK732" s="59">
        <v>0</v>
      </c>
      <c r="AL732" s="3">
        <v>0</v>
      </c>
      <c r="AM732" s="3">
        <v>0</v>
      </c>
      <c r="AN732" s="3">
        <v>0</v>
      </c>
      <c r="AO732" s="3">
        <v>71</v>
      </c>
      <c r="AP732" s="3">
        <v>73</v>
      </c>
      <c r="AQ732" s="3">
        <v>64</v>
      </c>
      <c r="AR732" s="3">
        <v>57</v>
      </c>
      <c r="AS732" s="59">
        <v>0</v>
      </c>
      <c r="AT732" s="3">
        <v>9</v>
      </c>
      <c r="AU732" s="3">
        <v>6</v>
      </c>
      <c r="AV732" s="49">
        <v>91.358024691357997</v>
      </c>
      <c r="AW732" s="49">
        <v>6.7901234567901199</v>
      </c>
      <c r="AX732" s="49">
        <v>1.8518518518518501</v>
      </c>
      <c r="AY732" s="67">
        <v>0</v>
      </c>
      <c r="AZ732" s="62">
        <v>0.21739130434782608</v>
      </c>
      <c r="BA732" s="62">
        <v>3.6231884057971015E-3</v>
      </c>
      <c r="BB732" s="78">
        <v>94.849884021182504</v>
      </c>
      <c r="BC732" s="49">
        <v>14.9466192170818</v>
      </c>
      <c r="BD732" s="90" t="s">
        <v>83</v>
      </c>
      <c r="BE732" s="90" t="s">
        <v>83</v>
      </c>
      <c r="BF732" s="87">
        <v>0</v>
      </c>
      <c r="BG732" s="87">
        <v>1.5</v>
      </c>
      <c r="BH732" s="87">
        <v>0</v>
      </c>
      <c r="BI732" s="87">
        <v>0</v>
      </c>
      <c r="BJ732" s="49">
        <v>15.2</v>
      </c>
      <c r="BK732" s="126">
        <v>14674</v>
      </c>
      <c r="BL732" s="126">
        <v>49492</v>
      </c>
      <c r="BM732" s="126">
        <v>57700</v>
      </c>
      <c r="BN732" s="126">
        <v>34734</v>
      </c>
      <c r="BO732" s="59">
        <v>0</v>
      </c>
      <c r="BP732" s="59">
        <v>0.15409999999999999</v>
      </c>
      <c r="BQ732" s="59">
        <v>0.26960000000000001</v>
      </c>
      <c r="BR732" s="59">
        <v>0</v>
      </c>
      <c r="BS732" s="59">
        <v>0</v>
      </c>
      <c r="BT732" s="49">
        <v>27.8</v>
      </c>
      <c r="BU732" s="59">
        <f t="shared" si="56"/>
        <v>0.42369999999999997</v>
      </c>
      <c r="BV732" s="59">
        <v>0</v>
      </c>
      <c r="BW732" s="59">
        <v>2.1999999999999999E-2</v>
      </c>
      <c r="BX732" s="59">
        <v>2.1999999999999999E-2</v>
      </c>
      <c r="BY732" s="59">
        <v>0</v>
      </c>
      <c r="BZ732" s="59">
        <v>2.1999999999999999E-2</v>
      </c>
      <c r="CA732" s="49">
        <v>26</v>
      </c>
      <c r="CB732" s="59">
        <f t="shared" si="57"/>
        <v>6.6000000000000003E-2</v>
      </c>
      <c r="CC732" s="59">
        <v>0.4</v>
      </c>
      <c r="CD732" s="59">
        <v>0.28610000000000002</v>
      </c>
      <c r="CE732" s="59">
        <v>0.29189999999999999</v>
      </c>
      <c r="CF732" s="59">
        <v>0</v>
      </c>
      <c r="CG732" s="59">
        <v>2.1999999999999999E-2</v>
      </c>
      <c r="CH732" s="49">
        <v>21.6</v>
      </c>
      <c r="CI732" s="25" t="s">
        <v>190</v>
      </c>
      <c r="CJ732" s="18" t="s">
        <v>489</v>
      </c>
      <c r="CK732" s="20"/>
    </row>
    <row r="733" spans="1:89" x14ac:dyDescent="0.25">
      <c r="A733" s="18" t="s">
        <v>489</v>
      </c>
      <c r="B733" s="19" t="s">
        <v>191</v>
      </c>
      <c r="C733" s="25" t="s">
        <v>192</v>
      </c>
      <c r="D733" s="6">
        <v>13</v>
      </c>
      <c r="E733" s="40" t="s">
        <v>83</v>
      </c>
      <c r="F733" s="6">
        <v>13</v>
      </c>
      <c r="G733" s="162" t="s">
        <v>83</v>
      </c>
      <c r="H733" s="162" t="s">
        <v>83</v>
      </c>
      <c r="I733" s="163">
        <v>1</v>
      </c>
      <c r="J733" s="163">
        <v>3</v>
      </c>
      <c r="K733" s="163">
        <v>5</v>
      </c>
      <c r="L733" s="163">
        <v>2</v>
      </c>
      <c r="M733" s="163">
        <v>2</v>
      </c>
      <c r="N733" s="115">
        <v>3.4482758620689703E-2</v>
      </c>
      <c r="O733" s="115">
        <v>3.4482758620689703E-2</v>
      </c>
      <c r="P733" s="116" t="s">
        <v>83</v>
      </c>
      <c r="Q733" s="116" t="s">
        <v>83</v>
      </c>
      <c r="R733" s="115">
        <v>4.7619047619047603E-2</v>
      </c>
      <c r="S733" s="115">
        <v>3.8461538461538498E-2</v>
      </c>
      <c r="T733" s="115">
        <v>0.05</v>
      </c>
      <c r="U733" s="115">
        <v>2.04081632653061E-2</v>
      </c>
      <c r="V733" s="115">
        <v>2.5000000000000001E-2</v>
      </c>
      <c r="W733" s="6">
        <v>357</v>
      </c>
      <c r="X733" s="40">
        <f t="shared" si="54"/>
        <v>357</v>
      </c>
      <c r="Y733" s="40">
        <f t="shared" si="55"/>
        <v>357</v>
      </c>
      <c r="Z733" s="59">
        <v>0.51539999999999997</v>
      </c>
      <c r="AA733" s="59">
        <v>0.48459999999999998</v>
      </c>
      <c r="AB733" s="61">
        <v>0</v>
      </c>
      <c r="AC733" s="61">
        <v>0</v>
      </c>
      <c r="AD733" s="61">
        <v>0.93557422969187676</v>
      </c>
      <c r="AE733" s="61">
        <v>0</v>
      </c>
      <c r="AF733" s="61">
        <v>0</v>
      </c>
      <c r="AG733" s="61">
        <v>6.4425770308123242E-2</v>
      </c>
      <c r="AH733" s="61">
        <v>0</v>
      </c>
      <c r="AI733" s="61">
        <v>0.93557422969187676</v>
      </c>
      <c r="AJ733" s="59">
        <v>0.93</v>
      </c>
      <c r="AK733" s="59">
        <v>0</v>
      </c>
      <c r="AL733" s="3">
        <v>0</v>
      </c>
      <c r="AM733" s="3">
        <v>0</v>
      </c>
      <c r="AN733" s="3">
        <v>22</v>
      </c>
      <c r="AO733" s="3">
        <v>71</v>
      </c>
      <c r="AP733" s="3">
        <v>90</v>
      </c>
      <c r="AQ733" s="3">
        <v>101</v>
      </c>
      <c r="AR733" s="3">
        <v>73</v>
      </c>
      <c r="AS733" s="59">
        <v>0.23655913978494625</v>
      </c>
      <c r="AT733" s="3">
        <v>9</v>
      </c>
      <c r="AU733" s="3">
        <v>6</v>
      </c>
      <c r="AV733" s="49">
        <v>65.2777777777778</v>
      </c>
      <c r="AW733" s="49">
        <v>27.083333333333297</v>
      </c>
      <c r="AX733" s="49">
        <v>6.9444444444444402</v>
      </c>
      <c r="AY733" s="67">
        <v>0.69444444444444398</v>
      </c>
      <c r="AZ733" s="62">
        <v>2.9411764705882353E-2</v>
      </c>
      <c r="BA733" s="62">
        <v>9.6256684491978606E-2</v>
      </c>
      <c r="BB733" s="78">
        <v>92.058767377683694</v>
      </c>
      <c r="BC733" s="49">
        <v>42.4</v>
      </c>
      <c r="BD733" s="90" t="s">
        <v>83</v>
      </c>
      <c r="BE733" s="90" t="s">
        <v>83</v>
      </c>
      <c r="BF733" s="87">
        <v>0</v>
      </c>
      <c r="BG733" s="87">
        <v>3.7</v>
      </c>
      <c r="BH733" s="87">
        <v>1.1000000000000001</v>
      </c>
      <c r="BI733" s="87">
        <v>0</v>
      </c>
      <c r="BJ733" s="49">
        <v>18.3</v>
      </c>
      <c r="BK733" s="126">
        <v>15325</v>
      </c>
      <c r="BL733" s="126">
        <v>39103</v>
      </c>
      <c r="BM733" s="126">
        <v>54416</v>
      </c>
      <c r="BN733" s="126">
        <v>31575</v>
      </c>
      <c r="BO733" s="59">
        <v>0</v>
      </c>
      <c r="BP733" s="59">
        <v>0.38669999999999999</v>
      </c>
      <c r="BQ733" s="59">
        <v>0.12470000000000001</v>
      </c>
      <c r="BR733" s="59">
        <v>0</v>
      </c>
      <c r="BS733" s="59">
        <v>0</v>
      </c>
      <c r="BT733" s="49">
        <v>9.1999999999999993</v>
      </c>
      <c r="BU733" s="59">
        <f t="shared" si="56"/>
        <v>0.51139999999999997</v>
      </c>
      <c r="BV733" s="59">
        <v>1.78E-2</v>
      </c>
      <c r="BW733" s="59">
        <v>0</v>
      </c>
      <c r="BX733" s="59">
        <v>3.7499999999999999E-2</v>
      </c>
      <c r="BY733" s="59">
        <v>0</v>
      </c>
      <c r="BZ733" s="59">
        <v>0</v>
      </c>
      <c r="CA733" s="49">
        <v>24.3</v>
      </c>
      <c r="CB733" s="59">
        <f t="shared" si="57"/>
        <v>5.5300000000000002E-2</v>
      </c>
      <c r="CC733" s="59">
        <v>0.39389999999999997</v>
      </c>
      <c r="CD733" s="59">
        <v>0.40339999999999998</v>
      </c>
      <c r="CE733" s="59">
        <v>0.20280000000000001</v>
      </c>
      <c r="CF733" s="59">
        <v>0</v>
      </c>
      <c r="CG733" s="59">
        <v>0</v>
      </c>
      <c r="CH733" s="49">
        <v>11</v>
      </c>
      <c r="CI733" s="25" t="s">
        <v>192</v>
      </c>
      <c r="CJ733" s="18" t="s">
        <v>489</v>
      </c>
      <c r="CK733" s="20"/>
    </row>
    <row r="734" spans="1:89" x14ac:dyDescent="0.25">
      <c r="A734" s="18" t="s">
        <v>489</v>
      </c>
      <c r="B734" s="19" t="s">
        <v>191</v>
      </c>
      <c r="C734" s="25" t="s">
        <v>193</v>
      </c>
      <c r="D734" s="6">
        <v>2</v>
      </c>
      <c r="E734" s="6">
        <v>0</v>
      </c>
      <c r="F734" s="6">
        <v>2</v>
      </c>
      <c r="G734" s="163">
        <v>0</v>
      </c>
      <c r="H734" s="163">
        <v>0</v>
      </c>
      <c r="I734" s="162" t="s">
        <v>83</v>
      </c>
      <c r="J734" s="163">
        <v>0</v>
      </c>
      <c r="K734" s="163">
        <v>0</v>
      </c>
      <c r="L734" s="163">
        <v>0</v>
      </c>
      <c r="M734" s="163">
        <v>2</v>
      </c>
      <c r="N734" s="115">
        <v>5.4200542005420098E-3</v>
      </c>
      <c r="O734" s="115">
        <v>8.6206896551724102E-3</v>
      </c>
      <c r="P734" s="115">
        <v>0</v>
      </c>
      <c r="Q734" s="115">
        <v>0</v>
      </c>
      <c r="R734" s="116" t="s">
        <v>83</v>
      </c>
      <c r="S734" s="115">
        <v>0</v>
      </c>
      <c r="T734" s="115">
        <v>0</v>
      </c>
      <c r="U734" s="115">
        <v>0</v>
      </c>
      <c r="V734" s="115">
        <v>4.1666666666666699E-2</v>
      </c>
      <c r="W734" s="6">
        <v>341</v>
      </c>
      <c r="X734" s="40">
        <f t="shared" si="54"/>
        <v>215</v>
      </c>
      <c r="Y734" s="40">
        <f t="shared" si="55"/>
        <v>341</v>
      </c>
      <c r="Z734" s="59">
        <v>0.4985</v>
      </c>
      <c r="AA734" s="59">
        <v>0.50149999999999995</v>
      </c>
      <c r="AB734" s="61">
        <v>0</v>
      </c>
      <c r="AC734" s="61">
        <v>0</v>
      </c>
      <c r="AD734" s="61">
        <v>0.30205278592375367</v>
      </c>
      <c r="AE734" s="61">
        <v>2.9325513196480938E-3</v>
      </c>
      <c r="AF734" s="61">
        <v>0</v>
      </c>
      <c r="AG734" s="61">
        <v>0.6920821114369502</v>
      </c>
      <c r="AH734" s="61">
        <v>2.9325513196480938E-3</v>
      </c>
      <c r="AI734" s="61">
        <v>0.30791788856304986</v>
      </c>
      <c r="AJ734" s="59">
        <v>0.71299999999999997</v>
      </c>
      <c r="AK734" s="59">
        <v>0</v>
      </c>
      <c r="AL734" s="3">
        <v>63</v>
      </c>
      <c r="AM734" s="3">
        <v>63</v>
      </c>
      <c r="AN734" s="3">
        <v>0</v>
      </c>
      <c r="AO734" s="3">
        <v>69</v>
      </c>
      <c r="AP734" s="3">
        <v>60</v>
      </c>
      <c r="AQ734" s="3">
        <v>43</v>
      </c>
      <c r="AR734" s="3">
        <v>43</v>
      </c>
      <c r="AS734" s="59">
        <v>0</v>
      </c>
      <c r="AT734" s="3">
        <v>7</v>
      </c>
      <c r="AU734" s="3">
        <v>1</v>
      </c>
      <c r="AV734" s="49">
        <v>48.1132075471698</v>
      </c>
      <c r="AW734" s="49">
        <v>46.2264150943396</v>
      </c>
      <c r="AX734" s="49">
        <v>5.6603773584905701</v>
      </c>
      <c r="AY734" s="67">
        <v>0</v>
      </c>
      <c r="AZ734" s="62">
        <v>0</v>
      </c>
      <c r="BA734" s="62">
        <v>0.22826086956521738</v>
      </c>
      <c r="BB734" s="77">
        <v>92.214677026266997</v>
      </c>
      <c r="BC734" s="49">
        <v>43.206521739130402</v>
      </c>
      <c r="BD734" s="87">
        <v>0</v>
      </c>
      <c r="BE734" s="87">
        <v>5.3</v>
      </c>
      <c r="BF734" s="87">
        <v>1.5</v>
      </c>
      <c r="BG734" s="87">
        <v>3.4</v>
      </c>
      <c r="BH734" s="87">
        <v>10</v>
      </c>
      <c r="BI734" s="87">
        <v>0</v>
      </c>
      <c r="BJ734" s="49">
        <v>20.9</v>
      </c>
      <c r="BK734" s="126">
        <v>12658</v>
      </c>
      <c r="BL734" s="126">
        <v>44733</v>
      </c>
      <c r="BM734" s="126">
        <v>66847</v>
      </c>
      <c r="BN734" s="126">
        <v>47546</v>
      </c>
      <c r="BO734" s="59">
        <v>0</v>
      </c>
      <c r="BP734" s="59">
        <v>0.56100000000000005</v>
      </c>
      <c r="BQ734" s="59">
        <v>0.21879999999999999</v>
      </c>
      <c r="BR734" s="59">
        <v>0</v>
      </c>
      <c r="BS734" s="59">
        <v>9.2999999999999992E-3</v>
      </c>
      <c r="BT734" s="49">
        <v>9.5</v>
      </c>
      <c r="BU734" s="59">
        <f t="shared" si="56"/>
        <v>0.78910000000000002</v>
      </c>
      <c r="BV734" s="59">
        <v>3.7400000000000003E-2</v>
      </c>
      <c r="BW734" s="59">
        <v>0</v>
      </c>
      <c r="BX734" s="59">
        <v>3.7400000000000003E-2</v>
      </c>
      <c r="BY734" s="59">
        <v>0</v>
      </c>
      <c r="BZ734" s="59">
        <v>3.6999999999999998E-2</v>
      </c>
      <c r="CA734" s="49">
        <v>11.3</v>
      </c>
      <c r="CB734" s="59">
        <f t="shared" si="57"/>
        <v>0.11180000000000001</v>
      </c>
      <c r="CC734" s="59">
        <v>3.7400000000000003E-2</v>
      </c>
      <c r="CD734" s="59">
        <v>0.56100000000000005</v>
      </c>
      <c r="CE734" s="59">
        <v>0.32729999999999998</v>
      </c>
      <c r="CF734" s="59">
        <v>0</v>
      </c>
      <c r="CG734" s="59">
        <v>7.4399999999999994E-2</v>
      </c>
      <c r="CH734" s="49">
        <v>10.199999999999999</v>
      </c>
      <c r="CI734" s="25" t="s">
        <v>193</v>
      </c>
      <c r="CJ734" s="18" t="s">
        <v>489</v>
      </c>
      <c r="CK734" s="20"/>
    </row>
    <row r="735" spans="1:89" x14ac:dyDescent="0.25">
      <c r="A735" s="18" t="s">
        <v>489</v>
      </c>
      <c r="B735" s="19" t="s">
        <v>194</v>
      </c>
      <c r="C735" s="25" t="s">
        <v>195</v>
      </c>
      <c r="D735" s="6">
        <v>4</v>
      </c>
      <c r="E735" s="6">
        <v>3</v>
      </c>
      <c r="F735" s="6">
        <v>1</v>
      </c>
      <c r="G735" s="163">
        <v>0</v>
      </c>
      <c r="H735" s="163">
        <v>3</v>
      </c>
      <c r="I735" s="163">
        <v>0</v>
      </c>
      <c r="J735" s="163">
        <v>0</v>
      </c>
      <c r="K735" s="163">
        <v>0</v>
      </c>
      <c r="L735" s="163">
        <v>0</v>
      </c>
      <c r="M735" s="163">
        <v>1</v>
      </c>
      <c r="N735" s="115">
        <v>1.1695906432748499E-2</v>
      </c>
      <c r="O735" s="115">
        <v>5.0505050505050501E-3</v>
      </c>
      <c r="P735" s="115">
        <v>0</v>
      </c>
      <c r="Q735" s="115">
        <v>0.04</v>
      </c>
      <c r="R735" s="115">
        <v>0</v>
      </c>
      <c r="S735" s="115">
        <v>0</v>
      </c>
      <c r="T735" s="115">
        <v>0</v>
      </c>
      <c r="U735" s="115">
        <v>0</v>
      </c>
      <c r="V735" s="115">
        <v>2.04081632653061E-2</v>
      </c>
      <c r="W735" s="6">
        <v>451</v>
      </c>
      <c r="X735" s="40">
        <f t="shared" si="54"/>
        <v>188</v>
      </c>
      <c r="Y735" s="40">
        <f t="shared" si="55"/>
        <v>319</v>
      </c>
      <c r="Z735" s="59">
        <v>0.49</v>
      </c>
      <c r="AA735" s="59">
        <v>0.51</v>
      </c>
      <c r="AB735" s="61">
        <v>0</v>
      </c>
      <c r="AC735" s="61">
        <v>8.869179600886918E-3</v>
      </c>
      <c r="AD735" s="61">
        <v>0.19955654101995565</v>
      </c>
      <c r="AE735" s="61">
        <v>4.878048780487805E-2</v>
      </c>
      <c r="AF735" s="61">
        <v>0</v>
      </c>
      <c r="AG735" s="61">
        <v>0.73614190687361414</v>
      </c>
      <c r="AH735" s="61">
        <v>6.6518847006651885E-3</v>
      </c>
      <c r="AI735" s="61">
        <v>0.26385809312638581</v>
      </c>
      <c r="AJ735" s="59">
        <v>0.61599999999999999</v>
      </c>
      <c r="AK735" s="59">
        <v>4.4000000000000003E-3</v>
      </c>
      <c r="AL735" s="3">
        <v>66</v>
      </c>
      <c r="AM735" s="3">
        <v>65</v>
      </c>
      <c r="AN735" s="3">
        <v>1</v>
      </c>
      <c r="AO735" s="3">
        <v>46</v>
      </c>
      <c r="AP735" s="3">
        <v>60</v>
      </c>
      <c r="AQ735" s="3">
        <v>35</v>
      </c>
      <c r="AR735" s="3">
        <v>46</v>
      </c>
      <c r="AS735" s="59">
        <v>2.1276595744680851E-2</v>
      </c>
      <c r="AT735" s="3">
        <v>5</v>
      </c>
      <c r="AU735" s="3">
        <v>6</v>
      </c>
      <c r="AV735" s="49">
        <v>65.022421524663699</v>
      </c>
      <c r="AW735" s="49">
        <v>26.905829596412602</v>
      </c>
      <c r="AX735" s="49">
        <v>7.1748878923766801</v>
      </c>
      <c r="AY735" s="67">
        <v>0.89686098654708502</v>
      </c>
      <c r="AZ735" s="62">
        <v>6.3025210084033615E-3</v>
      </c>
      <c r="BA735" s="62">
        <v>0.19957983193277312</v>
      </c>
      <c r="BB735" s="78">
        <v>94.051939361181894</v>
      </c>
      <c r="BC735" s="49">
        <v>33.193277310924401</v>
      </c>
      <c r="BD735" s="87">
        <v>1.6</v>
      </c>
      <c r="BE735" s="87">
        <v>0</v>
      </c>
      <c r="BF735" s="87">
        <v>2.2000000000000002</v>
      </c>
      <c r="BG735" s="87">
        <v>1.7</v>
      </c>
      <c r="BH735" s="87">
        <v>0</v>
      </c>
      <c r="BI735" s="87">
        <v>0</v>
      </c>
      <c r="BJ735" s="49">
        <v>19.600000000000001</v>
      </c>
      <c r="BK735" s="126">
        <v>9281</v>
      </c>
      <c r="BL735" s="126">
        <v>49461</v>
      </c>
      <c r="BM735" s="126">
        <v>42906</v>
      </c>
      <c r="BN735" s="126">
        <v>39624</v>
      </c>
      <c r="BO735" s="59">
        <v>0</v>
      </c>
      <c r="BP735" s="59">
        <v>0.37959999999999999</v>
      </c>
      <c r="BQ735" s="59">
        <v>0.19520000000000001</v>
      </c>
      <c r="BR735" s="59">
        <v>0</v>
      </c>
      <c r="BS735" s="59">
        <v>0</v>
      </c>
      <c r="BT735" s="49">
        <v>17</v>
      </c>
      <c r="BU735" s="59">
        <f t="shared" si="56"/>
        <v>0.57479999999999998</v>
      </c>
      <c r="BV735" s="59">
        <v>4.3400000000000001E-2</v>
      </c>
      <c r="BW735" s="59">
        <v>0</v>
      </c>
      <c r="BX735" s="59">
        <v>6.5100000000000005E-2</v>
      </c>
      <c r="BY735" s="59">
        <v>0</v>
      </c>
      <c r="BZ735" s="59">
        <v>0</v>
      </c>
      <c r="CA735" s="49">
        <v>17.8</v>
      </c>
      <c r="CB735" s="59">
        <f t="shared" si="57"/>
        <v>0.10850000000000001</v>
      </c>
      <c r="CC735" s="59">
        <v>0.3276</v>
      </c>
      <c r="CD735" s="59">
        <v>0.39040000000000002</v>
      </c>
      <c r="CE735" s="59">
        <v>0.28199999999999997</v>
      </c>
      <c r="CF735" s="59">
        <v>0</v>
      </c>
      <c r="CG735" s="59">
        <v>0</v>
      </c>
      <c r="CH735" s="49">
        <v>15</v>
      </c>
      <c r="CI735" s="25" t="s">
        <v>195</v>
      </c>
      <c r="CJ735" s="18" t="s">
        <v>489</v>
      </c>
      <c r="CK735" s="20"/>
    </row>
    <row r="736" spans="1:89" x14ac:dyDescent="0.25">
      <c r="A736" s="18" t="s">
        <v>489</v>
      </c>
      <c r="B736" s="19" t="s">
        <v>194</v>
      </c>
      <c r="C736" s="25" t="s">
        <v>196</v>
      </c>
      <c r="D736" s="6">
        <v>19</v>
      </c>
      <c r="E736" s="6">
        <v>5</v>
      </c>
      <c r="F736" s="6">
        <v>14</v>
      </c>
      <c r="G736" s="163">
        <v>1</v>
      </c>
      <c r="H736" s="163">
        <v>4</v>
      </c>
      <c r="I736" s="163">
        <v>0</v>
      </c>
      <c r="J736" s="163">
        <v>4</v>
      </c>
      <c r="K736" s="163">
        <v>6</v>
      </c>
      <c r="L736" s="163">
        <v>3</v>
      </c>
      <c r="M736" s="163">
        <v>1</v>
      </c>
      <c r="N736" s="115">
        <v>2.9141104294478502E-2</v>
      </c>
      <c r="O736" s="115">
        <v>3.2183908045976997E-2</v>
      </c>
      <c r="P736" s="115">
        <v>9.2592592592592605E-3</v>
      </c>
      <c r="Q736" s="115">
        <v>3.6697247706422E-2</v>
      </c>
      <c r="R736" s="115">
        <v>0</v>
      </c>
      <c r="S736" s="115">
        <v>3.4188034188034198E-2</v>
      </c>
      <c r="T736" s="115">
        <v>5.1282051282051301E-2</v>
      </c>
      <c r="U736" s="115">
        <v>2.7027027027027001E-2</v>
      </c>
      <c r="V736" s="115">
        <v>1.2345679012345699E-2</v>
      </c>
      <c r="W736" s="6">
        <v>784</v>
      </c>
      <c r="X736" s="40">
        <f t="shared" si="54"/>
        <v>400</v>
      </c>
      <c r="Y736" s="40">
        <f t="shared" si="55"/>
        <v>596</v>
      </c>
      <c r="Z736" s="59">
        <v>0.50260000000000005</v>
      </c>
      <c r="AA736" s="59">
        <v>0.49740000000000001</v>
      </c>
      <c r="AB736" s="61">
        <v>1.2755102040816326E-3</v>
      </c>
      <c r="AC736" s="61">
        <v>2.5510204081632651E-3</v>
      </c>
      <c r="AD736" s="61">
        <v>0.4017857142857143</v>
      </c>
      <c r="AE736" s="61">
        <v>1.020408163265306E-2</v>
      </c>
      <c r="AF736" s="61">
        <v>0</v>
      </c>
      <c r="AG736" s="61">
        <v>0.54336734693877553</v>
      </c>
      <c r="AH736" s="61">
        <v>4.0816326530612242E-2</v>
      </c>
      <c r="AI736" s="61">
        <v>0.45663265306122447</v>
      </c>
      <c r="AJ736" s="59">
        <v>0.747</v>
      </c>
      <c r="AK736" s="59">
        <v>0</v>
      </c>
      <c r="AL736" s="3">
        <v>100</v>
      </c>
      <c r="AM736" s="3">
        <v>96</v>
      </c>
      <c r="AN736" s="3">
        <v>7</v>
      </c>
      <c r="AO736" s="3">
        <v>110</v>
      </c>
      <c r="AP736" s="3">
        <v>103</v>
      </c>
      <c r="AQ736" s="3">
        <v>101</v>
      </c>
      <c r="AR736" s="3">
        <v>79</v>
      </c>
      <c r="AS736" s="59">
        <v>5.9829059829059832E-2</v>
      </c>
      <c r="AT736" s="3">
        <v>5</v>
      </c>
      <c r="AU736" s="3">
        <v>6</v>
      </c>
      <c r="AV736" s="49">
        <v>53.420195439739402</v>
      </c>
      <c r="AW736" s="49">
        <v>21.824104234527699</v>
      </c>
      <c r="AX736" s="49">
        <v>23.452768729641697</v>
      </c>
      <c r="AY736" s="67">
        <v>1.30293159609121</v>
      </c>
      <c r="AZ736" s="62">
        <v>1.6470588235294119E-2</v>
      </c>
      <c r="BA736" s="62">
        <v>0.23764705882352941</v>
      </c>
      <c r="BB736" s="77">
        <v>90.916130745176702</v>
      </c>
      <c r="BC736" s="49">
        <v>55.906432748538002</v>
      </c>
      <c r="BD736" s="87">
        <v>3.2</v>
      </c>
      <c r="BE736" s="87">
        <v>4.5999999999999996</v>
      </c>
      <c r="BF736" s="87">
        <v>1.9</v>
      </c>
      <c r="BG736" s="87">
        <v>7.1</v>
      </c>
      <c r="BH736" s="87">
        <v>0</v>
      </c>
      <c r="BI736" s="87">
        <v>0</v>
      </c>
      <c r="BJ736" s="49">
        <v>19.2</v>
      </c>
      <c r="BK736" s="126">
        <v>8881</v>
      </c>
      <c r="BL736" s="126">
        <v>46362</v>
      </c>
      <c r="BM736" s="126">
        <v>46357</v>
      </c>
      <c r="BN736" s="126">
        <v>36480</v>
      </c>
      <c r="BO736" s="59">
        <v>0</v>
      </c>
      <c r="BP736" s="59">
        <v>0.37569999999999998</v>
      </c>
      <c r="BQ736" s="59">
        <v>0.16470000000000001</v>
      </c>
      <c r="BR736" s="59">
        <v>0</v>
      </c>
      <c r="BS736" s="59">
        <v>0</v>
      </c>
      <c r="BT736" s="49">
        <v>14.7</v>
      </c>
      <c r="BU736" s="59">
        <f t="shared" si="56"/>
        <v>0.54039999999999999</v>
      </c>
      <c r="BV736" s="59">
        <v>2.47E-2</v>
      </c>
      <c r="BW736" s="59">
        <v>0</v>
      </c>
      <c r="BX736" s="59">
        <v>4.9299999999999997E-2</v>
      </c>
      <c r="BY736" s="59">
        <v>0</v>
      </c>
      <c r="BZ736" s="59">
        <v>0</v>
      </c>
      <c r="CA736" s="49">
        <v>19.8</v>
      </c>
      <c r="CB736" s="59">
        <f t="shared" si="57"/>
        <v>7.3999999999999996E-2</v>
      </c>
      <c r="CC736" s="59">
        <v>0.36720000000000003</v>
      </c>
      <c r="CD736" s="59">
        <v>0.37569999999999998</v>
      </c>
      <c r="CE736" s="59">
        <v>0.2571</v>
      </c>
      <c r="CF736" s="59">
        <v>0</v>
      </c>
      <c r="CG736" s="59">
        <v>0</v>
      </c>
      <c r="CH736" s="49">
        <v>13.8</v>
      </c>
      <c r="CI736" s="25" t="s">
        <v>196</v>
      </c>
      <c r="CJ736" s="18" t="s">
        <v>489</v>
      </c>
      <c r="CK736" s="20"/>
    </row>
    <row r="737" spans="1:89" x14ac:dyDescent="0.25">
      <c r="A737" s="18" t="s">
        <v>489</v>
      </c>
      <c r="B737" s="19" t="s">
        <v>194</v>
      </c>
      <c r="C737" s="25" t="s">
        <v>197</v>
      </c>
      <c r="D737" s="6">
        <v>22</v>
      </c>
      <c r="E737" s="40" t="s">
        <v>83</v>
      </c>
      <c r="F737" s="6">
        <v>22</v>
      </c>
      <c r="G737" s="162" t="s">
        <v>83</v>
      </c>
      <c r="H737" s="162" t="s">
        <v>83</v>
      </c>
      <c r="I737" s="163">
        <v>1</v>
      </c>
      <c r="J737" s="163">
        <v>7</v>
      </c>
      <c r="K737" s="163">
        <v>8</v>
      </c>
      <c r="L737" s="163">
        <v>3</v>
      </c>
      <c r="M737" s="163">
        <v>3</v>
      </c>
      <c r="N737" s="115">
        <v>4.5548654244306402E-2</v>
      </c>
      <c r="O737" s="115">
        <v>4.5548654244306402E-2</v>
      </c>
      <c r="P737" s="116" t="s">
        <v>83</v>
      </c>
      <c r="Q737" s="116" t="s">
        <v>83</v>
      </c>
      <c r="R737" s="115">
        <v>0.2</v>
      </c>
      <c r="S737" s="115">
        <v>5.7377049180327898E-2</v>
      </c>
      <c r="T737" s="115">
        <v>6.5573770491803296E-2</v>
      </c>
      <c r="U737" s="115">
        <v>2.4590163934426201E-2</v>
      </c>
      <c r="V737" s="115">
        <v>2.6785714285714302E-2</v>
      </c>
      <c r="W737" s="6">
        <v>818</v>
      </c>
      <c r="X737" s="40">
        <f t="shared" si="54"/>
        <v>459</v>
      </c>
      <c r="Y737" s="40">
        <f t="shared" si="55"/>
        <v>459</v>
      </c>
      <c r="Z737" s="59">
        <v>0.50860000000000005</v>
      </c>
      <c r="AA737" s="59">
        <v>0.4914</v>
      </c>
      <c r="AB737" s="61">
        <v>6.1124694376528121E-3</v>
      </c>
      <c r="AC737" s="61">
        <v>0</v>
      </c>
      <c r="AD737" s="61">
        <v>0.11735941320293398</v>
      </c>
      <c r="AE737" s="61">
        <v>1.9559902200488997E-2</v>
      </c>
      <c r="AF737" s="61">
        <v>0</v>
      </c>
      <c r="AG737" s="61">
        <v>0.83985330073349629</v>
      </c>
      <c r="AH737" s="61">
        <v>1.7114914425427872E-2</v>
      </c>
      <c r="AI737" s="61">
        <v>0.16014669926650366</v>
      </c>
      <c r="AJ737" s="59">
        <v>0.69099999999999995</v>
      </c>
      <c r="AK737" s="59">
        <v>0</v>
      </c>
      <c r="AL737" s="3">
        <v>0</v>
      </c>
      <c r="AM737" s="3">
        <v>0</v>
      </c>
      <c r="AN737" s="3">
        <v>5</v>
      </c>
      <c r="AO737" s="3">
        <v>111</v>
      </c>
      <c r="AP737" s="3">
        <v>116</v>
      </c>
      <c r="AQ737" s="3">
        <v>118</v>
      </c>
      <c r="AR737" s="3">
        <v>109</v>
      </c>
      <c r="AS737" s="59">
        <v>4.3103448275862072E-2</v>
      </c>
      <c r="AT737" s="3">
        <v>9</v>
      </c>
      <c r="AU737" s="3">
        <v>6</v>
      </c>
      <c r="AV737" s="49">
        <v>48.249027237354099</v>
      </c>
      <c r="AW737" s="49">
        <v>42.023346303501903</v>
      </c>
      <c r="AX737" s="49">
        <v>7.3929961089494203</v>
      </c>
      <c r="AY737" s="67">
        <v>2.33463035019455</v>
      </c>
      <c r="AZ737" s="62">
        <v>1.3888888888888888E-2</v>
      </c>
      <c r="BA737" s="62">
        <v>0.18634259259259259</v>
      </c>
      <c r="BB737" s="78">
        <v>91.250700468870804</v>
      </c>
      <c r="BC737" s="49">
        <v>49.152542372881399</v>
      </c>
      <c r="BD737" s="90" t="s">
        <v>83</v>
      </c>
      <c r="BE737" s="90" t="s">
        <v>83</v>
      </c>
      <c r="BF737" s="87">
        <v>7.6</v>
      </c>
      <c r="BG737" s="87">
        <v>2.8</v>
      </c>
      <c r="BH737" s="87">
        <v>1.8</v>
      </c>
      <c r="BI737" s="87">
        <v>0.9</v>
      </c>
      <c r="BJ737" s="49">
        <v>19.399999999999999</v>
      </c>
      <c r="BK737" s="126">
        <v>8750</v>
      </c>
      <c r="BL737" s="126">
        <v>46096</v>
      </c>
      <c r="BM737" s="126">
        <v>45604</v>
      </c>
      <c r="BN737" s="126">
        <v>37851</v>
      </c>
      <c r="BO737" s="59">
        <v>0</v>
      </c>
      <c r="BP737" s="59">
        <v>0.49669999999999997</v>
      </c>
      <c r="BQ737" s="59">
        <v>7.0400000000000004E-2</v>
      </c>
      <c r="BR737" s="59">
        <v>0</v>
      </c>
      <c r="BS737" s="59">
        <v>0</v>
      </c>
      <c r="BT737" s="49">
        <v>12.3</v>
      </c>
      <c r="BU737" s="59">
        <f t="shared" si="56"/>
        <v>0.56709999999999994</v>
      </c>
      <c r="BV737" s="59">
        <v>2.5100000000000001E-2</v>
      </c>
      <c r="BW737" s="59">
        <v>0</v>
      </c>
      <c r="BX737" s="59">
        <v>3.7699999999999997E-2</v>
      </c>
      <c r="BY737" s="59">
        <v>1.26E-2</v>
      </c>
      <c r="BZ737" s="59">
        <v>0</v>
      </c>
      <c r="CA737" s="49">
        <v>16.7</v>
      </c>
      <c r="CB737" s="59">
        <f t="shared" si="57"/>
        <v>7.5399999999999995E-2</v>
      </c>
      <c r="CC737" s="59">
        <v>0.31979999999999997</v>
      </c>
      <c r="CD737" s="59">
        <v>0.53439999999999999</v>
      </c>
      <c r="CE737" s="59">
        <v>0.13320000000000001</v>
      </c>
      <c r="CF737" s="59">
        <v>1.26E-2</v>
      </c>
      <c r="CG737" s="59">
        <v>0</v>
      </c>
      <c r="CH737" s="49">
        <v>12.6</v>
      </c>
      <c r="CI737" s="25" t="s">
        <v>197</v>
      </c>
      <c r="CJ737" s="18" t="s">
        <v>489</v>
      </c>
      <c r="CK737" s="20"/>
    </row>
    <row r="738" spans="1:89" x14ac:dyDescent="0.25">
      <c r="A738" s="18" t="s">
        <v>489</v>
      </c>
      <c r="B738" s="19" t="s">
        <v>194</v>
      </c>
      <c r="C738" s="25" t="s">
        <v>198</v>
      </c>
      <c r="D738" s="6">
        <v>9</v>
      </c>
      <c r="E738" s="6">
        <v>2</v>
      </c>
      <c r="F738" s="6">
        <v>7</v>
      </c>
      <c r="G738" s="163">
        <v>1</v>
      </c>
      <c r="H738" s="163">
        <v>1</v>
      </c>
      <c r="I738" s="163">
        <v>0</v>
      </c>
      <c r="J738" s="163">
        <v>1</v>
      </c>
      <c r="K738" s="163">
        <v>2</v>
      </c>
      <c r="L738" s="163">
        <v>3</v>
      </c>
      <c r="M738" s="163">
        <v>1</v>
      </c>
      <c r="N738" s="115">
        <v>1.38461538461538E-2</v>
      </c>
      <c r="O738" s="115">
        <v>1.6091954022988499E-2</v>
      </c>
      <c r="P738" s="115">
        <v>9.0090090090090107E-3</v>
      </c>
      <c r="Q738" s="115">
        <v>9.6153846153846194E-3</v>
      </c>
      <c r="R738" s="115">
        <v>0</v>
      </c>
      <c r="S738" s="115">
        <v>8.6956521739130401E-3</v>
      </c>
      <c r="T738" s="115">
        <v>1.8348623853211E-2</v>
      </c>
      <c r="U738" s="115">
        <v>2.9411764705882401E-2</v>
      </c>
      <c r="V738" s="115">
        <v>9.8039215686274508E-3</v>
      </c>
      <c r="W738" s="6">
        <v>791</v>
      </c>
      <c r="X738" s="40">
        <f t="shared" si="54"/>
        <v>405</v>
      </c>
      <c r="Y738" s="40">
        <f t="shared" si="55"/>
        <v>593</v>
      </c>
      <c r="Z738" s="59">
        <v>0.47160000000000002</v>
      </c>
      <c r="AA738" s="59">
        <v>0.52839999999999998</v>
      </c>
      <c r="AB738" s="61">
        <v>2.5284450063211127E-3</v>
      </c>
      <c r="AC738" s="61">
        <v>1.1378002528445006E-2</v>
      </c>
      <c r="AD738" s="61">
        <v>0.68520859671302148</v>
      </c>
      <c r="AE738" s="61">
        <v>8.8495575221238937E-3</v>
      </c>
      <c r="AF738" s="61">
        <v>0</v>
      </c>
      <c r="AG738" s="61">
        <v>0.2781289506953224</v>
      </c>
      <c r="AH738" s="61">
        <v>1.3906447534766119E-2</v>
      </c>
      <c r="AI738" s="61">
        <v>0.7218710493046776</v>
      </c>
      <c r="AJ738" s="59">
        <v>0.86299999999999999</v>
      </c>
      <c r="AK738" s="59">
        <v>0</v>
      </c>
      <c r="AL738" s="3">
        <v>97</v>
      </c>
      <c r="AM738" s="3">
        <v>91</v>
      </c>
      <c r="AN738" s="3">
        <v>6</v>
      </c>
      <c r="AO738" s="3">
        <v>103</v>
      </c>
      <c r="AP738" s="3">
        <v>99</v>
      </c>
      <c r="AQ738" s="3">
        <v>97</v>
      </c>
      <c r="AR738" s="3">
        <v>100</v>
      </c>
      <c r="AS738" s="59">
        <v>5.5045871559633031E-2</v>
      </c>
      <c r="AT738" s="3">
        <v>5</v>
      </c>
      <c r="AU738" s="3">
        <v>6</v>
      </c>
      <c r="AV738" s="49">
        <v>59.638554216867504</v>
      </c>
      <c r="AW738" s="49">
        <v>37.048192771084295</v>
      </c>
      <c r="AX738" s="49">
        <v>2.4096385542168699</v>
      </c>
      <c r="AY738" s="67">
        <v>0.90361445783132488</v>
      </c>
      <c r="AZ738" s="62">
        <v>3.2786885245901641E-2</v>
      </c>
      <c r="BA738" s="62">
        <v>0.39695550351288056</v>
      </c>
      <c r="BB738" s="77">
        <v>92.225224114286107</v>
      </c>
      <c r="BC738" s="49">
        <v>44.172494172494197</v>
      </c>
      <c r="BD738" s="87">
        <v>7.4</v>
      </c>
      <c r="BE738" s="87">
        <v>5.6</v>
      </c>
      <c r="BF738" s="87">
        <v>3.1</v>
      </c>
      <c r="BG738" s="87">
        <v>5.9</v>
      </c>
      <c r="BH738" s="87">
        <v>1.1000000000000001</v>
      </c>
      <c r="BI738" s="87">
        <v>1.9</v>
      </c>
      <c r="BJ738" s="49">
        <v>19.100000000000001</v>
      </c>
      <c r="BK738" s="126">
        <v>9748</v>
      </c>
      <c r="BL738" s="126">
        <v>46646</v>
      </c>
      <c r="BM738" s="126">
        <v>42371</v>
      </c>
      <c r="BN738" s="126">
        <v>37067</v>
      </c>
      <c r="BO738" s="59">
        <v>0</v>
      </c>
      <c r="BP738" s="59">
        <v>0.43469999999999998</v>
      </c>
      <c r="BQ738" s="59">
        <v>0.1191</v>
      </c>
      <c r="BR738" s="59">
        <v>0</v>
      </c>
      <c r="BS738" s="59">
        <v>5.7000000000000002E-3</v>
      </c>
      <c r="BT738" s="49">
        <v>15</v>
      </c>
      <c r="BU738" s="59">
        <f t="shared" si="56"/>
        <v>0.5595</v>
      </c>
      <c r="BV738" s="59">
        <v>2.2700000000000001E-2</v>
      </c>
      <c r="BW738" s="59">
        <v>0</v>
      </c>
      <c r="BX738" s="59">
        <v>3.4099999999999998E-2</v>
      </c>
      <c r="BY738" s="59">
        <v>0</v>
      </c>
      <c r="BZ738" s="59">
        <v>0</v>
      </c>
      <c r="CA738" s="49">
        <v>15.6</v>
      </c>
      <c r="CB738" s="59">
        <f t="shared" si="57"/>
        <v>5.6800000000000003E-2</v>
      </c>
      <c r="CC738" s="59">
        <v>0.33839999999999998</v>
      </c>
      <c r="CD738" s="59">
        <v>0.46870000000000001</v>
      </c>
      <c r="CE738" s="59">
        <v>0.18720000000000001</v>
      </c>
      <c r="CF738" s="59">
        <v>0</v>
      </c>
      <c r="CG738" s="59">
        <v>5.7000000000000002E-3</v>
      </c>
      <c r="CH738" s="49">
        <v>14.3</v>
      </c>
      <c r="CI738" s="25" t="s">
        <v>198</v>
      </c>
      <c r="CJ738" s="18" t="s">
        <v>489</v>
      </c>
      <c r="CK738" s="20"/>
    </row>
    <row r="739" spans="1:89" x14ac:dyDescent="0.25">
      <c r="A739" s="18" t="s">
        <v>489</v>
      </c>
      <c r="B739" s="19" t="s">
        <v>199</v>
      </c>
      <c r="C739" s="25" t="s">
        <v>200</v>
      </c>
      <c r="D739" s="6">
        <v>14</v>
      </c>
      <c r="E739" s="40" t="s">
        <v>83</v>
      </c>
      <c r="F739" s="6">
        <v>14</v>
      </c>
      <c r="G739" s="162" t="s">
        <v>83</v>
      </c>
      <c r="H739" s="162" t="s">
        <v>83</v>
      </c>
      <c r="I739" s="162" t="s">
        <v>83</v>
      </c>
      <c r="J739" s="163">
        <v>6</v>
      </c>
      <c r="K739" s="163">
        <v>4</v>
      </c>
      <c r="L739" s="163">
        <v>2</v>
      </c>
      <c r="M739" s="163">
        <v>2</v>
      </c>
      <c r="N739" s="115">
        <v>1.6036655211912901E-2</v>
      </c>
      <c r="O739" s="115">
        <v>1.6036655211912901E-2</v>
      </c>
      <c r="P739" s="116" t="s">
        <v>83</v>
      </c>
      <c r="Q739" s="116" t="s">
        <v>83</v>
      </c>
      <c r="R739" s="116" t="s">
        <v>83</v>
      </c>
      <c r="S739" s="115">
        <v>2.1126760563380299E-2</v>
      </c>
      <c r="T739" s="115">
        <v>1.8433179723502301E-2</v>
      </c>
      <c r="U739" s="115">
        <v>1.0869565217391301E-2</v>
      </c>
      <c r="V739" s="115">
        <v>1.0638297872340399E-2</v>
      </c>
      <c r="W739" s="6">
        <v>824</v>
      </c>
      <c r="X739" s="40">
        <f t="shared" si="54"/>
        <v>824</v>
      </c>
      <c r="Y739" s="40">
        <f t="shared" si="55"/>
        <v>824</v>
      </c>
      <c r="Z739" s="59">
        <v>0.50729999999999997</v>
      </c>
      <c r="AA739" s="59">
        <v>0.49270000000000003</v>
      </c>
      <c r="AB739" s="61">
        <v>1.2135922330097086E-3</v>
      </c>
      <c r="AC739" s="61">
        <v>7.2815533980582527E-3</v>
      </c>
      <c r="AD739" s="61">
        <v>0.50970873786407767</v>
      </c>
      <c r="AE739" s="61">
        <v>8.4951456310679609E-3</v>
      </c>
      <c r="AF739" s="61">
        <v>0</v>
      </c>
      <c r="AG739" s="61">
        <v>0.46237864077669905</v>
      </c>
      <c r="AH739" s="61">
        <v>1.0922330097087379E-2</v>
      </c>
      <c r="AI739" s="61">
        <v>0.53762135922330101</v>
      </c>
      <c r="AJ739" s="59">
        <v>0.78800000000000003</v>
      </c>
      <c r="AK739" s="59">
        <v>2.3999999999999998E-3</v>
      </c>
      <c r="AL739" s="3">
        <v>0</v>
      </c>
      <c r="AM739" s="3">
        <v>0</v>
      </c>
      <c r="AN739" s="3">
        <v>0</v>
      </c>
      <c r="AO739" s="3">
        <v>262</v>
      </c>
      <c r="AP739" s="3">
        <v>205</v>
      </c>
      <c r="AQ739" s="3">
        <v>173</v>
      </c>
      <c r="AR739" s="3">
        <v>184</v>
      </c>
      <c r="AS739" s="59">
        <v>0</v>
      </c>
      <c r="AT739" s="3">
        <v>9</v>
      </c>
      <c r="AU739" s="3">
        <v>6</v>
      </c>
      <c r="AV739" s="49">
        <v>62.637362637362607</v>
      </c>
      <c r="AW739" s="49">
        <v>34.065934065934101</v>
      </c>
      <c r="AX739" s="49">
        <v>2.7472527472527499</v>
      </c>
      <c r="AY739" s="67">
        <v>0.54945054945054894</v>
      </c>
      <c r="AZ739" s="62">
        <v>0.32681242807825084</v>
      </c>
      <c r="BA739" s="62">
        <v>4.6029919447640968E-2</v>
      </c>
      <c r="BB739" s="78">
        <v>88.189840692115496</v>
      </c>
      <c r="BC739" s="49">
        <v>88.646788990825698</v>
      </c>
      <c r="BD739" s="90" t="s">
        <v>83</v>
      </c>
      <c r="BE739" s="90" t="s">
        <v>83</v>
      </c>
      <c r="BF739" s="87">
        <v>14.5</v>
      </c>
      <c r="BG739" s="87">
        <v>4.7</v>
      </c>
      <c r="BH739" s="87">
        <v>3.1</v>
      </c>
      <c r="BI739" s="87">
        <v>0.6</v>
      </c>
      <c r="BJ739" s="49">
        <v>16.899999999999999</v>
      </c>
      <c r="BK739" s="126">
        <v>9894</v>
      </c>
      <c r="BL739" s="126">
        <v>45144</v>
      </c>
      <c r="BM739" s="126">
        <v>49775</v>
      </c>
      <c r="BN739" s="126">
        <v>38660</v>
      </c>
      <c r="BO739" s="59">
        <v>0</v>
      </c>
      <c r="BP739" s="59">
        <v>0.35399999999999998</v>
      </c>
      <c r="BQ739" s="59">
        <v>0.2351</v>
      </c>
      <c r="BR739" s="59">
        <v>0</v>
      </c>
      <c r="BS739" s="59">
        <v>0</v>
      </c>
      <c r="BT739" s="49">
        <v>13.1</v>
      </c>
      <c r="BU739" s="59">
        <f t="shared" si="56"/>
        <v>0.58909999999999996</v>
      </c>
      <c r="BV739" s="59">
        <v>2.1899999999999999E-2</v>
      </c>
      <c r="BW739" s="59">
        <v>0</v>
      </c>
      <c r="BX739" s="59">
        <v>4.3200000000000002E-2</v>
      </c>
      <c r="BY739" s="59">
        <v>0</v>
      </c>
      <c r="BZ739" s="59">
        <v>0</v>
      </c>
      <c r="CA739" s="49">
        <v>25.7</v>
      </c>
      <c r="CB739" s="59">
        <f t="shared" si="57"/>
        <v>6.5100000000000005E-2</v>
      </c>
      <c r="CC739" s="59">
        <v>0.27800000000000002</v>
      </c>
      <c r="CD739" s="59">
        <v>0.35899999999999999</v>
      </c>
      <c r="CE739" s="59">
        <v>0.33650000000000002</v>
      </c>
      <c r="CF739" s="59">
        <v>1.5599999999999999E-2</v>
      </c>
      <c r="CG739" s="59">
        <v>1.09E-2</v>
      </c>
      <c r="CH739" s="49">
        <v>15.2</v>
      </c>
      <c r="CI739" s="25" t="s">
        <v>200</v>
      </c>
      <c r="CJ739" s="18" t="s">
        <v>489</v>
      </c>
      <c r="CK739" s="20"/>
    </row>
    <row r="740" spans="1:89" x14ac:dyDescent="0.25">
      <c r="A740" s="18" t="s">
        <v>489</v>
      </c>
      <c r="B740" s="19" t="s">
        <v>201</v>
      </c>
      <c r="C740" s="25" t="s">
        <v>202</v>
      </c>
      <c r="D740" s="6">
        <v>0</v>
      </c>
      <c r="E740" s="6">
        <v>0</v>
      </c>
      <c r="F740" s="6">
        <v>0</v>
      </c>
      <c r="G740" s="163">
        <v>0</v>
      </c>
      <c r="H740" s="163">
        <v>0</v>
      </c>
      <c r="I740" s="162" t="s">
        <v>83</v>
      </c>
      <c r="J740" s="163">
        <v>0</v>
      </c>
      <c r="K740" s="163">
        <v>0</v>
      </c>
      <c r="L740" s="163">
        <v>0</v>
      </c>
      <c r="M740" s="163">
        <v>0</v>
      </c>
      <c r="N740" s="115">
        <v>0</v>
      </c>
      <c r="O740" s="115">
        <v>0</v>
      </c>
      <c r="P740" s="115">
        <v>0</v>
      </c>
      <c r="Q740" s="115">
        <v>0</v>
      </c>
      <c r="R740" s="116" t="s">
        <v>83</v>
      </c>
      <c r="S740" s="115">
        <v>0</v>
      </c>
      <c r="T740" s="115">
        <v>0</v>
      </c>
      <c r="U740" s="115">
        <v>0</v>
      </c>
      <c r="V740" s="115">
        <v>0</v>
      </c>
      <c r="W740" s="6">
        <v>251</v>
      </c>
      <c r="X740" s="40">
        <f t="shared" si="54"/>
        <v>75</v>
      </c>
      <c r="Y740" s="40">
        <f t="shared" si="55"/>
        <v>116</v>
      </c>
      <c r="Z740" s="59">
        <v>0.47410000000000002</v>
      </c>
      <c r="AA740" s="59">
        <v>0.52590000000000003</v>
      </c>
      <c r="AB740" s="61">
        <v>1.5936254980079681E-2</v>
      </c>
      <c r="AC740" s="61">
        <v>0</v>
      </c>
      <c r="AD740" s="61">
        <v>0</v>
      </c>
      <c r="AE740" s="61">
        <v>7.9681274900398405E-3</v>
      </c>
      <c r="AF740" s="61">
        <v>0</v>
      </c>
      <c r="AG740" s="61">
        <v>0.96812749003984067</v>
      </c>
      <c r="AH740" s="61">
        <v>7.9681274900398405E-3</v>
      </c>
      <c r="AI740" s="61">
        <v>3.1872509960159362E-2</v>
      </c>
      <c r="AJ740" s="59">
        <v>0.63700000000000001</v>
      </c>
      <c r="AK740" s="59">
        <v>0</v>
      </c>
      <c r="AL740" s="3">
        <v>22</v>
      </c>
      <c r="AM740" s="3">
        <v>19</v>
      </c>
      <c r="AN740" s="3">
        <v>0</v>
      </c>
      <c r="AO740" s="3">
        <v>23</v>
      </c>
      <c r="AP740" s="3">
        <v>19</v>
      </c>
      <c r="AQ740" s="3">
        <v>19</v>
      </c>
      <c r="AR740" s="3">
        <v>14</v>
      </c>
      <c r="AS740" s="59">
        <v>0</v>
      </c>
      <c r="AT740" s="3">
        <v>1</v>
      </c>
      <c r="AU740" s="3">
        <v>6</v>
      </c>
      <c r="AV740" s="49">
        <v>80.869565217391298</v>
      </c>
      <c r="AW740" s="49">
        <v>19.130434782608699</v>
      </c>
      <c r="AX740" s="49">
        <v>0</v>
      </c>
      <c r="AY740" s="67">
        <v>0</v>
      </c>
      <c r="AZ740" s="62">
        <v>0</v>
      </c>
      <c r="BA740" s="62">
        <v>1.4652014652014652E-2</v>
      </c>
      <c r="BB740" s="77">
        <v>93.805895180457199</v>
      </c>
      <c r="BC740" s="49">
        <v>20.866141732283499</v>
      </c>
      <c r="BD740" s="87">
        <v>0</v>
      </c>
      <c r="BE740" s="87">
        <v>0</v>
      </c>
      <c r="BF740" s="87">
        <v>0</v>
      </c>
      <c r="BG740" s="87">
        <v>0</v>
      </c>
      <c r="BH740" s="87">
        <v>0</v>
      </c>
      <c r="BI740" s="87">
        <v>0</v>
      </c>
      <c r="BJ740" s="49">
        <v>18.8</v>
      </c>
      <c r="BK740" s="126">
        <v>9487</v>
      </c>
      <c r="BL740" s="126">
        <v>42938</v>
      </c>
      <c r="BM740" s="126">
        <v>40240</v>
      </c>
      <c r="BN740" s="126">
        <v>34693</v>
      </c>
      <c r="BO740" s="59">
        <v>0</v>
      </c>
      <c r="BP740" s="59">
        <v>0.51449999999999996</v>
      </c>
      <c r="BQ740" s="59">
        <v>8.7499999999999994E-2</v>
      </c>
      <c r="BR740" s="59">
        <v>0</v>
      </c>
      <c r="BS740" s="59">
        <v>0</v>
      </c>
      <c r="BT740" s="49">
        <v>9.1999999999999993</v>
      </c>
      <c r="BU740" s="59">
        <f t="shared" si="56"/>
        <v>0.60199999999999998</v>
      </c>
      <c r="BV740" s="59">
        <v>3.5000000000000003E-2</v>
      </c>
      <c r="BW740" s="59">
        <v>0</v>
      </c>
      <c r="BX740" s="59">
        <v>3.5000000000000003E-2</v>
      </c>
      <c r="BY740" s="59">
        <v>0</v>
      </c>
      <c r="BZ740" s="59">
        <v>0</v>
      </c>
      <c r="CA740" s="49">
        <v>21</v>
      </c>
      <c r="CB740" s="59">
        <f t="shared" si="57"/>
        <v>7.0000000000000007E-2</v>
      </c>
      <c r="CC740" s="59">
        <v>0.34549999999999997</v>
      </c>
      <c r="CD740" s="59">
        <v>0.51449999999999996</v>
      </c>
      <c r="CE740" s="59">
        <v>0.14000000000000001</v>
      </c>
      <c r="CF740" s="59">
        <v>0</v>
      </c>
      <c r="CG740" s="59">
        <v>0</v>
      </c>
      <c r="CH740" s="49">
        <v>9.5</v>
      </c>
      <c r="CI740" s="25" t="s">
        <v>202</v>
      </c>
      <c r="CJ740" s="18" t="s">
        <v>489</v>
      </c>
      <c r="CK740" s="20"/>
    </row>
    <row r="741" spans="1:89" x14ac:dyDescent="0.25">
      <c r="A741" s="18" t="s">
        <v>489</v>
      </c>
      <c r="B741" s="19" t="s">
        <v>201</v>
      </c>
      <c r="C741" s="25" t="s">
        <v>203</v>
      </c>
      <c r="D741" s="6">
        <v>20</v>
      </c>
      <c r="E741" s="40" t="s">
        <v>83</v>
      </c>
      <c r="F741" s="6">
        <v>20</v>
      </c>
      <c r="G741" s="162" t="s">
        <v>83</v>
      </c>
      <c r="H741" s="162" t="s">
        <v>83</v>
      </c>
      <c r="I741" s="163">
        <v>1</v>
      </c>
      <c r="J741" s="163">
        <v>6</v>
      </c>
      <c r="K741" s="163">
        <v>7</v>
      </c>
      <c r="L741" s="163">
        <v>2</v>
      </c>
      <c r="M741" s="163">
        <v>4</v>
      </c>
      <c r="N741" s="115">
        <v>2.5873221216041398E-2</v>
      </c>
      <c r="O741" s="115">
        <v>2.5873221216041398E-2</v>
      </c>
      <c r="P741" s="116" t="s">
        <v>83</v>
      </c>
      <c r="Q741" s="116" t="s">
        <v>83</v>
      </c>
      <c r="R741" s="115">
        <v>3.4482758620689703E-2</v>
      </c>
      <c r="S741" s="115">
        <v>2.8985507246376802E-2</v>
      </c>
      <c r="T741" s="115">
        <v>3.3018867924528301E-2</v>
      </c>
      <c r="U741" s="115">
        <v>1.25786163522013E-2</v>
      </c>
      <c r="V741" s="115">
        <v>2.40963855421687E-2</v>
      </c>
      <c r="W741" s="6">
        <v>708</v>
      </c>
      <c r="X741" s="40">
        <f t="shared" si="54"/>
        <v>708</v>
      </c>
      <c r="Y741" s="40">
        <f t="shared" si="55"/>
        <v>708</v>
      </c>
      <c r="Z741" s="59">
        <v>0.50849999999999995</v>
      </c>
      <c r="AA741" s="59">
        <v>0.49149999999999999</v>
      </c>
      <c r="AB741" s="61">
        <v>8.4745762711864406E-3</v>
      </c>
      <c r="AC741" s="61">
        <v>7.0621468926553672E-3</v>
      </c>
      <c r="AD741" s="61">
        <v>0.1172316384180791</v>
      </c>
      <c r="AE741" s="61">
        <v>1.1299435028248588E-2</v>
      </c>
      <c r="AF741" s="61">
        <v>0</v>
      </c>
      <c r="AG741" s="61">
        <v>0.85310734463276838</v>
      </c>
      <c r="AH741" s="61">
        <v>2.8248587570621469E-3</v>
      </c>
      <c r="AI741" s="61">
        <v>0.14689265536723164</v>
      </c>
      <c r="AJ741" s="59">
        <v>0.65</v>
      </c>
      <c r="AK741" s="59">
        <v>0</v>
      </c>
      <c r="AL741" s="3">
        <v>0</v>
      </c>
      <c r="AM741" s="3">
        <v>0</v>
      </c>
      <c r="AN741" s="3">
        <v>28</v>
      </c>
      <c r="AO741" s="3">
        <v>195</v>
      </c>
      <c r="AP741" s="3">
        <v>188</v>
      </c>
      <c r="AQ741" s="3">
        <v>175</v>
      </c>
      <c r="AR741" s="3">
        <v>122</v>
      </c>
      <c r="AS741" s="59">
        <v>0.12556053811659193</v>
      </c>
      <c r="AT741" s="3">
        <v>9</v>
      </c>
      <c r="AU741" s="3">
        <v>6</v>
      </c>
      <c r="AV741" s="49">
        <v>73.617021276595693</v>
      </c>
      <c r="AW741" s="49">
        <v>15.9574468085106</v>
      </c>
      <c r="AX741" s="49">
        <v>9.787234042553191</v>
      </c>
      <c r="AY741" s="67">
        <v>0.63829787234042601</v>
      </c>
      <c r="AZ741" s="62">
        <v>9.9868593955321938E-2</v>
      </c>
      <c r="BA741" s="62">
        <v>6.9645203679369244E-2</v>
      </c>
      <c r="BB741" s="78">
        <v>90.832007776599497</v>
      </c>
      <c r="BC741" s="49">
        <v>21.287779237844902</v>
      </c>
      <c r="BD741" s="90" t="s">
        <v>83</v>
      </c>
      <c r="BE741" s="90" t="s">
        <v>83</v>
      </c>
      <c r="BF741" s="87">
        <v>9.5</v>
      </c>
      <c r="BG741" s="87">
        <v>7.2</v>
      </c>
      <c r="BH741" s="87">
        <v>2.2000000000000002</v>
      </c>
      <c r="BI741" s="87">
        <v>3.1</v>
      </c>
      <c r="BJ741" s="49">
        <v>19.600000000000001</v>
      </c>
      <c r="BK741" s="126">
        <v>10151</v>
      </c>
      <c r="BL741" s="126">
        <v>43050</v>
      </c>
      <c r="BM741" s="126">
        <v>42704</v>
      </c>
      <c r="BN741" s="126">
        <v>35350</v>
      </c>
      <c r="BO741" s="59">
        <v>1.2999999999999999E-2</v>
      </c>
      <c r="BP741" s="59">
        <v>0.44390000000000002</v>
      </c>
      <c r="BQ741" s="59">
        <v>0.14369999999999999</v>
      </c>
      <c r="BR741" s="59">
        <v>0</v>
      </c>
      <c r="BS741" s="59">
        <v>0</v>
      </c>
      <c r="BT741" s="49">
        <v>9.3000000000000007</v>
      </c>
      <c r="BU741" s="59">
        <f t="shared" si="56"/>
        <v>0.60060000000000002</v>
      </c>
      <c r="BV741" s="59">
        <v>2.6100000000000002E-2</v>
      </c>
      <c r="BW741" s="59">
        <v>0</v>
      </c>
      <c r="BX741" s="59">
        <v>3.8699999999999998E-2</v>
      </c>
      <c r="BY741" s="59">
        <v>0</v>
      </c>
      <c r="BZ741" s="59">
        <v>0</v>
      </c>
      <c r="CA741" s="49">
        <v>12.1</v>
      </c>
      <c r="CB741" s="59">
        <f t="shared" si="57"/>
        <v>6.4799999999999996E-2</v>
      </c>
      <c r="CC741" s="59">
        <v>0.34050000000000002</v>
      </c>
      <c r="CD741" s="59">
        <v>0.45100000000000001</v>
      </c>
      <c r="CE741" s="59">
        <v>0.2084</v>
      </c>
      <c r="CF741" s="59">
        <v>0</v>
      </c>
      <c r="CG741" s="59">
        <v>0</v>
      </c>
      <c r="CH741" s="49">
        <v>10.5</v>
      </c>
      <c r="CI741" s="25" t="s">
        <v>203</v>
      </c>
      <c r="CJ741" s="18" t="s">
        <v>489</v>
      </c>
      <c r="CK741" s="20"/>
    </row>
    <row r="742" spans="1:89" x14ac:dyDescent="0.25">
      <c r="A742" s="18" t="s">
        <v>489</v>
      </c>
      <c r="B742" s="19" t="s">
        <v>201</v>
      </c>
      <c r="C742" s="25" t="s">
        <v>204</v>
      </c>
      <c r="D742" s="6">
        <v>6</v>
      </c>
      <c r="E742" s="6">
        <v>0</v>
      </c>
      <c r="F742" s="6">
        <v>6</v>
      </c>
      <c r="G742" s="163">
        <v>0</v>
      </c>
      <c r="H742" s="163">
        <v>0</v>
      </c>
      <c r="I742" s="162" t="s">
        <v>83</v>
      </c>
      <c r="J742" s="163">
        <v>2</v>
      </c>
      <c r="K742" s="163">
        <v>0</v>
      </c>
      <c r="L742" s="163">
        <v>2</v>
      </c>
      <c r="M742" s="163">
        <v>2</v>
      </c>
      <c r="N742" s="115">
        <v>2.66666666666667E-2</v>
      </c>
      <c r="O742" s="115">
        <v>3.8216560509554097E-2</v>
      </c>
      <c r="P742" s="115">
        <v>0</v>
      </c>
      <c r="Q742" s="115">
        <v>0</v>
      </c>
      <c r="R742" s="116" t="s">
        <v>83</v>
      </c>
      <c r="S742" s="115">
        <v>0.05</v>
      </c>
      <c r="T742" s="115">
        <v>0</v>
      </c>
      <c r="U742" s="115">
        <v>7.1428571428571397E-2</v>
      </c>
      <c r="V742" s="115">
        <v>5.1282051282051301E-2</v>
      </c>
      <c r="W742" s="6">
        <v>183</v>
      </c>
      <c r="X742" s="40">
        <f t="shared" si="54"/>
        <v>127</v>
      </c>
      <c r="Y742" s="40">
        <f t="shared" si="55"/>
        <v>183</v>
      </c>
      <c r="Z742" s="59">
        <v>0.39889999999999998</v>
      </c>
      <c r="AA742" s="59">
        <v>0.60109999999999997</v>
      </c>
      <c r="AB742" s="61">
        <v>0</v>
      </c>
      <c r="AC742" s="61">
        <v>1.6393442622950821E-2</v>
      </c>
      <c r="AD742" s="61">
        <v>0.14754098360655737</v>
      </c>
      <c r="AE742" s="61">
        <v>5.4644808743169399E-3</v>
      </c>
      <c r="AF742" s="61">
        <v>1.092896174863388E-2</v>
      </c>
      <c r="AG742" s="61">
        <v>0.81967213114754101</v>
      </c>
      <c r="AH742" s="61">
        <v>0</v>
      </c>
      <c r="AI742" s="61">
        <v>0.18032786885245902</v>
      </c>
      <c r="AJ742" s="59">
        <v>0.65</v>
      </c>
      <c r="AK742" s="59">
        <v>0</v>
      </c>
      <c r="AL742" s="3">
        <v>23</v>
      </c>
      <c r="AM742" s="3">
        <v>33</v>
      </c>
      <c r="AN742" s="3">
        <v>0</v>
      </c>
      <c r="AO742" s="3">
        <v>27</v>
      </c>
      <c r="AP742" s="3">
        <v>42</v>
      </c>
      <c r="AQ742" s="3">
        <v>28</v>
      </c>
      <c r="AR742" s="3">
        <v>30</v>
      </c>
      <c r="AS742" s="59">
        <v>0</v>
      </c>
      <c r="AT742" s="3">
        <v>7</v>
      </c>
      <c r="AU742" s="3">
        <v>6</v>
      </c>
      <c r="AV742" s="49">
        <v>87.7659574468085</v>
      </c>
      <c r="AW742" s="49">
        <v>9.5744680851063801</v>
      </c>
      <c r="AX742" s="49">
        <v>2.6595744680851099</v>
      </c>
      <c r="AY742" s="67">
        <v>0</v>
      </c>
      <c r="AZ742" s="62">
        <v>1.8181818181818181E-2</v>
      </c>
      <c r="BA742" s="62">
        <v>0.15909090909090909</v>
      </c>
      <c r="BB742" s="77">
        <v>92.761621396807101</v>
      </c>
      <c r="BC742" s="49">
        <v>26.6968325791855</v>
      </c>
      <c r="BD742" s="87">
        <v>0</v>
      </c>
      <c r="BE742" s="87">
        <v>0</v>
      </c>
      <c r="BF742" s="87">
        <v>0</v>
      </c>
      <c r="BG742" s="87">
        <v>2.2999999999999998</v>
      </c>
      <c r="BH742" s="87">
        <v>4.2</v>
      </c>
      <c r="BI742" s="87">
        <v>0</v>
      </c>
      <c r="BJ742" s="49">
        <v>16.8</v>
      </c>
      <c r="BK742" s="126">
        <v>11682</v>
      </c>
      <c r="BL742" s="126">
        <v>48843</v>
      </c>
      <c r="BM742" s="126">
        <v>41618</v>
      </c>
      <c r="BN742" s="126">
        <v>36208</v>
      </c>
      <c r="BO742" s="59">
        <v>3.6700000000000003E-2</v>
      </c>
      <c r="BP742" s="59">
        <v>0.40589999999999998</v>
      </c>
      <c r="BQ742" s="59">
        <v>7.0199999999999999E-2</v>
      </c>
      <c r="BR742" s="59">
        <v>0</v>
      </c>
      <c r="BS742" s="59">
        <v>0</v>
      </c>
      <c r="BT742" s="49">
        <v>16</v>
      </c>
      <c r="BU742" s="59">
        <f t="shared" si="56"/>
        <v>0.51280000000000003</v>
      </c>
      <c r="BV742" s="59">
        <v>3.6700000000000003E-2</v>
      </c>
      <c r="BW742" s="59">
        <v>0</v>
      </c>
      <c r="BX742" s="59">
        <v>5.6099999999999997E-2</v>
      </c>
      <c r="BY742" s="59">
        <v>0</v>
      </c>
      <c r="BZ742" s="59">
        <v>0</v>
      </c>
      <c r="CA742" s="49">
        <v>12.1</v>
      </c>
      <c r="CB742" s="59">
        <f t="shared" si="57"/>
        <v>9.2799999999999994E-2</v>
      </c>
      <c r="CC742" s="59">
        <v>0.44629999999999997</v>
      </c>
      <c r="CD742" s="59">
        <v>0.40589999999999998</v>
      </c>
      <c r="CE742" s="59">
        <v>0.14779999999999999</v>
      </c>
      <c r="CF742" s="59">
        <v>0</v>
      </c>
      <c r="CG742" s="59">
        <v>0</v>
      </c>
      <c r="CH742" s="49">
        <v>12.5</v>
      </c>
      <c r="CI742" s="25" t="s">
        <v>204</v>
      </c>
      <c r="CJ742" s="18" t="s">
        <v>489</v>
      </c>
      <c r="CK742" s="20"/>
    </row>
    <row r="743" spans="1:89" x14ac:dyDescent="0.25">
      <c r="A743" s="18" t="s">
        <v>489</v>
      </c>
      <c r="B743" s="19" t="s">
        <v>205</v>
      </c>
      <c r="C743" s="25" t="s">
        <v>206</v>
      </c>
      <c r="D743" s="6">
        <v>1</v>
      </c>
      <c r="E743" s="6">
        <v>1</v>
      </c>
      <c r="F743" s="6">
        <v>0</v>
      </c>
      <c r="G743" s="163">
        <v>0</v>
      </c>
      <c r="H743" s="163">
        <v>1</v>
      </c>
      <c r="I743" s="163">
        <v>0</v>
      </c>
      <c r="J743" s="163">
        <v>0</v>
      </c>
      <c r="K743" s="163">
        <v>0</v>
      </c>
      <c r="L743" s="163">
        <v>0</v>
      </c>
      <c r="M743" s="163">
        <v>0</v>
      </c>
      <c r="N743" s="115">
        <v>1.9880715705765401E-3</v>
      </c>
      <c r="O743" s="115">
        <v>0</v>
      </c>
      <c r="P743" s="115">
        <v>0</v>
      </c>
      <c r="Q743" s="115">
        <v>1.02040816326531E-2</v>
      </c>
      <c r="R743" s="115">
        <v>0</v>
      </c>
      <c r="S743" s="115">
        <v>0</v>
      </c>
      <c r="T743" s="115">
        <v>0</v>
      </c>
      <c r="U743" s="115">
        <v>0</v>
      </c>
      <c r="V743" s="115">
        <v>0</v>
      </c>
      <c r="W743" s="6">
        <v>570</v>
      </c>
      <c r="X743" s="40">
        <f t="shared" si="54"/>
        <v>301</v>
      </c>
      <c r="Y743" s="40">
        <f t="shared" si="55"/>
        <v>483</v>
      </c>
      <c r="Z743" s="59">
        <v>0.49299999999999999</v>
      </c>
      <c r="AA743" s="59">
        <v>0.50700000000000001</v>
      </c>
      <c r="AB743" s="61">
        <v>5.263157894736842E-3</v>
      </c>
      <c r="AC743" s="61">
        <v>7.0175438596491229E-3</v>
      </c>
      <c r="AD743" s="61">
        <v>7.7192982456140355E-2</v>
      </c>
      <c r="AE743" s="61">
        <v>5.6140350877192984E-2</v>
      </c>
      <c r="AF743" s="61">
        <v>0</v>
      </c>
      <c r="AG743" s="61">
        <v>0.8403508771929824</v>
      </c>
      <c r="AH743" s="61">
        <v>1.4035087719298246E-2</v>
      </c>
      <c r="AI743" s="61">
        <v>0.15964912280701754</v>
      </c>
      <c r="AJ743" s="59">
        <v>0.65100000000000002</v>
      </c>
      <c r="AK743" s="59">
        <v>1.23E-2</v>
      </c>
      <c r="AL743" s="3">
        <v>93</v>
      </c>
      <c r="AM743" s="3">
        <v>89</v>
      </c>
      <c r="AN743" s="3">
        <v>2</v>
      </c>
      <c r="AO743" s="3">
        <v>91</v>
      </c>
      <c r="AP743" s="3">
        <v>69</v>
      </c>
      <c r="AQ743" s="3">
        <v>70</v>
      </c>
      <c r="AR743" s="3">
        <v>69</v>
      </c>
      <c r="AS743" s="59">
        <v>2.1505376344086023E-2</v>
      </c>
      <c r="AT743" s="3">
        <v>6</v>
      </c>
      <c r="AU743" s="3">
        <v>6</v>
      </c>
      <c r="AV743" s="49">
        <v>78.746594005449595</v>
      </c>
      <c r="AW743" s="49">
        <v>8.7193460490463206</v>
      </c>
      <c r="AX743" s="49">
        <v>12.534059945504101</v>
      </c>
      <c r="AY743" s="67">
        <v>0</v>
      </c>
      <c r="AZ743" s="62">
        <v>0.28691275167785235</v>
      </c>
      <c r="BA743" s="62">
        <v>1.0067114093959731E-2</v>
      </c>
      <c r="BB743" s="78">
        <v>95.189272061567607</v>
      </c>
      <c r="BC743" s="49">
        <v>37.437603993344403</v>
      </c>
      <c r="BD743" s="87">
        <v>6.7</v>
      </c>
      <c r="BE743" s="87">
        <v>8.8000000000000007</v>
      </c>
      <c r="BF743" s="87">
        <v>7</v>
      </c>
      <c r="BG743" s="87">
        <v>3</v>
      </c>
      <c r="BH743" s="87">
        <v>1.6</v>
      </c>
      <c r="BI743" s="87">
        <v>1.4</v>
      </c>
      <c r="BJ743" s="49">
        <v>20.5</v>
      </c>
      <c r="BK743" s="126">
        <v>9308</v>
      </c>
      <c r="BL743" s="126">
        <v>50959</v>
      </c>
      <c r="BM743" s="126">
        <v>39392</v>
      </c>
      <c r="BN743" s="126">
        <v>44975</v>
      </c>
      <c r="BO743" s="59">
        <v>0</v>
      </c>
      <c r="BP743" s="59">
        <v>0.47589999999999999</v>
      </c>
      <c r="BQ743" s="59">
        <v>0.22739999999999999</v>
      </c>
      <c r="BR743" s="59">
        <v>0</v>
      </c>
      <c r="BS743" s="59">
        <v>0</v>
      </c>
      <c r="BT743" s="49">
        <v>14</v>
      </c>
      <c r="BU743" s="59">
        <f t="shared" si="56"/>
        <v>0.70330000000000004</v>
      </c>
      <c r="BV743" s="59">
        <v>5.8500000000000003E-2</v>
      </c>
      <c r="BW743" s="59">
        <v>0</v>
      </c>
      <c r="BX743" s="59">
        <v>3.9E-2</v>
      </c>
      <c r="BY743" s="59">
        <v>0</v>
      </c>
      <c r="BZ743" s="59">
        <v>0</v>
      </c>
      <c r="CA743" s="49">
        <v>9.8000000000000007</v>
      </c>
      <c r="CB743" s="59">
        <f t="shared" si="57"/>
        <v>9.7500000000000003E-2</v>
      </c>
      <c r="CC743" s="59">
        <v>0.2049</v>
      </c>
      <c r="CD743" s="59">
        <v>0.4975</v>
      </c>
      <c r="CE743" s="59">
        <v>0.29749999999999999</v>
      </c>
      <c r="CF743" s="59">
        <v>0</v>
      </c>
      <c r="CG743" s="59">
        <v>0</v>
      </c>
      <c r="CH743" s="49">
        <v>13.1</v>
      </c>
      <c r="CI743" s="25" t="s">
        <v>206</v>
      </c>
      <c r="CJ743" s="18" t="s">
        <v>489</v>
      </c>
      <c r="CK743" s="20"/>
    </row>
    <row r="744" spans="1:89" x14ac:dyDescent="0.25">
      <c r="A744" s="18" t="s">
        <v>489</v>
      </c>
      <c r="B744" s="19" t="s">
        <v>205</v>
      </c>
      <c r="C744" s="25" t="s">
        <v>207</v>
      </c>
      <c r="D744" s="6">
        <v>1</v>
      </c>
      <c r="E744" s="6">
        <v>0</v>
      </c>
      <c r="F744" s="6">
        <v>1</v>
      </c>
      <c r="G744" s="163">
        <v>0</v>
      </c>
      <c r="H744" s="163">
        <v>0</v>
      </c>
      <c r="I744" s="163">
        <v>0</v>
      </c>
      <c r="J744" s="163">
        <v>0</v>
      </c>
      <c r="K744" s="163">
        <v>0</v>
      </c>
      <c r="L744" s="163">
        <v>0</v>
      </c>
      <c r="M744" s="163">
        <v>1</v>
      </c>
      <c r="N744" s="115">
        <v>2.1052631578947398E-3</v>
      </c>
      <c r="O744" s="115">
        <v>3.1446540880503099E-3</v>
      </c>
      <c r="P744" s="115">
        <v>0</v>
      </c>
      <c r="Q744" s="115">
        <v>0</v>
      </c>
      <c r="R744" s="115">
        <v>0</v>
      </c>
      <c r="S744" s="115">
        <v>0</v>
      </c>
      <c r="T744" s="115">
        <v>0</v>
      </c>
      <c r="U744" s="115">
        <v>0</v>
      </c>
      <c r="V744" s="115">
        <v>1.6949152542372899E-2</v>
      </c>
      <c r="W744" s="6">
        <v>428</v>
      </c>
      <c r="X744" s="40">
        <f t="shared" si="54"/>
        <v>295</v>
      </c>
      <c r="Y744" s="40">
        <f t="shared" si="55"/>
        <v>428</v>
      </c>
      <c r="Z744" s="59">
        <v>0.47660000000000002</v>
      </c>
      <c r="AA744" s="59">
        <v>0.52339999999999998</v>
      </c>
      <c r="AB744" s="61">
        <v>0</v>
      </c>
      <c r="AC744" s="61">
        <v>0</v>
      </c>
      <c r="AD744" s="61">
        <v>0.87383177570093462</v>
      </c>
      <c r="AE744" s="61">
        <v>9.3457943925233638E-3</v>
      </c>
      <c r="AF744" s="61">
        <v>2.3364485981308409E-3</v>
      </c>
      <c r="AG744" s="61">
        <v>0.10747663551401869</v>
      </c>
      <c r="AH744" s="61">
        <v>7.0093457943925233E-3</v>
      </c>
      <c r="AI744" s="61">
        <v>0.89252336448598135</v>
      </c>
      <c r="AJ744" s="59">
        <v>0.93500000000000005</v>
      </c>
      <c r="AK744" s="59">
        <v>7.0000000000000001E-3</v>
      </c>
      <c r="AL744" s="3">
        <v>67</v>
      </c>
      <c r="AM744" s="3">
        <v>66</v>
      </c>
      <c r="AN744" s="3">
        <v>27</v>
      </c>
      <c r="AO744" s="3">
        <v>54</v>
      </c>
      <c r="AP744" s="3">
        <v>88</v>
      </c>
      <c r="AQ744" s="3">
        <v>72</v>
      </c>
      <c r="AR744" s="3">
        <v>54</v>
      </c>
      <c r="AS744" s="59">
        <v>0.33333333333333331</v>
      </c>
      <c r="AT744" s="3">
        <v>7</v>
      </c>
      <c r="AU744" s="3">
        <v>6</v>
      </c>
      <c r="AV744" s="49">
        <v>93.255131964809408</v>
      </c>
      <c r="AW744" s="49">
        <v>5.5718475073313805</v>
      </c>
      <c r="AX744" s="49">
        <v>0.58651026392961902</v>
      </c>
      <c r="AY744" s="67">
        <v>0.58651026392961902</v>
      </c>
      <c r="AZ744" s="62">
        <v>0.31434599156118143</v>
      </c>
      <c r="BA744" s="62">
        <v>4.852320675105485E-2</v>
      </c>
      <c r="BB744" s="77">
        <v>91.988950276243102</v>
      </c>
      <c r="BC744" s="49">
        <v>53.814432989690701</v>
      </c>
      <c r="BD744" s="87">
        <v>3</v>
      </c>
      <c r="BE744" s="87">
        <v>1.9</v>
      </c>
      <c r="BF744" s="87">
        <v>5.9</v>
      </c>
      <c r="BG744" s="87">
        <v>4.7</v>
      </c>
      <c r="BH744" s="87">
        <v>1.5</v>
      </c>
      <c r="BI744" s="87">
        <v>5.5</v>
      </c>
      <c r="BJ744" s="49">
        <v>16.600000000000001</v>
      </c>
      <c r="BK744" s="126">
        <v>12893</v>
      </c>
      <c r="BL744" s="126">
        <v>48731</v>
      </c>
      <c r="BM744" s="126">
        <v>42669</v>
      </c>
      <c r="BN744" s="126">
        <v>41984</v>
      </c>
      <c r="BO744" s="59">
        <v>0</v>
      </c>
      <c r="BP744" s="59">
        <v>0.47170000000000001</v>
      </c>
      <c r="BQ744" s="59">
        <v>0.13009999999999999</v>
      </c>
      <c r="BR744" s="59">
        <v>0</v>
      </c>
      <c r="BS744" s="59">
        <v>0</v>
      </c>
      <c r="BT744" s="49">
        <v>7.7</v>
      </c>
      <c r="BU744" s="59">
        <f t="shared" si="56"/>
        <v>0.6018</v>
      </c>
      <c r="BV744" s="59">
        <v>3.2300000000000002E-2</v>
      </c>
      <c r="BW744" s="59">
        <v>0</v>
      </c>
      <c r="BX744" s="59">
        <v>3.2300000000000002E-2</v>
      </c>
      <c r="BY744" s="59">
        <v>0</v>
      </c>
      <c r="BZ744" s="59">
        <v>0</v>
      </c>
      <c r="CA744" s="49">
        <v>12</v>
      </c>
      <c r="CB744" s="59">
        <f t="shared" si="57"/>
        <v>6.4600000000000005E-2</v>
      </c>
      <c r="CC744" s="59">
        <v>0.26850000000000002</v>
      </c>
      <c r="CD744" s="59">
        <v>0.50390000000000001</v>
      </c>
      <c r="CE744" s="59">
        <v>0.2276</v>
      </c>
      <c r="CF744" s="59">
        <v>0</v>
      </c>
      <c r="CG744" s="59">
        <v>0</v>
      </c>
      <c r="CH744" s="49">
        <v>8.6</v>
      </c>
      <c r="CI744" s="25" t="s">
        <v>207</v>
      </c>
      <c r="CJ744" s="18" t="s">
        <v>489</v>
      </c>
      <c r="CK744" s="20"/>
    </row>
    <row r="745" spans="1:89" x14ac:dyDescent="0.25">
      <c r="A745" s="18" t="s">
        <v>489</v>
      </c>
      <c r="B745" s="19" t="s">
        <v>205</v>
      </c>
      <c r="C745" s="25" t="s">
        <v>208</v>
      </c>
      <c r="D745" s="6">
        <v>0</v>
      </c>
      <c r="E745" s="6">
        <v>0</v>
      </c>
      <c r="F745" s="6">
        <v>0</v>
      </c>
      <c r="G745" s="163">
        <v>0</v>
      </c>
      <c r="H745" s="163">
        <v>0</v>
      </c>
      <c r="I745" s="163">
        <v>0</v>
      </c>
      <c r="J745" s="163">
        <v>0</v>
      </c>
      <c r="K745" s="163">
        <v>0</v>
      </c>
      <c r="L745" s="163">
        <v>0</v>
      </c>
      <c r="M745" s="163">
        <v>0</v>
      </c>
      <c r="N745" s="115">
        <v>0</v>
      </c>
      <c r="O745" s="115">
        <v>0</v>
      </c>
      <c r="P745" s="115">
        <v>0</v>
      </c>
      <c r="Q745" s="115">
        <v>0</v>
      </c>
      <c r="R745" s="115">
        <v>0</v>
      </c>
      <c r="S745" s="115">
        <v>0</v>
      </c>
      <c r="T745" s="115">
        <v>0</v>
      </c>
      <c r="U745" s="115">
        <v>0</v>
      </c>
      <c r="V745" s="115">
        <v>0</v>
      </c>
      <c r="W745" s="6">
        <v>490</v>
      </c>
      <c r="X745" s="40">
        <f t="shared" si="54"/>
        <v>316</v>
      </c>
      <c r="Y745" s="40">
        <f t="shared" si="55"/>
        <v>490</v>
      </c>
      <c r="Z745" s="59">
        <v>0.47349999999999998</v>
      </c>
      <c r="AA745" s="59">
        <v>0.52649999999999997</v>
      </c>
      <c r="AB745" s="61">
        <v>0</v>
      </c>
      <c r="AC745" s="61">
        <v>2.0408163265306124E-3</v>
      </c>
      <c r="AD745" s="61">
        <v>0.23877551020408164</v>
      </c>
      <c r="AE745" s="61">
        <v>1.4285714285714285E-2</v>
      </c>
      <c r="AF745" s="61">
        <v>0</v>
      </c>
      <c r="AG745" s="61">
        <v>0.72857142857142854</v>
      </c>
      <c r="AH745" s="61">
        <v>1.6326530612244899E-2</v>
      </c>
      <c r="AI745" s="61">
        <v>0.27142857142857141</v>
      </c>
      <c r="AJ745" s="59">
        <v>0.57099999999999995</v>
      </c>
      <c r="AK745" s="59">
        <v>4.1000000000000003E-3</v>
      </c>
      <c r="AL745" s="3">
        <v>93</v>
      </c>
      <c r="AM745" s="3">
        <v>81</v>
      </c>
      <c r="AN745" s="3">
        <v>9</v>
      </c>
      <c r="AO745" s="3">
        <v>82</v>
      </c>
      <c r="AP745" s="3">
        <v>85</v>
      </c>
      <c r="AQ745" s="3">
        <v>83</v>
      </c>
      <c r="AR745" s="3">
        <v>57</v>
      </c>
      <c r="AS745" s="59">
        <v>9.8901098901098897E-2</v>
      </c>
      <c r="AT745" s="3">
        <v>7</v>
      </c>
      <c r="AU745" s="3">
        <v>6</v>
      </c>
      <c r="AV745" s="49">
        <v>70.229007633587798</v>
      </c>
      <c r="AW745" s="49">
        <v>24.8091603053435</v>
      </c>
      <c r="AX745" s="49">
        <v>4.9618320610687006</v>
      </c>
      <c r="AY745" s="67">
        <v>0</v>
      </c>
      <c r="AZ745" s="62">
        <v>0.13793103448275862</v>
      </c>
      <c r="BA745" s="62">
        <v>1.7241379310344827E-2</v>
      </c>
      <c r="BB745" s="78">
        <v>95.503779825183102</v>
      </c>
      <c r="BC745" s="49">
        <v>33.840304182509499</v>
      </c>
      <c r="BD745" s="87">
        <v>11</v>
      </c>
      <c r="BE745" s="87">
        <v>0</v>
      </c>
      <c r="BF745" s="87">
        <v>5.3</v>
      </c>
      <c r="BG745" s="87">
        <v>1.2</v>
      </c>
      <c r="BH745" s="87">
        <v>2.4</v>
      </c>
      <c r="BI745" s="87">
        <v>1.7</v>
      </c>
      <c r="BJ745" s="49">
        <v>20.100000000000001</v>
      </c>
      <c r="BK745" s="126">
        <v>10343</v>
      </c>
      <c r="BL745" s="126">
        <v>51627</v>
      </c>
      <c r="BM745" s="126">
        <v>44857</v>
      </c>
      <c r="BN745" s="126">
        <v>44662</v>
      </c>
      <c r="BO745" s="59">
        <v>0</v>
      </c>
      <c r="BP745" s="59">
        <v>0.4239</v>
      </c>
      <c r="BQ745" s="59">
        <v>0.18110000000000001</v>
      </c>
      <c r="BR745" s="59">
        <v>1.9099999999999999E-2</v>
      </c>
      <c r="BS745" s="59">
        <v>0</v>
      </c>
      <c r="BT745" s="49">
        <v>15.6</v>
      </c>
      <c r="BU745" s="59">
        <f t="shared" si="56"/>
        <v>0.62409999999999999</v>
      </c>
      <c r="BV745" s="59">
        <v>3.8100000000000002E-2</v>
      </c>
      <c r="BW745" s="59">
        <v>0</v>
      </c>
      <c r="BX745" s="59">
        <v>3.8100000000000002E-2</v>
      </c>
      <c r="BY745" s="59">
        <v>0</v>
      </c>
      <c r="BZ745" s="59">
        <v>0</v>
      </c>
      <c r="CA745" s="49">
        <v>14.5</v>
      </c>
      <c r="CB745" s="59">
        <f t="shared" si="57"/>
        <v>7.6200000000000004E-2</v>
      </c>
      <c r="CC745" s="59">
        <v>0.24399999999999999</v>
      </c>
      <c r="CD745" s="59">
        <v>0.44269999999999998</v>
      </c>
      <c r="CE745" s="59">
        <v>0.29420000000000002</v>
      </c>
      <c r="CF745" s="59">
        <v>1.9099999999999999E-2</v>
      </c>
      <c r="CG745" s="59">
        <v>0</v>
      </c>
      <c r="CH745" s="49">
        <v>14.8</v>
      </c>
      <c r="CI745" s="25" t="s">
        <v>208</v>
      </c>
      <c r="CJ745" s="18" t="s">
        <v>489</v>
      </c>
      <c r="CK745" s="20"/>
    </row>
    <row r="746" spans="1:89" x14ac:dyDescent="0.25">
      <c r="A746" s="18" t="s">
        <v>489</v>
      </c>
      <c r="B746" s="19" t="s">
        <v>205</v>
      </c>
      <c r="C746" s="25" t="s">
        <v>209</v>
      </c>
      <c r="D746" s="6">
        <v>30</v>
      </c>
      <c r="E746" s="40" t="s">
        <v>83</v>
      </c>
      <c r="F746" s="6">
        <v>30</v>
      </c>
      <c r="G746" s="162" t="s">
        <v>83</v>
      </c>
      <c r="H746" s="162" t="s">
        <v>83</v>
      </c>
      <c r="I746" s="163">
        <v>0</v>
      </c>
      <c r="J746" s="163">
        <v>15</v>
      </c>
      <c r="K746" s="163">
        <v>6</v>
      </c>
      <c r="L746" s="163">
        <v>0</v>
      </c>
      <c r="M746" s="163">
        <v>9</v>
      </c>
      <c r="N746" s="115">
        <v>2.3790642347343401E-2</v>
      </c>
      <c r="O746" s="115">
        <v>2.3790642347343401E-2</v>
      </c>
      <c r="P746" s="116" t="s">
        <v>83</v>
      </c>
      <c r="Q746" s="116" t="s">
        <v>83</v>
      </c>
      <c r="R746" s="115">
        <v>0</v>
      </c>
      <c r="S746" s="115">
        <v>3.8961038961039002E-2</v>
      </c>
      <c r="T746" s="115">
        <v>1.8633540372670801E-2</v>
      </c>
      <c r="U746" s="115">
        <v>0</v>
      </c>
      <c r="V746" s="115">
        <v>3.8626609442060103E-2</v>
      </c>
      <c r="W746" s="6">
        <v>1140</v>
      </c>
      <c r="X746" s="40">
        <f t="shared" si="54"/>
        <v>1140</v>
      </c>
      <c r="Y746" s="40">
        <f t="shared" si="55"/>
        <v>1140</v>
      </c>
      <c r="Z746" s="59">
        <v>0.49209999999999998</v>
      </c>
      <c r="AA746" s="59">
        <v>0.50790000000000002</v>
      </c>
      <c r="AB746" s="61">
        <v>8.7719298245614037E-4</v>
      </c>
      <c r="AC746" s="61">
        <v>7.8947368421052627E-2</v>
      </c>
      <c r="AD746" s="61">
        <v>0.5491228070175439</v>
      </c>
      <c r="AE746" s="61">
        <v>2.0175438596491228E-2</v>
      </c>
      <c r="AF746" s="61">
        <v>0</v>
      </c>
      <c r="AG746" s="61">
        <v>0.3412280701754386</v>
      </c>
      <c r="AH746" s="61">
        <v>9.6491228070175444E-3</v>
      </c>
      <c r="AI746" s="61">
        <v>0.65877192982456145</v>
      </c>
      <c r="AJ746" s="59">
        <v>0.83499999999999996</v>
      </c>
      <c r="AK746" s="59">
        <v>1.14E-2</v>
      </c>
      <c r="AL746" s="3">
        <v>0</v>
      </c>
      <c r="AM746" s="3">
        <v>0</v>
      </c>
      <c r="AN746" s="3">
        <v>23</v>
      </c>
      <c r="AO746" s="3">
        <v>359</v>
      </c>
      <c r="AP746" s="3">
        <v>292</v>
      </c>
      <c r="AQ746" s="3">
        <v>271</v>
      </c>
      <c r="AR746" s="3">
        <v>195</v>
      </c>
      <c r="AS746" s="59">
        <v>6.0209424083769635E-2</v>
      </c>
      <c r="AT746" s="3">
        <v>9</v>
      </c>
      <c r="AU746" s="3">
        <v>6</v>
      </c>
      <c r="AV746" s="49">
        <v>63.130434782608702</v>
      </c>
      <c r="AW746" s="49">
        <v>19.652173913043498</v>
      </c>
      <c r="AX746" s="49">
        <v>17.043478260869598</v>
      </c>
      <c r="AY746" s="67">
        <v>0.173913043478261</v>
      </c>
      <c r="AZ746" s="62">
        <v>0.24680511182108625</v>
      </c>
      <c r="BA746" s="62">
        <v>2.6357827476038338E-2</v>
      </c>
      <c r="BB746" s="77">
        <v>90.194401568562</v>
      </c>
      <c r="BC746" s="49">
        <v>54.5807453416149</v>
      </c>
      <c r="BD746" s="90" t="s">
        <v>83</v>
      </c>
      <c r="BE746" s="90" t="s">
        <v>83</v>
      </c>
      <c r="BF746" s="87">
        <v>17.399999999999999</v>
      </c>
      <c r="BG746" s="87">
        <v>8.6</v>
      </c>
      <c r="BH746" s="87">
        <v>2.9</v>
      </c>
      <c r="BI746" s="87">
        <v>1.9</v>
      </c>
      <c r="BJ746" s="49">
        <v>18.5</v>
      </c>
      <c r="BK746" s="126">
        <v>10081</v>
      </c>
      <c r="BL746" s="126">
        <v>48985</v>
      </c>
      <c r="BM746" s="126">
        <v>46911</v>
      </c>
      <c r="BN746" s="126">
        <v>43302</v>
      </c>
      <c r="BO746" s="59">
        <v>0</v>
      </c>
      <c r="BP746" s="59">
        <v>0.50490000000000002</v>
      </c>
      <c r="BQ746" s="59">
        <v>0.13020000000000001</v>
      </c>
      <c r="BR746" s="59">
        <v>0</v>
      </c>
      <c r="BS746" s="59">
        <v>8.8000000000000005E-3</v>
      </c>
      <c r="BT746" s="49">
        <v>10.8</v>
      </c>
      <c r="BU746" s="59">
        <f t="shared" si="56"/>
        <v>0.64390000000000003</v>
      </c>
      <c r="BV746" s="59">
        <v>3.5099999999999999E-2</v>
      </c>
      <c r="BW746" s="59">
        <v>0</v>
      </c>
      <c r="BX746" s="59">
        <v>4.3900000000000002E-2</v>
      </c>
      <c r="BY746" s="59">
        <v>0</v>
      </c>
      <c r="BZ746" s="59">
        <v>0</v>
      </c>
      <c r="CA746" s="49">
        <v>15.3</v>
      </c>
      <c r="CB746" s="59">
        <f t="shared" si="57"/>
        <v>7.9000000000000001E-2</v>
      </c>
      <c r="CC746" s="59">
        <v>0.2273</v>
      </c>
      <c r="CD746" s="59">
        <v>0.53210000000000002</v>
      </c>
      <c r="CE746" s="59">
        <v>0.23180000000000001</v>
      </c>
      <c r="CF746" s="59">
        <v>0</v>
      </c>
      <c r="CG746" s="59">
        <v>8.8000000000000005E-3</v>
      </c>
      <c r="CH746" s="49">
        <v>10.8</v>
      </c>
      <c r="CI746" s="25" t="s">
        <v>209</v>
      </c>
      <c r="CJ746" s="18" t="s">
        <v>489</v>
      </c>
      <c r="CK746" s="20"/>
    </row>
    <row r="747" spans="1:89" x14ac:dyDescent="0.25">
      <c r="A747" s="18" t="s">
        <v>489</v>
      </c>
      <c r="B747" s="19" t="s">
        <v>205</v>
      </c>
      <c r="C747" s="25" t="s">
        <v>210</v>
      </c>
      <c r="D747" s="6">
        <v>29</v>
      </c>
      <c r="E747" s="40" t="s">
        <v>83</v>
      </c>
      <c r="F747" s="6">
        <v>29</v>
      </c>
      <c r="G747" s="162" t="s">
        <v>83</v>
      </c>
      <c r="H747" s="162" t="s">
        <v>83</v>
      </c>
      <c r="I747" s="163">
        <v>0</v>
      </c>
      <c r="J747" s="163">
        <v>9</v>
      </c>
      <c r="K747" s="163">
        <v>7</v>
      </c>
      <c r="L747" s="163">
        <v>5</v>
      </c>
      <c r="M747" s="163">
        <v>8</v>
      </c>
      <c r="N747" s="115">
        <v>1.48413510747185E-2</v>
      </c>
      <c r="O747" s="115">
        <v>1.48413510747185E-2</v>
      </c>
      <c r="P747" s="116" t="s">
        <v>83</v>
      </c>
      <c r="Q747" s="116" t="s">
        <v>83</v>
      </c>
      <c r="R747" s="115">
        <v>0</v>
      </c>
      <c r="S747" s="115">
        <v>1.7175572519084002E-2</v>
      </c>
      <c r="T747" s="115">
        <v>1.41129032258065E-2</v>
      </c>
      <c r="U747" s="115">
        <v>1.1574074074074099E-2</v>
      </c>
      <c r="V747" s="115">
        <v>1.6194331983805699E-2</v>
      </c>
      <c r="W747" s="6">
        <v>1792</v>
      </c>
      <c r="X747" s="40">
        <f t="shared" si="54"/>
        <v>1792</v>
      </c>
      <c r="Y747" s="40">
        <f t="shared" si="55"/>
        <v>1792</v>
      </c>
      <c r="Z747" s="59">
        <v>0.47989999999999999</v>
      </c>
      <c r="AA747" s="59">
        <v>0.52010000000000001</v>
      </c>
      <c r="AB747" s="61">
        <v>3.3482142857142855E-3</v>
      </c>
      <c r="AC747" s="61">
        <v>2.3995535714285716E-2</v>
      </c>
      <c r="AD747" s="61">
        <v>0.3744419642857143</v>
      </c>
      <c r="AE747" s="61">
        <v>5.3013392857142856E-2</v>
      </c>
      <c r="AF747" s="61">
        <v>0</v>
      </c>
      <c r="AG747" s="61">
        <v>0.5368303571428571</v>
      </c>
      <c r="AH747" s="61">
        <v>8.370535714285714E-3</v>
      </c>
      <c r="AI747" s="61">
        <v>0.46316964285714285</v>
      </c>
      <c r="AJ747" s="59">
        <v>0.72399999999999998</v>
      </c>
      <c r="AK747" s="59">
        <v>1.7299999999999999E-2</v>
      </c>
      <c r="AL747" s="3">
        <v>0</v>
      </c>
      <c r="AM747" s="3">
        <v>0</v>
      </c>
      <c r="AN747" s="3">
        <v>3</v>
      </c>
      <c r="AO747" s="3">
        <v>481</v>
      </c>
      <c r="AP747" s="3">
        <v>457</v>
      </c>
      <c r="AQ747" s="3">
        <v>432</v>
      </c>
      <c r="AR747" s="3">
        <v>419</v>
      </c>
      <c r="AS747" s="59">
        <v>6.1983471074380167E-3</v>
      </c>
      <c r="AT747" s="3">
        <v>9</v>
      </c>
      <c r="AU747" s="3">
        <v>6</v>
      </c>
      <c r="AV747" s="49">
        <v>59.929494712103406</v>
      </c>
      <c r="AW747" s="49">
        <v>22.326674500587501</v>
      </c>
      <c r="AX747" s="49">
        <v>17.273795534665101</v>
      </c>
      <c r="AY747" s="67">
        <v>0.47003525264394802</v>
      </c>
      <c r="AZ747" s="62">
        <v>0.24020618556701032</v>
      </c>
      <c r="BA747" s="62">
        <v>2.1649484536082474E-2</v>
      </c>
      <c r="BB747" s="78">
        <v>91.331088079483294</v>
      </c>
      <c r="BC747" s="49">
        <v>53.1677648251394</v>
      </c>
      <c r="BD747" s="90" t="s">
        <v>83</v>
      </c>
      <c r="BE747" s="90" t="s">
        <v>83</v>
      </c>
      <c r="BF747" s="87">
        <v>13.9</v>
      </c>
      <c r="BG747" s="87">
        <v>6.4</v>
      </c>
      <c r="BH747" s="87">
        <v>2.4</v>
      </c>
      <c r="BI747" s="87">
        <v>3.1</v>
      </c>
      <c r="BJ747" s="49">
        <v>19.2</v>
      </c>
      <c r="BK747" s="126">
        <v>8938</v>
      </c>
      <c r="BL747" s="126">
        <v>49100</v>
      </c>
      <c r="BM747" s="126">
        <v>43052</v>
      </c>
      <c r="BN747" s="126">
        <v>42755</v>
      </c>
      <c r="BO747" s="59">
        <v>6.3E-3</v>
      </c>
      <c r="BP747" s="59">
        <v>0.4909</v>
      </c>
      <c r="BQ747" s="59">
        <v>0.1447</v>
      </c>
      <c r="BR747" s="59">
        <v>0</v>
      </c>
      <c r="BS747" s="59">
        <v>0</v>
      </c>
      <c r="BT747" s="49">
        <v>11.1</v>
      </c>
      <c r="BU747" s="59">
        <f t="shared" si="56"/>
        <v>0.64189999999999992</v>
      </c>
      <c r="BV747" s="59">
        <v>3.7600000000000001E-2</v>
      </c>
      <c r="BW747" s="59">
        <v>0</v>
      </c>
      <c r="BX747" s="59">
        <v>2.5100000000000001E-2</v>
      </c>
      <c r="BY747" s="59">
        <v>6.3E-3</v>
      </c>
      <c r="BZ747" s="59">
        <v>0</v>
      </c>
      <c r="CA747" s="49">
        <v>15.5</v>
      </c>
      <c r="CB747" s="59">
        <f t="shared" si="57"/>
        <v>6.9000000000000006E-2</v>
      </c>
      <c r="CC747" s="59">
        <v>0.26729999999999998</v>
      </c>
      <c r="CD747" s="59">
        <v>0.51359999999999995</v>
      </c>
      <c r="CE747" s="59">
        <v>0.21279999999999999</v>
      </c>
      <c r="CF747" s="59">
        <v>6.3E-3</v>
      </c>
      <c r="CG747" s="59">
        <v>0</v>
      </c>
      <c r="CH747" s="49">
        <v>11.9</v>
      </c>
      <c r="CI747" s="25" t="s">
        <v>210</v>
      </c>
      <c r="CJ747" s="18" t="s">
        <v>489</v>
      </c>
      <c r="CK747" s="20"/>
    </row>
    <row r="748" spans="1:89" x14ac:dyDescent="0.25">
      <c r="A748" s="18" t="s">
        <v>489</v>
      </c>
      <c r="B748" s="19" t="s">
        <v>211</v>
      </c>
      <c r="C748" s="25" t="s">
        <v>212</v>
      </c>
      <c r="D748" s="6">
        <v>20</v>
      </c>
      <c r="E748" s="6">
        <v>10</v>
      </c>
      <c r="F748" s="6">
        <v>10</v>
      </c>
      <c r="G748" s="163">
        <v>2</v>
      </c>
      <c r="H748" s="163">
        <v>8</v>
      </c>
      <c r="I748" s="163">
        <v>1</v>
      </c>
      <c r="J748" s="163">
        <v>3</v>
      </c>
      <c r="K748" s="163">
        <v>2</v>
      </c>
      <c r="L748" s="163">
        <v>2</v>
      </c>
      <c r="M748" s="163">
        <v>2</v>
      </c>
      <c r="N748" s="115">
        <v>1.3114754098360701E-2</v>
      </c>
      <c r="O748" s="115">
        <v>1.02459016393443E-2</v>
      </c>
      <c r="P748" s="115">
        <v>7.6045627376425898E-3</v>
      </c>
      <c r="Q748" s="115">
        <v>2.7972027972028E-2</v>
      </c>
      <c r="R748" s="115">
        <v>3.125E-2</v>
      </c>
      <c r="S748" s="115">
        <v>1.06761565836299E-2</v>
      </c>
      <c r="T748" s="115">
        <v>8.4033613445378096E-3</v>
      </c>
      <c r="U748" s="115">
        <v>9.2592592592592605E-3</v>
      </c>
      <c r="V748" s="115">
        <v>9.5693779904306199E-3</v>
      </c>
      <c r="W748" s="6">
        <v>1431</v>
      </c>
      <c r="X748" s="40">
        <f t="shared" si="54"/>
        <v>922</v>
      </c>
      <c r="Y748" s="40">
        <f t="shared" si="55"/>
        <v>1431</v>
      </c>
      <c r="Z748" s="59">
        <v>0.49130000000000001</v>
      </c>
      <c r="AA748" s="59">
        <v>0.50870000000000004</v>
      </c>
      <c r="AB748" s="61">
        <v>2.0964360587002098E-3</v>
      </c>
      <c r="AC748" s="61">
        <v>4.1928721174004195E-3</v>
      </c>
      <c r="AD748" s="61">
        <v>0.60237596086652689</v>
      </c>
      <c r="AE748" s="61">
        <v>1.8169112508735149E-2</v>
      </c>
      <c r="AF748" s="61">
        <v>0</v>
      </c>
      <c r="AG748" s="61">
        <v>0.37176799440950387</v>
      </c>
      <c r="AH748" s="61">
        <v>1.397624039133473E-3</v>
      </c>
      <c r="AI748" s="61">
        <v>0.62823200559049619</v>
      </c>
      <c r="AJ748" s="59">
        <v>0.76</v>
      </c>
      <c r="AK748" s="59">
        <v>6.3E-3</v>
      </c>
      <c r="AL748" s="3">
        <v>246</v>
      </c>
      <c r="AM748" s="3">
        <v>263</v>
      </c>
      <c r="AN748" s="3">
        <v>31</v>
      </c>
      <c r="AO748" s="3">
        <v>261</v>
      </c>
      <c r="AP748" s="3">
        <v>224</v>
      </c>
      <c r="AQ748" s="3">
        <v>235</v>
      </c>
      <c r="AR748" s="3">
        <v>171</v>
      </c>
      <c r="AS748" s="59">
        <v>0.10616438356164383</v>
      </c>
      <c r="AT748" s="3">
        <v>7</v>
      </c>
      <c r="AU748" s="3">
        <v>6</v>
      </c>
      <c r="AV748" s="49">
        <v>79.946879150066394</v>
      </c>
      <c r="AW748" s="49">
        <v>16.998671978751702</v>
      </c>
      <c r="AX748" s="49">
        <v>2.9216467463479399</v>
      </c>
      <c r="AY748" s="67">
        <v>0.132802124833997</v>
      </c>
      <c r="AZ748" s="62">
        <v>0.24752475247524752</v>
      </c>
      <c r="BA748" s="62">
        <v>0.24422442244224424</v>
      </c>
      <c r="BB748" s="77">
        <v>92.763107570041896</v>
      </c>
      <c r="BC748" s="49">
        <v>26.423544465770998</v>
      </c>
      <c r="BD748" s="87">
        <v>1.6</v>
      </c>
      <c r="BE748" s="87">
        <v>10.3</v>
      </c>
      <c r="BF748" s="87">
        <v>5.6</v>
      </c>
      <c r="BG748" s="87">
        <v>4.5</v>
      </c>
      <c r="BH748" s="87">
        <v>1.5</v>
      </c>
      <c r="BI748" s="87">
        <v>1</v>
      </c>
      <c r="BJ748" s="49">
        <v>18.2</v>
      </c>
      <c r="BK748" s="126">
        <v>14331</v>
      </c>
      <c r="BL748" s="126">
        <v>55126</v>
      </c>
      <c r="BM748" s="126">
        <v>47494</v>
      </c>
      <c r="BN748" s="126">
        <v>47387</v>
      </c>
      <c r="BO748" s="59">
        <v>4.8300000000000003E-2</v>
      </c>
      <c r="BP748" s="59">
        <v>0.37190000000000001</v>
      </c>
      <c r="BQ748" s="59">
        <v>0.2011</v>
      </c>
      <c r="BR748" s="59">
        <v>1.9800000000000002E-2</v>
      </c>
      <c r="BS748" s="59">
        <v>1.21E-2</v>
      </c>
      <c r="BT748" s="49">
        <v>11.3</v>
      </c>
      <c r="BU748" s="59">
        <f t="shared" si="56"/>
        <v>0.6532</v>
      </c>
      <c r="BV748" s="59">
        <v>3.8600000000000002E-2</v>
      </c>
      <c r="BW748" s="59">
        <v>1.8100000000000002E-2</v>
      </c>
      <c r="BX748" s="59">
        <v>2.1399999999999999E-2</v>
      </c>
      <c r="BY748" s="59">
        <v>0</v>
      </c>
      <c r="BZ748" s="59">
        <v>6.0000000000000001E-3</v>
      </c>
      <c r="CA748" s="49">
        <v>13.5</v>
      </c>
      <c r="CB748" s="59">
        <f t="shared" si="57"/>
        <v>8.4100000000000008E-2</v>
      </c>
      <c r="CC748" s="59">
        <v>0.28460000000000002</v>
      </c>
      <c r="CD748" s="59">
        <v>0.43090000000000001</v>
      </c>
      <c r="CE748" s="59">
        <v>0.24049999999999999</v>
      </c>
      <c r="CF748" s="59">
        <v>1.9800000000000002E-2</v>
      </c>
      <c r="CG748" s="59">
        <v>2.4199999999999999E-2</v>
      </c>
      <c r="CH748" s="49">
        <v>11.2</v>
      </c>
      <c r="CI748" s="25" t="s">
        <v>212</v>
      </c>
      <c r="CJ748" s="18" t="s">
        <v>489</v>
      </c>
      <c r="CK748" s="20"/>
    </row>
    <row r="749" spans="1:89" x14ac:dyDescent="0.25">
      <c r="A749" s="18" t="s">
        <v>489</v>
      </c>
      <c r="B749" s="19" t="s">
        <v>211</v>
      </c>
      <c r="C749" s="25" t="s">
        <v>213</v>
      </c>
      <c r="D749" s="6">
        <v>9</v>
      </c>
      <c r="E749" s="6">
        <v>4</v>
      </c>
      <c r="F749" s="6">
        <v>5</v>
      </c>
      <c r="G749" s="163">
        <v>0</v>
      </c>
      <c r="H749" s="163">
        <v>4</v>
      </c>
      <c r="I749" s="163">
        <v>0</v>
      </c>
      <c r="J749" s="163">
        <v>1</v>
      </c>
      <c r="K749" s="163">
        <v>1</v>
      </c>
      <c r="L749" s="163">
        <v>1</v>
      </c>
      <c r="M749" s="163">
        <v>2</v>
      </c>
      <c r="N749" s="115">
        <v>2.7355623100304E-2</v>
      </c>
      <c r="O749" s="115">
        <v>2.2522522522522501E-2</v>
      </c>
      <c r="P749" s="115">
        <v>0</v>
      </c>
      <c r="Q749" s="115">
        <v>7.2727272727272696E-2</v>
      </c>
      <c r="R749" s="115">
        <v>0</v>
      </c>
      <c r="S749" s="115">
        <v>1.6666666666666701E-2</v>
      </c>
      <c r="T749" s="115">
        <v>1.72413793103448E-2</v>
      </c>
      <c r="U749" s="115">
        <v>0.02</v>
      </c>
      <c r="V749" s="115">
        <v>4.08163265306122E-2</v>
      </c>
      <c r="W749" s="6">
        <v>308</v>
      </c>
      <c r="X749" s="40">
        <f t="shared" si="54"/>
        <v>213</v>
      </c>
      <c r="Y749" s="40">
        <f t="shared" si="55"/>
        <v>308</v>
      </c>
      <c r="Z749" s="59">
        <v>0.51300000000000001</v>
      </c>
      <c r="AA749" s="59">
        <v>0.48699999999999999</v>
      </c>
      <c r="AB749" s="61">
        <v>0</v>
      </c>
      <c r="AC749" s="61">
        <v>0</v>
      </c>
      <c r="AD749" s="61">
        <v>0.82792207792207795</v>
      </c>
      <c r="AE749" s="61">
        <v>2.5974025974025976E-2</v>
      </c>
      <c r="AF749" s="61">
        <v>0</v>
      </c>
      <c r="AG749" s="61">
        <v>0.14285714285714285</v>
      </c>
      <c r="AH749" s="61">
        <v>3.246753246753247E-3</v>
      </c>
      <c r="AI749" s="61">
        <v>0.8571428571428571</v>
      </c>
      <c r="AJ749" s="59">
        <v>0.81499999999999995</v>
      </c>
      <c r="AK749" s="59">
        <v>1.6199999999999999E-2</v>
      </c>
      <c r="AL749" s="3">
        <v>49</v>
      </c>
      <c r="AM749" s="3">
        <v>46</v>
      </c>
      <c r="AN749" s="3">
        <v>4</v>
      </c>
      <c r="AO749" s="3">
        <v>55</v>
      </c>
      <c r="AP749" s="3">
        <v>57</v>
      </c>
      <c r="AQ749" s="3">
        <v>51</v>
      </c>
      <c r="AR749" s="3">
        <v>46</v>
      </c>
      <c r="AS749" s="59">
        <v>6.7796610169491525E-2</v>
      </c>
      <c r="AT749" s="3">
        <v>7</v>
      </c>
      <c r="AU749" s="3">
        <v>6</v>
      </c>
      <c r="AV749" s="49">
        <v>98.714652956298195</v>
      </c>
      <c r="AW749" s="49">
        <v>1.02827763496144</v>
      </c>
      <c r="AX749" s="49">
        <v>0.25706940874035999</v>
      </c>
      <c r="AY749" s="67">
        <v>0</v>
      </c>
      <c r="AZ749" s="62">
        <v>0.26543209876543211</v>
      </c>
      <c r="BA749" s="62">
        <v>0.16666666666666666</v>
      </c>
      <c r="BB749" s="78">
        <v>93.561607615018502</v>
      </c>
      <c r="BC749" s="49">
        <v>34.7432024169184</v>
      </c>
      <c r="BD749" s="87">
        <v>0</v>
      </c>
      <c r="BE749" s="87">
        <v>8.8000000000000007</v>
      </c>
      <c r="BF749" s="87">
        <v>1.9</v>
      </c>
      <c r="BG749" s="87">
        <v>0</v>
      </c>
      <c r="BH749" s="87">
        <v>0</v>
      </c>
      <c r="BI749" s="87">
        <v>0</v>
      </c>
      <c r="BJ749" s="49">
        <v>17.600000000000001</v>
      </c>
      <c r="BK749" s="126">
        <v>17062</v>
      </c>
      <c r="BL749" s="126">
        <v>57077</v>
      </c>
      <c r="BM749" s="126">
        <v>56425</v>
      </c>
      <c r="BN749" s="126">
        <v>48117</v>
      </c>
      <c r="BO749" s="59">
        <v>0</v>
      </c>
      <c r="BP749" s="59">
        <v>0.3972</v>
      </c>
      <c r="BQ749" s="59">
        <v>0.15629999999999999</v>
      </c>
      <c r="BR749" s="59">
        <v>0</v>
      </c>
      <c r="BS749" s="59">
        <v>4.4299999999999999E-2</v>
      </c>
      <c r="BT749" s="49">
        <v>7.3</v>
      </c>
      <c r="BU749" s="59">
        <f t="shared" si="56"/>
        <v>0.5978</v>
      </c>
      <c r="BV749" s="59">
        <v>4.4299999999999999E-2</v>
      </c>
      <c r="BW749" s="59">
        <v>0</v>
      </c>
      <c r="BX749" s="59">
        <v>2.2100000000000002E-2</v>
      </c>
      <c r="BY749" s="59">
        <v>0</v>
      </c>
      <c r="BZ749" s="59">
        <v>2.2100000000000002E-2</v>
      </c>
      <c r="CA749" s="49">
        <v>17.5</v>
      </c>
      <c r="CB749" s="59">
        <f t="shared" si="57"/>
        <v>8.8499999999999995E-2</v>
      </c>
      <c r="CC749" s="59">
        <v>0.29549999999999998</v>
      </c>
      <c r="CD749" s="59">
        <v>0.41389999999999999</v>
      </c>
      <c r="CE749" s="59">
        <v>0.22420000000000001</v>
      </c>
      <c r="CF749" s="59">
        <v>0</v>
      </c>
      <c r="CG749" s="59">
        <v>6.6400000000000001E-2</v>
      </c>
      <c r="CH749" s="49">
        <v>9.3000000000000007</v>
      </c>
      <c r="CI749" s="25" t="s">
        <v>213</v>
      </c>
      <c r="CJ749" s="18" t="s">
        <v>489</v>
      </c>
      <c r="CK749" s="20"/>
    </row>
    <row r="750" spans="1:89" x14ac:dyDescent="0.25">
      <c r="A750" s="18" t="s">
        <v>489</v>
      </c>
      <c r="B750" s="19" t="s">
        <v>211</v>
      </c>
      <c r="C750" s="25" t="s">
        <v>214</v>
      </c>
      <c r="D750" s="6">
        <v>12</v>
      </c>
      <c r="E750" s="6">
        <v>6</v>
      </c>
      <c r="F750" s="6">
        <v>6</v>
      </c>
      <c r="G750" s="163">
        <v>0</v>
      </c>
      <c r="H750" s="163">
        <v>6</v>
      </c>
      <c r="I750" s="163">
        <v>0</v>
      </c>
      <c r="J750" s="163">
        <v>0</v>
      </c>
      <c r="K750" s="163">
        <v>3</v>
      </c>
      <c r="L750" s="163">
        <v>1</v>
      </c>
      <c r="M750" s="163">
        <v>2</v>
      </c>
      <c r="N750" s="115">
        <v>3.5608308605341199E-2</v>
      </c>
      <c r="O750" s="115">
        <v>2.8169014084507001E-2</v>
      </c>
      <c r="P750" s="115">
        <v>0</v>
      </c>
      <c r="Q750" s="115">
        <v>8.3333333333333301E-2</v>
      </c>
      <c r="R750" s="115">
        <v>0</v>
      </c>
      <c r="S750" s="115">
        <v>0</v>
      </c>
      <c r="T750" s="115">
        <v>5.2631578947368397E-2</v>
      </c>
      <c r="U750" s="115">
        <v>2.2222222222222199E-2</v>
      </c>
      <c r="V750" s="115">
        <v>4.2553191489361701E-2</v>
      </c>
      <c r="W750" s="6">
        <v>759</v>
      </c>
      <c r="X750" s="40">
        <f t="shared" si="54"/>
        <v>193</v>
      </c>
      <c r="Y750" s="40">
        <f t="shared" si="55"/>
        <v>300</v>
      </c>
      <c r="Z750" s="59">
        <v>0.51519999999999999</v>
      </c>
      <c r="AA750" s="59">
        <v>0.48480000000000001</v>
      </c>
      <c r="AB750" s="61">
        <v>0</v>
      </c>
      <c r="AC750" s="61">
        <v>2.3715415019762844E-2</v>
      </c>
      <c r="AD750" s="61">
        <v>0.74176548089591565</v>
      </c>
      <c r="AE750" s="61">
        <v>3.4255599472990776E-2</v>
      </c>
      <c r="AF750" s="61">
        <v>0</v>
      </c>
      <c r="AG750" s="61">
        <v>0.1857707509881423</v>
      </c>
      <c r="AH750" s="61">
        <v>1.4492753623188406E-2</v>
      </c>
      <c r="AI750" s="61">
        <v>0.81422924901185767</v>
      </c>
      <c r="AJ750" s="59">
        <v>0.8</v>
      </c>
      <c r="AK750" s="59">
        <v>1.4500000000000001E-2</v>
      </c>
      <c r="AL750" s="3">
        <v>44</v>
      </c>
      <c r="AM750" s="3">
        <v>63</v>
      </c>
      <c r="AN750" s="3">
        <v>4</v>
      </c>
      <c r="AO750" s="3">
        <v>55</v>
      </c>
      <c r="AP750" s="3">
        <v>48</v>
      </c>
      <c r="AQ750" s="3">
        <v>46</v>
      </c>
      <c r="AR750" s="3">
        <v>40</v>
      </c>
      <c r="AS750" s="59">
        <v>6.7796610169491525E-2</v>
      </c>
      <c r="AT750" s="3">
        <v>1</v>
      </c>
      <c r="AU750" s="3">
        <v>6</v>
      </c>
      <c r="AV750" s="49">
        <v>87.820512820512803</v>
      </c>
      <c r="AW750" s="49">
        <v>5.9829059829059794</v>
      </c>
      <c r="AX750" s="49">
        <v>4.0598290598290596</v>
      </c>
      <c r="AY750" s="67">
        <v>2.1367521367521398</v>
      </c>
      <c r="AZ750" s="62">
        <v>0.14184397163120568</v>
      </c>
      <c r="BA750" s="62">
        <v>0.17257683215130024</v>
      </c>
      <c r="BB750" s="77">
        <v>94.267417875065405</v>
      </c>
      <c r="BC750" s="49">
        <v>27.272727272727298</v>
      </c>
      <c r="BD750" s="87">
        <v>4.3</v>
      </c>
      <c r="BE750" s="87">
        <v>5.0999999999999996</v>
      </c>
      <c r="BF750" s="87">
        <v>7</v>
      </c>
      <c r="BG750" s="87">
        <v>4.5</v>
      </c>
      <c r="BH750" s="87">
        <v>0</v>
      </c>
      <c r="BI750" s="87">
        <v>0</v>
      </c>
      <c r="BJ750" s="49">
        <v>18.8</v>
      </c>
      <c r="BK750" s="126">
        <v>16264</v>
      </c>
      <c r="BL750" s="126">
        <v>54371</v>
      </c>
      <c r="BM750" s="126">
        <v>54447</v>
      </c>
      <c r="BN750" s="126">
        <v>46232</v>
      </c>
      <c r="BO750" s="59">
        <v>9.1000000000000004E-3</v>
      </c>
      <c r="BP750" s="59">
        <v>0.37019999999999997</v>
      </c>
      <c r="BQ750" s="59">
        <v>0.26279999999999998</v>
      </c>
      <c r="BR750" s="59">
        <v>0</v>
      </c>
      <c r="BS750" s="59">
        <v>9.1000000000000004E-3</v>
      </c>
      <c r="BT750" s="49">
        <v>11.9</v>
      </c>
      <c r="BU750" s="59">
        <f t="shared" si="56"/>
        <v>0.65119999999999989</v>
      </c>
      <c r="BV750" s="59">
        <v>2.5999999999999999E-2</v>
      </c>
      <c r="BW750" s="59">
        <v>0</v>
      </c>
      <c r="BX750" s="59">
        <v>2.7300000000000001E-2</v>
      </c>
      <c r="BY750" s="59">
        <v>0</v>
      </c>
      <c r="BZ750" s="59">
        <v>0</v>
      </c>
      <c r="CA750" s="49">
        <v>11.2</v>
      </c>
      <c r="CB750" s="59">
        <f t="shared" si="57"/>
        <v>5.33E-2</v>
      </c>
      <c r="CC750" s="59">
        <v>0.26029999999999998</v>
      </c>
      <c r="CD750" s="59">
        <v>0.40660000000000002</v>
      </c>
      <c r="CE750" s="59">
        <v>0.32400000000000001</v>
      </c>
      <c r="CF750" s="59">
        <v>0</v>
      </c>
      <c r="CG750" s="59">
        <v>9.1000000000000004E-3</v>
      </c>
      <c r="CH750" s="49">
        <v>10.3</v>
      </c>
      <c r="CI750" s="25" t="s">
        <v>214</v>
      </c>
      <c r="CJ750" s="18" t="s">
        <v>489</v>
      </c>
      <c r="CK750" s="20"/>
    </row>
    <row r="751" spans="1:89" x14ac:dyDescent="0.25">
      <c r="A751" s="18" t="s">
        <v>489</v>
      </c>
      <c r="B751" s="19" t="s">
        <v>215</v>
      </c>
      <c r="C751" s="25" t="s">
        <v>216</v>
      </c>
      <c r="D751" s="6">
        <v>12</v>
      </c>
      <c r="E751" s="40" t="s">
        <v>83</v>
      </c>
      <c r="F751" s="6">
        <v>12</v>
      </c>
      <c r="G751" s="162" t="s">
        <v>83</v>
      </c>
      <c r="H751" s="162" t="s">
        <v>83</v>
      </c>
      <c r="I751" s="162" t="s">
        <v>83</v>
      </c>
      <c r="J751" s="163">
        <v>1</v>
      </c>
      <c r="K751" s="163">
        <v>7</v>
      </c>
      <c r="L751" s="163">
        <v>3</v>
      </c>
      <c r="M751" s="163">
        <v>1</v>
      </c>
      <c r="N751" s="115">
        <v>4.3321299638989202E-2</v>
      </c>
      <c r="O751" s="115">
        <v>4.3321299638989202E-2</v>
      </c>
      <c r="P751" s="116" t="s">
        <v>83</v>
      </c>
      <c r="Q751" s="116" t="s">
        <v>83</v>
      </c>
      <c r="R751" s="116" t="s">
        <v>83</v>
      </c>
      <c r="S751" s="115">
        <v>1.2500000000000001E-2</v>
      </c>
      <c r="T751" s="115">
        <v>8.9743589743589702E-2</v>
      </c>
      <c r="U751" s="115">
        <v>4.7619047619047603E-2</v>
      </c>
      <c r="V751" s="115">
        <v>1.7857142857142901E-2</v>
      </c>
      <c r="W751" s="6">
        <v>256</v>
      </c>
      <c r="X751" s="40">
        <f t="shared" si="54"/>
        <v>256</v>
      </c>
      <c r="Y751" s="40">
        <f t="shared" si="55"/>
        <v>256</v>
      </c>
      <c r="Z751" s="59">
        <v>0.42580000000000001</v>
      </c>
      <c r="AA751" s="59">
        <v>0.57420000000000004</v>
      </c>
      <c r="AB751" s="61">
        <v>0</v>
      </c>
      <c r="AC751" s="61">
        <v>7.8125E-3</v>
      </c>
      <c r="AD751" s="61">
        <v>0.62109375</v>
      </c>
      <c r="AE751" s="61">
        <v>1.171875E-2</v>
      </c>
      <c r="AF751" s="61">
        <v>0</v>
      </c>
      <c r="AG751" s="61">
        <v>0.35546875</v>
      </c>
      <c r="AH751" s="61">
        <v>3.90625E-3</v>
      </c>
      <c r="AI751" s="61">
        <v>0.64453125</v>
      </c>
      <c r="AJ751" s="59">
        <v>0.78900000000000003</v>
      </c>
      <c r="AK751" s="59">
        <v>0</v>
      </c>
      <c r="AL751" s="3">
        <v>0</v>
      </c>
      <c r="AM751" s="3">
        <v>0</v>
      </c>
      <c r="AN751" s="3">
        <v>0</v>
      </c>
      <c r="AO751" s="3">
        <v>75</v>
      </c>
      <c r="AP751" s="3">
        <v>71</v>
      </c>
      <c r="AQ751" s="3">
        <v>60</v>
      </c>
      <c r="AR751" s="3">
        <v>50</v>
      </c>
      <c r="AS751" s="59">
        <v>0</v>
      </c>
      <c r="AT751" s="3">
        <v>9</v>
      </c>
      <c r="AU751" s="3">
        <v>6</v>
      </c>
      <c r="AV751" s="49">
        <v>81.3333333333333</v>
      </c>
      <c r="AW751" s="49">
        <v>12.666666666666702</v>
      </c>
      <c r="AX751" s="49">
        <v>6</v>
      </c>
      <c r="AY751" s="67">
        <v>0</v>
      </c>
      <c r="AZ751" s="62">
        <v>0.4432234432234432</v>
      </c>
      <c r="BA751" s="62">
        <v>3.663003663003663E-3</v>
      </c>
      <c r="BB751" s="78">
        <v>92.158913974309101</v>
      </c>
      <c r="BC751" s="49">
        <v>35.531135531135497</v>
      </c>
      <c r="BD751" s="90" t="s">
        <v>83</v>
      </c>
      <c r="BE751" s="90" t="s">
        <v>83</v>
      </c>
      <c r="BF751" s="87">
        <v>5.6</v>
      </c>
      <c r="BG751" s="87">
        <v>1.6</v>
      </c>
      <c r="BH751" s="87">
        <v>0</v>
      </c>
      <c r="BI751" s="87">
        <v>0</v>
      </c>
      <c r="BJ751" s="49">
        <v>18.3</v>
      </c>
      <c r="BK751" s="126">
        <v>15119</v>
      </c>
      <c r="BL751" s="126">
        <v>51797</v>
      </c>
      <c r="BM751" s="126">
        <v>44712</v>
      </c>
      <c r="BN751" s="126">
        <v>37085</v>
      </c>
      <c r="BO751" s="59">
        <v>0</v>
      </c>
      <c r="BP751" s="59">
        <v>0.2384</v>
      </c>
      <c r="BQ751" s="59">
        <v>0.19689999999999999</v>
      </c>
      <c r="BR751" s="59">
        <v>0</v>
      </c>
      <c r="BS751" s="59">
        <v>0</v>
      </c>
      <c r="BT751" s="49">
        <v>17.2</v>
      </c>
      <c r="BU751" s="59">
        <f t="shared" si="56"/>
        <v>0.43530000000000002</v>
      </c>
      <c r="BV751" s="59">
        <v>3.9699999999999999E-2</v>
      </c>
      <c r="BW751" s="59">
        <v>0</v>
      </c>
      <c r="BX751" s="59">
        <v>3.9199999999999999E-2</v>
      </c>
      <c r="BY751" s="59">
        <v>0</v>
      </c>
      <c r="BZ751" s="59">
        <v>0</v>
      </c>
      <c r="CA751" s="49">
        <v>23</v>
      </c>
      <c r="CB751" s="59">
        <f t="shared" si="57"/>
        <v>7.8899999999999998E-2</v>
      </c>
      <c r="CC751" s="59">
        <v>0.4834</v>
      </c>
      <c r="CD751" s="59">
        <v>0.25829999999999997</v>
      </c>
      <c r="CE751" s="59">
        <v>0.25829999999999997</v>
      </c>
      <c r="CF751" s="59">
        <v>0</v>
      </c>
      <c r="CG751" s="59">
        <v>0</v>
      </c>
      <c r="CH751" s="49">
        <v>15.7</v>
      </c>
      <c r="CI751" s="25" t="s">
        <v>216</v>
      </c>
      <c r="CJ751" s="18" t="s">
        <v>489</v>
      </c>
      <c r="CK751" s="20"/>
    </row>
    <row r="752" spans="1:89" x14ac:dyDescent="0.25">
      <c r="A752" s="18" t="s">
        <v>489</v>
      </c>
      <c r="B752" s="19" t="s">
        <v>215</v>
      </c>
      <c r="C752" s="25" t="s">
        <v>217</v>
      </c>
      <c r="D752" s="6">
        <v>3</v>
      </c>
      <c r="E752" s="6">
        <v>0</v>
      </c>
      <c r="F752" s="6">
        <v>3</v>
      </c>
      <c r="G752" s="163">
        <v>0</v>
      </c>
      <c r="H752" s="163">
        <v>0</v>
      </c>
      <c r="I752" s="162" t="s">
        <v>83</v>
      </c>
      <c r="J752" s="163">
        <v>0</v>
      </c>
      <c r="K752" s="163">
        <v>3</v>
      </c>
      <c r="L752" s="163">
        <v>0</v>
      </c>
      <c r="M752" s="163">
        <v>0</v>
      </c>
      <c r="N752" s="115">
        <v>0.01</v>
      </c>
      <c r="O752" s="115">
        <v>1.60427807486631E-2</v>
      </c>
      <c r="P752" s="115">
        <v>0</v>
      </c>
      <c r="Q752" s="115">
        <v>0</v>
      </c>
      <c r="R752" s="116" t="s">
        <v>83</v>
      </c>
      <c r="S752" s="115">
        <v>0</v>
      </c>
      <c r="T752" s="115">
        <v>5.6603773584905703E-2</v>
      </c>
      <c r="U752" s="115">
        <v>0</v>
      </c>
      <c r="V752" s="115">
        <v>0</v>
      </c>
      <c r="W752" s="6">
        <v>707</v>
      </c>
      <c r="X752" s="40">
        <f t="shared" si="54"/>
        <v>175</v>
      </c>
      <c r="Y752" s="40">
        <f t="shared" si="55"/>
        <v>281</v>
      </c>
      <c r="Z752" s="59">
        <v>0.45400000000000001</v>
      </c>
      <c r="AA752" s="59">
        <v>0.54600000000000004</v>
      </c>
      <c r="AB752" s="61">
        <v>0</v>
      </c>
      <c r="AC752" s="61">
        <v>4.2432814710042432E-3</v>
      </c>
      <c r="AD752" s="61">
        <v>0.1768033946251768</v>
      </c>
      <c r="AE752" s="61">
        <v>2.6874115983026876E-2</v>
      </c>
      <c r="AF752" s="61">
        <v>0</v>
      </c>
      <c r="AG752" s="61">
        <v>0.77369165487977365</v>
      </c>
      <c r="AH752" s="61">
        <v>1.8387553041018388E-2</v>
      </c>
      <c r="AI752" s="61">
        <v>0.2263083451202263</v>
      </c>
      <c r="AJ752" s="59">
        <v>0.51600000000000001</v>
      </c>
      <c r="AK752" s="59">
        <v>0</v>
      </c>
      <c r="AL752" s="3">
        <v>46</v>
      </c>
      <c r="AM752" s="3">
        <v>60</v>
      </c>
      <c r="AN752" s="3">
        <v>0</v>
      </c>
      <c r="AO752" s="3">
        <v>63</v>
      </c>
      <c r="AP752" s="3">
        <v>49</v>
      </c>
      <c r="AQ752" s="3">
        <v>32</v>
      </c>
      <c r="AR752" s="3">
        <v>31</v>
      </c>
      <c r="AS752" s="59">
        <v>0</v>
      </c>
      <c r="AT752" s="3">
        <v>1</v>
      </c>
      <c r="AU752" s="3">
        <v>6</v>
      </c>
      <c r="AV752" s="49">
        <v>64.338235294117695</v>
      </c>
      <c r="AW752" s="49">
        <v>18.382352941176499</v>
      </c>
      <c r="AX752" s="49">
        <v>15.073529411764699</v>
      </c>
      <c r="AY752" s="67">
        <v>2.2058823529411802</v>
      </c>
      <c r="AZ752" s="62">
        <v>0.14682539682539683</v>
      </c>
      <c r="BA752" s="62">
        <v>7.9365079365079361E-3</v>
      </c>
      <c r="BB752" s="77">
        <v>93.129954675113297</v>
      </c>
      <c r="BC752" s="49">
        <v>42.857142857142897</v>
      </c>
      <c r="BD752" s="87">
        <v>0</v>
      </c>
      <c r="BE752" s="87">
        <v>0</v>
      </c>
      <c r="BF752" s="87">
        <v>0</v>
      </c>
      <c r="BG752" s="87">
        <v>0</v>
      </c>
      <c r="BH752" s="87">
        <v>0</v>
      </c>
      <c r="BI752" s="87">
        <v>0</v>
      </c>
      <c r="BJ752" s="49">
        <v>19.3</v>
      </c>
      <c r="BK752" s="126">
        <v>10337</v>
      </c>
      <c r="BL752" s="126">
        <v>51253</v>
      </c>
      <c r="BM752" s="126">
        <v>43837</v>
      </c>
      <c r="BN752" s="126">
        <v>40507</v>
      </c>
      <c r="BO752" s="59">
        <v>0</v>
      </c>
      <c r="BP752" s="59">
        <v>0.31940000000000002</v>
      </c>
      <c r="BQ752" s="59">
        <v>0.26619999999999999</v>
      </c>
      <c r="BR752" s="59">
        <v>0</v>
      </c>
      <c r="BS752" s="59">
        <v>0</v>
      </c>
      <c r="BT752" s="49">
        <v>18</v>
      </c>
      <c r="BU752" s="59">
        <f t="shared" si="56"/>
        <v>0.58560000000000001</v>
      </c>
      <c r="BV752" s="59">
        <v>1.3299999999999999E-2</v>
      </c>
      <c r="BW752" s="59">
        <v>1.3299999999999999E-2</v>
      </c>
      <c r="BX752" s="59">
        <v>1.3299999999999999E-2</v>
      </c>
      <c r="BY752" s="59">
        <v>1.3299999999999999E-2</v>
      </c>
      <c r="BZ752" s="59">
        <v>0</v>
      </c>
      <c r="CA752" s="49">
        <v>11.2</v>
      </c>
      <c r="CB752" s="59">
        <f t="shared" si="57"/>
        <v>5.3199999999999997E-2</v>
      </c>
      <c r="CC752" s="59">
        <v>0.30599999999999999</v>
      </c>
      <c r="CD752" s="59">
        <v>0.37259999999999999</v>
      </c>
      <c r="CE752" s="59">
        <v>0.30809999999999998</v>
      </c>
      <c r="CF752" s="59">
        <v>1.3299999999999999E-2</v>
      </c>
      <c r="CG752" s="59">
        <v>0</v>
      </c>
      <c r="CH752" s="49">
        <v>15.5</v>
      </c>
      <c r="CI752" s="25" t="s">
        <v>217</v>
      </c>
      <c r="CJ752" s="18" t="s">
        <v>489</v>
      </c>
      <c r="CK752" s="20"/>
    </row>
    <row r="753" spans="1:99" x14ac:dyDescent="0.25">
      <c r="A753" s="18" t="s">
        <v>489</v>
      </c>
      <c r="B753" s="19" t="s">
        <v>215</v>
      </c>
      <c r="C753" s="25" t="s">
        <v>218</v>
      </c>
      <c r="D753" s="6">
        <v>3</v>
      </c>
      <c r="E753" s="6">
        <v>0</v>
      </c>
      <c r="F753" s="6">
        <v>3</v>
      </c>
      <c r="G753" s="163">
        <v>0</v>
      </c>
      <c r="H753" s="163">
        <v>0</v>
      </c>
      <c r="I753" s="162" t="s">
        <v>83</v>
      </c>
      <c r="J753" s="163">
        <v>0</v>
      </c>
      <c r="K753" s="163">
        <v>1</v>
      </c>
      <c r="L753" s="163">
        <v>2</v>
      </c>
      <c r="M753" s="163">
        <v>0</v>
      </c>
      <c r="N753" s="115">
        <v>1.0869565217391301E-2</v>
      </c>
      <c r="O753" s="115">
        <v>1.8181818181818198E-2</v>
      </c>
      <c r="P753" s="115">
        <v>0</v>
      </c>
      <c r="Q753" s="115">
        <v>0</v>
      </c>
      <c r="R753" s="116" t="s">
        <v>83</v>
      </c>
      <c r="S753" s="115">
        <v>0</v>
      </c>
      <c r="T753" s="115">
        <v>1.72413793103448E-2</v>
      </c>
      <c r="U753" s="115">
        <v>7.4074074074074098E-2</v>
      </c>
      <c r="V753" s="115">
        <v>0</v>
      </c>
      <c r="W753" s="6">
        <v>643</v>
      </c>
      <c r="X753" s="40">
        <f t="shared" si="54"/>
        <v>148</v>
      </c>
      <c r="Y753" s="40">
        <f t="shared" si="55"/>
        <v>249</v>
      </c>
      <c r="Z753" s="59">
        <v>0.48520000000000002</v>
      </c>
      <c r="AA753" s="59">
        <v>0.51480000000000004</v>
      </c>
      <c r="AB753" s="61">
        <v>0</v>
      </c>
      <c r="AC753" s="61">
        <v>3.1104199066874028E-3</v>
      </c>
      <c r="AD753" s="61">
        <v>0.14774494556765164</v>
      </c>
      <c r="AE753" s="61">
        <v>3.4214618973561428E-2</v>
      </c>
      <c r="AF753" s="61">
        <v>0</v>
      </c>
      <c r="AG753" s="61">
        <v>0.78538102643856922</v>
      </c>
      <c r="AH753" s="61">
        <v>2.9548989113530325E-2</v>
      </c>
      <c r="AI753" s="61">
        <v>0.21461897356143078</v>
      </c>
      <c r="AJ753" s="59">
        <v>0.61099999999999999</v>
      </c>
      <c r="AK753" s="59">
        <v>0</v>
      </c>
      <c r="AL753" s="3">
        <v>50</v>
      </c>
      <c r="AM753" s="3">
        <v>51</v>
      </c>
      <c r="AN753" s="3">
        <v>0</v>
      </c>
      <c r="AO753" s="3">
        <v>45</v>
      </c>
      <c r="AP753" s="3">
        <v>51</v>
      </c>
      <c r="AQ753" s="3">
        <v>21</v>
      </c>
      <c r="AR753" s="3">
        <v>31</v>
      </c>
      <c r="AS753" s="59">
        <v>0</v>
      </c>
      <c r="AT753" s="3">
        <v>1</v>
      </c>
      <c r="AU753" s="3">
        <v>6</v>
      </c>
      <c r="AV753" s="49">
        <v>45.851528384279497</v>
      </c>
      <c r="AW753" s="49">
        <v>38.427947598253297</v>
      </c>
      <c r="AX753" s="49">
        <v>13.1004366812227</v>
      </c>
      <c r="AY753" s="67">
        <v>2.62008733624454</v>
      </c>
      <c r="AZ753" s="62">
        <v>0.15482954545454544</v>
      </c>
      <c r="BA753" s="62">
        <v>1.7045454545454544E-2</v>
      </c>
      <c r="BB753" s="78">
        <v>94.151624895994203</v>
      </c>
      <c r="BC753" s="49">
        <v>18.796992481202999</v>
      </c>
      <c r="BD753" s="87">
        <v>2</v>
      </c>
      <c r="BE753" s="87">
        <v>2.1</v>
      </c>
      <c r="BF753" s="87">
        <v>2.4</v>
      </c>
      <c r="BG753" s="87">
        <v>0</v>
      </c>
      <c r="BH753" s="87">
        <v>0</v>
      </c>
      <c r="BI753" s="87">
        <v>0</v>
      </c>
      <c r="BJ753" s="49">
        <v>18.399999999999999</v>
      </c>
      <c r="BK753" s="126">
        <v>10264</v>
      </c>
      <c r="BL753" s="126">
        <v>49694</v>
      </c>
      <c r="BM753" s="126">
        <v>45781</v>
      </c>
      <c r="BN753" s="126">
        <v>38958</v>
      </c>
      <c r="BO753" s="59">
        <v>0</v>
      </c>
      <c r="BP753" s="59">
        <v>0.34289999999999998</v>
      </c>
      <c r="BQ753" s="59">
        <v>0.20200000000000001</v>
      </c>
      <c r="BR753" s="59">
        <v>0</v>
      </c>
      <c r="BS753" s="59">
        <v>0</v>
      </c>
      <c r="BT753" s="49">
        <v>17.3</v>
      </c>
      <c r="BU753" s="59">
        <f t="shared" si="56"/>
        <v>0.54489999999999994</v>
      </c>
      <c r="BV753" s="59">
        <v>2.86E-2</v>
      </c>
      <c r="BW753" s="59">
        <v>0</v>
      </c>
      <c r="BX753" s="59">
        <v>2.7E-2</v>
      </c>
      <c r="BY753" s="59">
        <v>0</v>
      </c>
      <c r="BZ753" s="59">
        <v>0</v>
      </c>
      <c r="CA753" s="49">
        <v>23.2</v>
      </c>
      <c r="CB753" s="59">
        <f t="shared" si="57"/>
        <v>5.5599999999999997E-2</v>
      </c>
      <c r="CC753" s="59">
        <v>0.38569999999999999</v>
      </c>
      <c r="CD753" s="59">
        <v>0.34289999999999998</v>
      </c>
      <c r="CE753" s="59">
        <v>0.27139999999999997</v>
      </c>
      <c r="CF753" s="59">
        <v>0</v>
      </c>
      <c r="CG753" s="59">
        <v>0</v>
      </c>
      <c r="CH753" s="49">
        <v>15.4</v>
      </c>
      <c r="CI753" s="25" t="s">
        <v>218</v>
      </c>
      <c r="CJ753" s="18" t="s">
        <v>489</v>
      </c>
      <c r="CK753" s="20"/>
    </row>
    <row r="754" spans="1:99" x14ac:dyDescent="0.25">
      <c r="A754" s="18" t="s">
        <v>489</v>
      </c>
      <c r="B754" s="19" t="s">
        <v>219</v>
      </c>
      <c r="C754" s="25" t="s">
        <v>220</v>
      </c>
      <c r="D754" s="6">
        <v>134</v>
      </c>
      <c r="E754" s="40" t="s">
        <v>83</v>
      </c>
      <c r="F754" s="6">
        <v>134</v>
      </c>
      <c r="G754" s="162" t="s">
        <v>83</v>
      </c>
      <c r="H754" s="162" t="s">
        <v>83</v>
      </c>
      <c r="I754" s="163">
        <v>2</v>
      </c>
      <c r="J754" s="163">
        <v>59</v>
      </c>
      <c r="K754" s="163">
        <v>33</v>
      </c>
      <c r="L754" s="163">
        <v>25</v>
      </c>
      <c r="M754" s="163">
        <v>15</v>
      </c>
      <c r="N754" s="115">
        <v>8.7069525666016903E-2</v>
      </c>
      <c r="O754" s="115">
        <v>8.7069525666016903E-2</v>
      </c>
      <c r="P754" s="116" t="s">
        <v>83</v>
      </c>
      <c r="Q754" s="116" t="s">
        <v>83</v>
      </c>
      <c r="R754" s="115">
        <v>3.7037037037037E-2</v>
      </c>
      <c r="S754" s="115">
        <v>0.112167300380228</v>
      </c>
      <c r="T754" s="115">
        <v>9.1412742382271497E-2</v>
      </c>
      <c r="U754" s="115">
        <v>7.5987841945288806E-2</v>
      </c>
      <c r="V754" s="115">
        <v>5.5762081784386602E-2</v>
      </c>
      <c r="W754" s="6">
        <v>1289</v>
      </c>
      <c r="X754" s="40">
        <f t="shared" si="54"/>
        <v>1289</v>
      </c>
      <c r="Y754" s="40">
        <f t="shared" si="55"/>
        <v>1289</v>
      </c>
      <c r="Z754" s="59">
        <v>0.43830000000000002</v>
      </c>
      <c r="AA754" s="59">
        <v>0.56169999999999998</v>
      </c>
      <c r="AB754" s="61">
        <v>0</v>
      </c>
      <c r="AC754" s="61">
        <v>2.3273855702094646E-2</v>
      </c>
      <c r="AD754" s="61">
        <v>0.35143522110162917</v>
      </c>
      <c r="AE754" s="61">
        <v>0.45461598138091541</v>
      </c>
      <c r="AF754" s="61">
        <v>3.1031807602792862E-3</v>
      </c>
      <c r="AG754" s="61">
        <v>0.14197051978277736</v>
      </c>
      <c r="AH754" s="61">
        <v>2.560124127230411E-2</v>
      </c>
      <c r="AI754" s="61">
        <v>0.8580294802172227</v>
      </c>
      <c r="AJ754" s="59">
        <v>0.83199999999999996</v>
      </c>
      <c r="AK754" s="59">
        <v>0.25290000000000001</v>
      </c>
      <c r="AL754" s="3">
        <v>0</v>
      </c>
      <c r="AM754" s="3">
        <v>0</v>
      </c>
      <c r="AN754" s="3">
        <v>29</v>
      </c>
      <c r="AO754" s="3">
        <v>408</v>
      </c>
      <c r="AP754" s="3">
        <v>311</v>
      </c>
      <c r="AQ754" s="3">
        <v>289</v>
      </c>
      <c r="AR754" s="3">
        <v>252</v>
      </c>
      <c r="AS754" s="59">
        <v>6.6361556064073221E-2</v>
      </c>
      <c r="AT754" s="3">
        <v>9</v>
      </c>
      <c r="AU754" s="3">
        <v>6</v>
      </c>
      <c r="AV754" s="49">
        <v>46.296296296296305</v>
      </c>
      <c r="AW754" s="49">
        <v>19.4444444444444</v>
      </c>
      <c r="AX754" s="49">
        <v>22.530864197530899</v>
      </c>
      <c r="AY754" s="67">
        <v>11.728395061728399</v>
      </c>
      <c r="AZ754" s="62">
        <v>0.27842069434989791</v>
      </c>
      <c r="BA754" s="62">
        <v>0.17290673927842071</v>
      </c>
      <c r="BB754" s="77">
        <v>87.645551130648101</v>
      </c>
      <c r="BC754" s="49">
        <v>75.755540631296199</v>
      </c>
      <c r="BD754" s="90" t="s">
        <v>83</v>
      </c>
      <c r="BE754" s="90" t="s">
        <v>83</v>
      </c>
      <c r="BF754" s="87">
        <v>18.8</v>
      </c>
      <c r="BG754" s="87">
        <v>7.9</v>
      </c>
      <c r="BH754" s="87">
        <v>13.7</v>
      </c>
      <c r="BI754" s="87">
        <v>5.2</v>
      </c>
      <c r="BJ754" s="49">
        <v>18.2</v>
      </c>
      <c r="BK754" s="126">
        <v>11776</v>
      </c>
      <c r="BL754" s="126">
        <v>47459</v>
      </c>
      <c r="BM754" s="126">
        <v>51233</v>
      </c>
      <c r="BN754" s="126">
        <v>41300</v>
      </c>
      <c r="BO754" s="59">
        <v>0</v>
      </c>
      <c r="BP754" s="59">
        <v>0.35020000000000001</v>
      </c>
      <c r="BQ754" s="59">
        <v>0.1976</v>
      </c>
      <c r="BR754" s="59">
        <v>6.1999999999999998E-3</v>
      </c>
      <c r="BS754" s="59">
        <v>1.18E-2</v>
      </c>
      <c r="BT754" s="49">
        <v>11.3</v>
      </c>
      <c r="BU754" s="59">
        <f t="shared" si="56"/>
        <v>0.56580000000000008</v>
      </c>
      <c r="BV754" s="59">
        <v>3.73E-2</v>
      </c>
      <c r="BW754" s="59">
        <v>1.24E-2</v>
      </c>
      <c r="BX754" s="59">
        <v>4.8899999999999999E-2</v>
      </c>
      <c r="BY754" s="59">
        <v>0</v>
      </c>
      <c r="BZ754" s="59">
        <v>0</v>
      </c>
      <c r="CA754" s="49">
        <v>20.2</v>
      </c>
      <c r="CB754" s="59">
        <f t="shared" si="57"/>
        <v>9.8599999999999993E-2</v>
      </c>
      <c r="CC754" s="59">
        <v>0.2392</v>
      </c>
      <c r="CD754" s="59">
        <v>0.4279</v>
      </c>
      <c r="CE754" s="59">
        <v>0.28999999999999998</v>
      </c>
      <c r="CF754" s="59">
        <v>3.1099999999999999E-2</v>
      </c>
      <c r="CG754" s="59">
        <v>1.18E-2</v>
      </c>
      <c r="CH754" s="49">
        <v>12.5</v>
      </c>
      <c r="CI754" s="25" t="s">
        <v>220</v>
      </c>
      <c r="CJ754" s="18" t="s">
        <v>489</v>
      </c>
      <c r="CK754" s="20"/>
    </row>
    <row r="755" spans="1:99" x14ac:dyDescent="0.25">
      <c r="A755" s="18" t="s">
        <v>489</v>
      </c>
      <c r="B755" s="19" t="s">
        <v>219</v>
      </c>
      <c r="C755" s="25" t="s">
        <v>221</v>
      </c>
      <c r="D755" s="6">
        <v>31</v>
      </c>
      <c r="E755" s="40" t="s">
        <v>83</v>
      </c>
      <c r="F755" s="6">
        <v>31</v>
      </c>
      <c r="G755" s="162" t="s">
        <v>83</v>
      </c>
      <c r="H755" s="162" t="s">
        <v>83</v>
      </c>
      <c r="I755" s="163">
        <v>1</v>
      </c>
      <c r="J755" s="163">
        <v>6</v>
      </c>
      <c r="K755" s="163">
        <v>7</v>
      </c>
      <c r="L755" s="163">
        <v>9</v>
      </c>
      <c r="M755" s="163">
        <v>8</v>
      </c>
      <c r="N755" s="115">
        <v>2.66781411359725E-2</v>
      </c>
      <c r="O755" s="115">
        <v>2.66781411359725E-2</v>
      </c>
      <c r="P755" s="116" t="s">
        <v>83</v>
      </c>
      <c r="Q755" s="116" t="s">
        <v>83</v>
      </c>
      <c r="R755" s="115">
        <v>3.2258064516128997E-2</v>
      </c>
      <c r="S755" s="115">
        <v>1.7647058823529401E-2</v>
      </c>
      <c r="T755" s="115">
        <v>2.3489932885905999E-2</v>
      </c>
      <c r="U755" s="115">
        <v>3.4482758620689703E-2</v>
      </c>
      <c r="V755" s="115">
        <v>3.4482758620689703E-2</v>
      </c>
      <c r="W755" s="6">
        <v>1047</v>
      </c>
      <c r="X755" s="40">
        <f t="shared" si="54"/>
        <v>1047</v>
      </c>
      <c r="Y755" s="40">
        <f t="shared" si="55"/>
        <v>1047</v>
      </c>
      <c r="Z755" s="59">
        <v>0.49380000000000002</v>
      </c>
      <c r="AA755" s="59">
        <v>0.50619999999999998</v>
      </c>
      <c r="AB755" s="61">
        <v>2.8653295128939827E-3</v>
      </c>
      <c r="AC755" s="61">
        <v>4.6800382043935052E-2</v>
      </c>
      <c r="AD755" s="61">
        <v>0.6322827125119389</v>
      </c>
      <c r="AE755" s="61">
        <v>0.15472779369627507</v>
      </c>
      <c r="AF755" s="61">
        <v>3.8204393505253103E-3</v>
      </c>
      <c r="AG755" s="61">
        <v>0.1346704871060172</v>
      </c>
      <c r="AH755" s="61">
        <v>2.4832855778414518E-2</v>
      </c>
      <c r="AI755" s="61">
        <v>0.86532951289398286</v>
      </c>
      <c r="AJ755" s="59">
        <v>0.79400000000000004</v>
      </c>
      <c r="AK755" s="59">
        <v>0.1356</v>
      </c>
      <c r="AL755" s="3">
        <v>0</v>
      </c>
      <c r="AM755" s="3">
        <v>0</v>
      </c>
      <c r="AN755" s="3">
        <v>28</v>
      </c>
      <c r="AO755" s="3">
        <v>302</v>
      </c>
      <c r="AP755" s="3">
        <v>263</v>
      </c>
      <c r="AQ755" s="3">
        <v>236</v>
      </c>
      <c r="AR755" s="3">
        <v>218</v>
      </c>
      <c r="AS755" s="59">
        <v>8.4848484848484854E-2</v>
      </c>
      <c r="AT755" s="3">
        <v>9</v>
      </c>
      <c r="AU755" s="3">
        <v>6</v>
      </c>
      <c r="AV755" s="49">
        <v>51.219512195121993</v>
      </c>
      <c r="AW755" s="49">
        <v>12.1951219512195</v>
      </c>
      <c r="AX755" s="49">
        <v>16.851441241685102</v>
      </c>
      <c r="AY755" s="67">
        <v>19.7339246119734</v>
      </c>
      <c r="AZ755" s="62">
        <v>0.36782608695652175</v>
      </c>
      <c r="BA755" s="62">
        <v>0.28608695652173916</v>
      </c>
      <c r="BB755" s="78">
        <v>92.808205468406001</v>
      </c>
      <c r="BC755" s="49">
        <v>52.352437981180501</v>
      </c>
      <c r="BD755" s="90" t="s">
        <v>83</v>
      </c>
      <c r="BE755" s="90" t="s">
        <v>83</v>
      </c>
      <c r="BF755" s="87">
        <v>10.6</v>
      </c>
      <c r="BG755" s="87">
        <v>6.4</v>
      </c>
      <c r="BH755" s="87">
        <v>5</v>
      </c>
      <c r="BI755" s="87">
        <v>1.8</v>
      </c>
      <c r="BJ755" s="49">
        <v>18.2</v>
      </c>
      <c r="BK755" s="126">
        <v>9646</v>
      </c>
      <c r="BL755" s="126">
        <v>48445</v>
      </c>
      <c r="BM755" s="126">
        <v>52674</v>
      </c>
      <c r="BN755" s="126">
        <v>43387</v>
      </c>
      <c r="BO755" s="59">
        <v>0</v>
      </c>
      <c r="BP755" s="59">
        <v>0.33610000000000001</v>
      </c>
      <c r="BQ755" s="59">
        <v>0.21579999999999999</v>
      </c>
      <c r="BR755" s="59">
        <v>0</v>
      </c>
      <c r="BS755" s="59">
        <v>2.1700000000000001E-2</v>
      </c>
      <c r="BT755" s="49">
        <v>13.1</v>
      </c>
      <c r="BU755" s="59">
        <f t="shared" si="56"/>
        <v>0.57360000000000011</v>
      </c>
      <c r="BV755" s="59">
        <v>5.11E-2</v>
      </c>
      <c r="BW755" s="59">
        <v>6.9999999999999999E-4</v>
      </c>
      <c r="BX755" s="59">
        <v>6.1699999999999998E-2</v>
      </c>
      <c r="BY755" s="59">
        <v>0</v>
      </c>
      <c r="BZ755" s="59">
        <v>0</v>
      </c>
      <c r="CA755" s="49">
        <v>16.899999999999999</v>
      </c>
      <c r="CB755" s="59">
        <f t="shared" si="57"/>
        <v>0.11349999999999999</v>
      </c>
      <c r="CC755" s="59">
        <v>0.2228</v>
      </c>
      <c r="CD755" s="59">
        <v>0.40200000000000002</v>
      </c>
      <c r="CE755" s="59">
        <v>0.33179999999999998</v>
      </c>
      <c r="CF755" s="59">
        <v>1.09E-2</v>
      </c>
      <c r="CG755" s="59">
        <v>3.2599999999999997E-2</v>
      </c>
      <c r="CH755" s="49">
        <v>13.5</v>
      </c>
      <c r="CI755" s="25" t="s">
        <v>221</v>
      </c>
      <c r="CJ755" s="18" t="s">
        <v>489</v>
      </c>
      <c r="CK755" s="20"/>
    </row>
    <row r="756" spans="1:99" x14ac:dyDescent="0.25">
      <c r="A756" s="18" t="s">
        <v>489</v>
      </c>
      <c r="B756" s="19" t="s">
        <v>219</v>
      </c>
      <c r="C756" s="25" t="s">
        <v>222</v>
      </c>
      <c r="D756" s="6">
        <v>103</v>
      </c>
      <c r="E756" s="40" t="s">
        <v>83</v>
      </c>
      <c r="F756" s="6">
        <v>103</v>
      </c>
      <c r="G756" s="162" t="s">
        <v>83</v>
      </c>
      <c r="H756" s="162" t="s">
        <v>83</v>
      </c>
      <c r="I756" s="163">
        <v>2</v>
      </c>
      <c r="J756" s="163">
        <v>28</v>
      </c>
      <c r="K756" s="163">
        <v>35</v>
      </c>
      <c r="L756" s="163">
        <v>24</v>
      </c>
      <c r="M756" s="163">
        <v>14</v>
      </c>
      <c r="N756" s="115">
        <v>7.2791519434628998E-2</v>
      </c>
      <c r="O756" s="115">
        <v>7.2791519434628998E-2</v>
      </c>
      <c r="P756" s="116" t="s">
        <v>83</v>
      </c>
      <c r="Q756" s="116" t="s">
        <v>83</v>
      </c>
      <c r="R756" s="115">
        <v>0.1</v>
      </c>
      <c r="S756" s="115">
        <v>6.3348416289592799E-2</v>
      </c>
      <c r="T756" s="115">
        <v>9.5108695652173905E-2</v>
      </c>
      <c r="U756" s="115">
        <v>7.6677316293929695E-2</v>
      </c>
      <c r="V756" s="115">
        <v>5.1470588235294101E-2</v>
      </c>
      <c r="W756" s="6">
        <v>1225</v>
      </c>
      <c r="X756" s="40">
        <f t="shared" si="54"/>
        <v>1225</v>
      </c>
      <c r="Y756" s="40">
        <f t="shared" si="55"/>
        <v>1225</v>
      </c>
      <c r="Z756" s="59">
        <v>0.45550000000000002</v>
      </c>
      <c r="AA756" s="59">
        <v>0.54449999999999998</v>
      </c>
      <c r="AB756" s="61">
        <v>3.2653061224489797E-3</v>
      </c>
      <c r="AC756" s="61">
        <v>1.7959183673469388E-2</v>
      </c>
      <c r="AD756" s="61">
        <v>0.32244897959183672</v>
      </c>
      <c r="AE756" s="61">
        <v>0.26448979591836735</v>
      </c>
      <c r="AF756" s="61">
        <v>8.1632653061224497E-3</v>
      </c>
      <c r="AG756" s="61">
        <v>0.36571428571428571</v>
      </c>
      <c r="AH756" s="61">
        <v>1.7959183673469388E-2</v>
      </c>
      <c r="AI756" s="61">
        <v>0.63428571428571423</v>
      </c>
      <c r="AJ756" s="59">
        <v>0.74399999999999999</v>
      </c>
      <c r="AK756" s="59">
        <v>0.12330000000000001</v>
      </c>
      <c r="AL756" s="3">
        <v>0</v>
      </c>
      <c r="AM756" s="3">
        <v>0</v>
      </c>
      <c r="AN756" s="3">
        <v>15</v>
      </c>
      <c r="AO756" s="3">
        <v>344</v>
      </c>
      <c r="AP756" s="3">
        <v>320</v>
      </c>
      <c r="AQ756" s="3">
        <v>284</v>
      </c>
      <c r="AR756" s="3">
        <v>262</v>
      </c>
      <c r="AS756" s="59">
        <v>4.1782729805013928E-2</v>
      </c>
      <c r="AT756" s="3">
        <v>9</v>
      </c>
      <c r="AU756" s="3">
        <v>6</v>
      </c>
      <c r="AV756" s="49">
        <v>62.445414847161594</v>
      </c>
      <c r="AW756" s="49">
        <v>5.6768558951965105</v>
      </c>
      <c r="AX756" s="49">
        <v>22.2707423580786</v>
      </c>
      <c r="AY756" s="67">
        <v>9.6069868995633207</v>
      </c>
      <c r="AZ756" s="62">
        <v>0.26159420289855073</v>
      </c>
      <c r="BA756" s="62">
        <v>0.14275362318840579</v>
      </c>
      <c r="BB756" s="77">
        <v>88.985719036672194</v>
      </c>
      <c r="BC756" s="49">
        <v>59.135977337110504</v>
      </c>
      <c r="BD756" s="90" t="s">
        <v>83</v>
      </c>
      <c r="BE756" s="90" t="s">
        <v>83</v>
      </c>
      <c r="BF756" s="87">
        <v>20.399999999999999</v>
      </c>
      <c r="BG756" s="87">
        <v>7.6</v>
      </c>
      <c r="BH756" s="87">
        <v>8.3000000000000007</v>
      </c>
      <c r="BI756" s="87">
        <v>4.3</v>
      </c>
      <c r="BJ756" s="49">
        <v>18.5</v>
      </c>
      <c r="BK756" s="126">
        <v>10704</v>
      </c>
      <c r="BL756" s="126">
        <v>53252</v>
      </c>
      <c r="BM756" s="126">
        <v>51986</v>
      </c>
      <c r="BN756" s="126">
        <v>44799</v>
      </c>
      <c r="BO756" s="59">
        <v>0</v>
      </c>
      <c r="BP756" s="59">
        <v>0.30659999999999998</v>
      </c>
      <c r="BQ756" s="59">
        <v>0.24279999999999999</v>
      </c>
      <c r="BR756" s="59">
        <v>0</v>
      </c>
      <c r="BS756" s="59">
        <v>2.4299999999999999E-2</v>
      </c>
      <c r="BT756" s="49">
        <v>21.3</v>
      </c>
      <c r="BU756" s="59">
        <f t="shared" si="56"/>
        <v>0.57369999999999999</v>
      </c>
      <c r="BV756" s="59">
        <v>4.0599999999999997E-2</v>
      </c>
      <c r="BW756" s="59">
        <v>0</v>
      </c>
      <c r="BX756" s="59">
        <v>4.87E-2</v>
      </c>
      <c r="BY756" s="59">
        <v>0</v>
      </c>
      <c r="BZ756" s="59">
        <v>0</v>
      </c>
      <c r="CA756" s="49">
        <v>24.8</v>
      </c>
      <c r="CB756" s="59">
        <f t="shared" si="57"/>
        <v>8.929999999999999E-2</v>
      </c>
      <c r="CC756" s="59">
        <v>0.26579999999999998</v>
      </c>
      <c r="CD756" s="59">
        <v>0.36059999999999998</v>
      </c>
      <c r="CE756" s="59">
        <v>0.3493</v>
      </c>
      <c r="CF756" s="59">
        <v>0</v>
      </c>
      <c r="CG756" s="59">
        <v>2.4299999999999999E-2</v>
      </c>
      <c r="CH756" s="49">
        <v>19</v>
      </c>
      <c r="CI756" s="25" t="s">
        <v>222</v>
      </c>
      <c r="CJ756" s="18" t="s">
        <v>489</v>
      </c>
      <c r="CK756" s="20"/>
    </row>
    <row r="757" spans="1:99" x14ac:dyDescent="0.25">
      <c r="A757" s="18" t="s">
        <v>489</v>
      </c>
      <c r="B757" s="19" t="s">
        <v>219</v>
      </c>
      <c r="C757" s="25" t="s">
        <v>223</v>
      </c>
      <c r="D757" s="6">
        <v>80</v>
      </c>
      <c r="E757" s="40" t="s">
        <v>83</v>
      </c>
      <c r="F757" s="6">
        <v>80</v>
      </c>
      <c r="G757" s="162" t="s">
        <v>83</v>
      </c>
      <c r="H757" s="162" t="s">
        <v>83</v>
      </c>
      <c r="I757" s="163">
        <v>0</v>
      </c>
      <c r="J757" s="163">
        <v>38</v>
      </c>
      <c r="K757" s="163">
        <v>22</v>
      </c>
      <c r="L757" s="163">
        <v>9</v>
      </c>
      <c r="M757" s="163">
        <v>11</v>
      </c>
      <c r="N757" s="115">
        <v>3.3528918692372199E-2</v>
      </c>
      <c r="O757" s="115">
        <v>3.3528918692372199E-2</v>
      </c>
      <c r="P757" s="116" t="s">
        <v>83</v>
      </c>
      <c r="Q757" s="116" t="s">
        <v>83</v>
      </c>
      <c r="R757" s="115">
        <v>0</v>
      </c>
      <c r="S757" s="115">
        <v>5.6047197640118E-2</v>
      </c>
      <c r="T757" s="115">
        <v>3.5947712418300699E-2</v>
      </c>
      <c r="U757" s="115">
        <v>1.6071428571428601E-2</v>
      </c>
      <c r="V757" s="115">
        <v>2.40700218818381E-2</v>
      </c>
      <c r="W757" s="6">
        <v>2192</v>
      </c>
      <c r="X757" s="40">
        <f t="shared" si="54"/>
        <v>2192</v>
      </c>
      <c r="Y757" s="40">
        <f t="shared" si="55"/>
        <v>2192</v>
      </c>
      <c r="Z757" s="59">
        <v>0.49680000000000002</v>
      </c>
      <c r="AA757" s="59">
        <v>0.50319999999999998</v>
      </c>
      <c r="AB757" s="61">
        <v>1.1405109489051095E-2</v>
      </c>
      <c r="AC757" s="61">
        <v>6.6149635036496346E-2</v>
      </c>
      <c r="AD757" s="61">
        <v>0.56386861313868608</v>
      </c>
      <c r="AE757" s="61">
        <v>0.12363138686131386</v>
      </c>
      <c r="AF757" s="61">
        <v>9.1240875912408756E-4</v>
      </c>
      <c r="AG757" s="61">
        <v>0.20392335766423358</v>
      </c>
      <c r="AH757" s="61">
        <v>3.0109489051094892E-2</v>
      </c>
      <c r="AI757" s="61">
        <v>0.79607664233576647</v>
      </c>
      <c r="AJ757" s="59">
        <v>0.78600000000000003</v>
      </c>
      <c r="AK757" s="59">
        <v>3.9199999999999999E-2</v>
      </c>
      <c r="AL757" s="3">
        <v>0</v>
      </c>
      <c r="AM757" s="3">
        <v>0</v>
      </c>
      <c r="AN757" s="3">
        <v>10</v>
      </c>
      <c r="AO757" s="3">
        <v>648</v>
      </c>
      <c r="AP757" s="3">
        <v>559</v>
      </c>
      <c r="AQ757" s="3">
        <v>538</v>
      </c>
      <c r="AR757" s="3">
        <v>437</v>
      </c>
      <c r="AS757" s="59">
        <v>1.5197568389057751E-2</v>
      </c>
      <c r="AT757" s="3">
        <v>9</v>
      </c>
      <c r="AU757" s="3">
        <v>6</v>
      </c>
      <c r="AV757" s="49">
        <v>40.144230769230802</v>
      </c>
      <c r="AW757" s="49">
        <v>8.5336538461538503</v>
      </c>
      <c r="AX757" s="49">
        <v>35.336538461538503</v>
      </c>
      <c r="AY757" s="67">
        <v>15.9855769230769</v>
      </c>
      <c r="AZ757" s="62">
        <v>0.25423011844331639</v>
      </c>
      <c r="BA757" s="62">
        <v>0.16878172588832488</v>
      </c>
      <c r="BB757" s="78">
        <v>88.953967450073193</v>
      </c>
      <c r="BC757" s="49">
        <v>67.7860696517413</v>
      </c>
      <c r="BD757" s="90" t="s">
        <v>83</v>
      </c>
      <c r="BE757" s="90" t="s">
        <v>83</v>
      </c>
      <c r="BF757" s="87">
        <v>13.9</v>
      </c>
      <c r="BG757" s="87">
        <v>3.5</v>
      </c>
      <c r="BH757" s="87">
        <v>3.6</v>
      </c>
      <c r="BI757" s="87">
        <v>3.7</v>
      </c>
      <c r="BJ757" s="49">
        <v>18.399999999999999</v>
      </c>
      <c r="BK757" s="126">
        <v>10315</v>
      </c>
      <c r="BL757" s="126">
        <v>48887</v>
      </c>
      <c r="BM757" s="126">
        <v>47813</v>
      </c>
      <c r="BN757" s="126">
        <v>42705</v>
      </c>
      <c r="BO757" s="59">
        <v>0</v>
      </c>
      <c r="BP757" s="59">
        <v>0.33950000000000002</v>
      </c>
      <c r="BQ757" s="59">
        <v>0.2326</v>
      </c>
      <c r="BR757" s="59">
        <v>0</v>
      </c>
      <c r="BS757" s="59">
        <v>0</v>
      </c>
      <c r="BT757" s="49">
        <v>13.7</v>
      </c>
      <c r="BU757" s="59">
        <f t="shared" si="56"/>
        <v>0.57210000000000005</v>
      </c>
      <c r="BV757" s="59">
        <v>4.4900000000000002E-2</v>
      </c>
      <c r="BW757" s="59">
        <v>0</v>
      </c>
      <c r="BX757" s="59">
        <v>5.8000000000000003E-2</v>
      </c>
      <c r="BY757" s="59">
        <v>0</v>
      </c>
      <c r="BZ757" s="59">
        <v>0</v>
      </c>
      <c r="CA757" s="49">
        <v>17.3</v>
      </c>
      <c r="CB757" s="59">
        <f t="shared" si="57"/>
        <v>0.10290000000000001</v>
      </c>
      <c r="CC757" s="59">
        <v>0.2477</v>
      </c>
      <c r="CD757" s="59">
        <v>0.39400000000000002</v>
      </c>
      <c r="CE757" s="59">
        <v>0.3473</v>
      </c>
      <c r="CF757" s="59">
        <v>1.0999999999999999E-2</v>
      </c>
      <c r="CG757" s="59">
        <v>0</v>
      </c>
      <c r="CH757" s="49">
        <v>14.3</v>
      </c>
      <c r="CI757" s="25" t="s">
        <v>223</v>
      </c>
      <c r="CJ757" s="18" t="s">
        <v>489</v>
      </c>
      <c r="CK757" s="20"/>
    </row>
    <row r="758" spans="1:99" x14ac:dyDescent="0.25">
      <c r="A758" s="18" t="s">
        <v>489</v>
      </c>
      <c r="B758" s="19" t="s">
        <v>219</v>
      </c>
      <c r="C758" s="25" t="s">
        <v>224</v>
      </c>
      <c r="D758" s="6">
        <v>4</v>
      </c>
      <c r="E758" s="6">
        <v>0</v>
      </c>
      <c r="F758" s="6">
        <v>4</v>
      </c>
      <c r="G758" s="163">
        <v>0</v>
      </c>
      <c r="H758" s="163">
        <v>0</v>
      </c>
      <c r="I758" s="162" t="s">
        <v>83</v>
      </c>
      <c r="J758" s="163">
        <v>1</v>
      </c>
      <c r="K758" s="163">
        <v>1</v>
      </c>
      <c r="L758" s="163">
        <v>1</v>
      </c>
      <c r="M758" s="163">
        <v>1</v>
      </c>
      <c r="N758" s="115">
        <v>8.8691796008869197E-3</v>
      </c>
      <c r="O758" s="115">
        <v>1.3157894736842099E-2</v>
      </c>
      <c r="P758" s="115">
        <v>0</v>
      </c>
      <c r="Q758" s="115">
        <v>0</v>
      </c>
      <c r="R758" s="116" t="s">
        <v>83</v>
      </c>
      <c r="S758" s="115">
        <v>1.3333333333333299E-2</v>
      </c>
      <c r="T758" s="115">
        <v>1.38888888888889E-2</v>
      </c>
      <c r="U758" s="115">
        <v>1.4084507042253501E-2</v>
      </c>
      <c r="V758" s="115">
        <v>1.2345679012345699E-2</v>
      </c>
      <c r="W758" s="6">
        <v>505</v>
      </c>
      <c r="X758" s="40">
        <f t="shared" si="54"/>
        <v>293</v>
      </c>
      <c r="Y758" s="40">
        <f t="shared" si="55"/>
        <v>435</v>
      </c>
      <c r="Z758" s="59">
        <v>0.47720000000000001</v>
      </c>
      <c r="AA758" s="59">
        <v>0.52280000000000004</v>
      </c>
      <c r="AB758" s="61">
        <v>4.1584158415841586E-2</v>
      </c>
      <c r="AC758" s="61">
        <v>0</v>
      </c>
      <c r="AD758" s="61">
        <v>1.1881188118811881E-2</v>
      </c>
      <c r="AE758" s="61">
        <v>0.10693069306930693</v>
      </c>
      <c r="AF758" s="61">
        <v>1.9801980198019802E-3</v>
      </c>
      <c r="AG758" s="61">
        <v>0.79603960396039608</v>
      </c>
      <c r="AH758" s="61">
        <v>4.1584158415841586E-2</v>
      </c>
      <c r="AI758" s="61">
        <v>0.20396039603960395</v>
      </c>
      <c r="AJ758" s="59">
        <v>0.61599999999999999</v>
      </c>
      <c r="AK758" s="59">
        <v>1.5800000000000002E-2</v>
      </c>
      <c r="AL758" s="3">
        <v>68</v>
      </c>
      <c r="AM758" s="3">
        <v>74</v>
      </c>
      <c r="AN758" s="3">
        <v>0</v>
      </c>
      <c r="AO758" s="3">
        <v>75</v>
      </c>
      <c r="AP758" s="3">
        <v>73</v>
      </c>
      <c r="AQ758" s="3">
        <v>69</v>
      </c>
      <c r="AR758" s="3">
        <v>76</v>
      </c>
      <c r="AS758" s="59">
        <v>0</v>
      </c>
      <c r="AT758" s="3">
        <v>6</v>
      </c>
      <c r="AU758" s="3">
        <v>6</v>
      </c>
      <c r="AV758" s="49">
        <v>74.528301886792406</v>
      </c>
      <c r="AW758" s="49">
        <v>16.352201257861601</v>
      </c>
      <c r="AX758" s="49">
        <v>8.1761006289308202</v>
      </c>
      <c r="AY758" s="67">
        <v>0.94339622641509391</v>
      </c>
      <c r="AZ758" s="62">
        <v>8.6372360844529747E-2</v>
      </c>
      <c r="BA758" s="62">
        <v>0.10556621880998081</v>
      </c>
      <c r="BB758" s="77">
        <v>92.532422011917305</v>
      </c>
      <c r="BC758" s="49">
        <v>37.093690248565999</v>
      </c>
      <c r="BD758" s="87">
        <v>1.5</v>
      </c>
      <c r="BE758" s="87">
        <v>4.0999999999999996</v>
      </c>
      <c r="BF758" s="87">
        <v>2.9</v>
      </c>
      <c r="BG758" s="87">
        <v>1.4</v>
      </c>
      <c r="BH758" s="87">
        <v>2.9</v>
      </c>
      <c r="BI758" s="87">
        <v>1.3</v>
      </c>
      <c r="BJ758" s="49">
        <v>19.100000000000001</v>
      </c>
      <c r="BK758" s="126">
        <v>11215</v>
      </c>
      <c r="BL758" s="126">
        <v>53047</v>
      </c>
      <c r="BM758" s="126">
        <v>42784</v>
      </c>
      <c r="BN758" s="126">
        <v>42923</v>
      </c>
      <c r="BO758" s="59">
        <v>0</v>
      </c>
      <c r="BP758" s="59">
        <v>0.38850000000000001</v>
      </c>
      <c r="BQ758" s="59">
        <v>0.1191</v>
      </c>
      <c r="BR758" s="59">
        <v>0</v>
      </c>
      <c r="BS758" s="59">
        <v>0</v>
      </c>
      <c r="BT758" s="49">
        <v>14.4</v>
      </c>
      <c r="BU758" s="59">
        <f t="shared" si="56"/>
        <v>0.50760000000000005</v>
      </c>
      <c r="BV758" s="59">
        <v>7.5499999999999998E-2</v>
      </c>
      <c r="BW758" s="59">
        <v>0</v>
      </c>
      <c r="BX758" s="59">
        <v>5.0799999999999998E-2</v>
      </c>
      <c r="BY758" s="59">
        <v>0</v>
      </c>
      <c r="BZ758" s="59">
        <v>0</v>
      </c>
      <c r="CA758" s="49">
        <v>16.2</v>
      </c>
      <c r="CB758" s="59">
        <f t="shared" si="57"/>
        <v>0.1263</v>
      </c>
      <c r="CC758" s="59">
        <v>0.37609999999999999</v>
      </c>
      <c r="CD758" s="59">
        <v>0.41399999999999998</v>
      </c>
      <c r="CE758" s="59">
        <v>0.2099</v>
      </c>
      <c r="CF758" s="59">
        <v>0</v>
      </c>
      <c r="CG758" s="59">
        <v>0</v>
      </c>
      <c r="CH758" s="49">
        <v>14</v>
      </c>
      <c r="CI758" s="25" t="s">
        <v>224</v>
      </c>
      <c r="CJ758" s="18" t="s">
        <v>489</v>
      </c>
      <c r="CK758" s="20"/>
    </row>
    <row r="759" spans="1:99" x14ac:dyDescent="0.25">
      <c r="A759" s="18" t="s">
        <v>489</v>
      </c>
      <c r="B759" s="19" t="s">
        <v>219</v>
      </c>
      <c r="C759" s="25" t="s">
        <v>225</v>
      </c>
      <c r="D759" s="6">
        <v>0</v>
      </c>
      <c r="E759" s="6">
        <v>0</v>
      </c>
      <c r="F759" s="6">
        <v>0</v>
      </c>
      <c r="G759" s="163">
        <v>0</v>
      </c>
      <c r="H759" s="163">
        <v>0</v>
      </c>
      <c r="I759" s="162" t="s">
        <v>83</v>
      </c>
      <c r="J759" s="163">
        <v>0</v>
      </c>
      <c r="K759" s="163">
        <v>0</v>
      </c>
      <c r="L759" s="163">
        <v>0</v>
      </c>
      <c r="M759" s="163">
        <v>0</v>
      </c>
      <c r="N759" s="115">
        <v>0</v>
      </c>
      <c r="O759" s="115">
        <v>0</v>
      </c>
      <c r="P759" s="115">
        <v>0</v>
      </c>
      <c r="Q759" s="115">
        <v>0</v>
      </c>
      <c r="R759" s="116" t="s">
        <v>83</v>
      </c>
      <c r="S759" s="115">
        <v>0</v>
      </c>
      <c r="T759" s="115">
        <v>0</v>
      </c>
      <c r="U759" s="115">
        <v>0</v>
      </c>
      <c r="V759" s="115">
        <v>0</v>
      </c>
      <c r="W759" s="6">
        <v>163</v>
      </c>
      <c r="X759" s="40">
        <f t="shared" si="54"/>
        <v>49</v>
      </c>
      <c r="Y759" s="40">
        <f t="shared" si="55"/>
        <v>70</v>
      </c>
      <c r="Z759" s="59">
        <v>0.50919999999999999</v>
      </c>
      <c r="AA759" s="59">
        <v>0.49080000000000001</v>
      </c>
      <c r="AB759" s="61">
        <v>9.202453987730061E-2</v>
      </c>
      <c r="AC759" s="61">
        <v>0</v>
      </c>
      <c r="AD759" s="61">
        <v>6.1349693251533744E-3</v>
      </c>
      <c r="AE759" s="61">
        <v>4.2944785276073622E-2</v>
      </c>
      <c r="AF759" s="61">
        <v>0</v>
      </c>
      <c r="AG759" s="61">
        <v>0.78527607361963192</v>
      </c>
      <c r="AH759" s="61">
        <v>7.3619631901840496E-2</v>
      </c>
      <c r="AI759" s="61">
        <v>0.21472392638036811</v>
      </c>
      <c r="AJ759" s="59">
        <v>0.60099999999999998</v>
      </c>
      <c r="AK759" s="59">
        <v>2.4500000000000001E-2</v>
      </c>
      <c r="AL759" s="3">
        <v>12</v>
      </c>
      <c r="AM759" s="3">
        <v>9</v>
      </c>
      <c r="AN759" s="3">
        <v>0</v>
      </c>
      <c r="AO759" s="3">
        <v>15</v>
      </c>
      <c r="AP759" s="3">
        <v>11</v>
      </c>
      <c r="AQ759" s="3">
        <v>8</v>
      </c>
      <c r="AR759" s="3">
        <v>15</v>
      </c>
      <c r="AS759" s="59">
        <v>0</v>
      </c>
      <c r="AT759" s="3">
        <v>1</v>
      </c>
      <c r="AU759" s="3">
        <v>6</v>
      </c>
      <c r="AV759" s="49">
        <v>100</v>
      </c>
      <c r="AW759" s="49">
        <v>0</v>
      </c>
      <c r="AX759" s="49">
        <v>0</v>
      </c>
      <c r="AY759" s="67">
        <v>0</v>
      </c>
      <c r="AZ759" s="62">
        <v>1.1235955056179775E-2</v>
      </c>
      <c r="BA759" s="62">
        <v>5.6179775280898875E-3</v>
      </c>
      <c r="BB759" s="78">
        <v>93.180162410931601</v>
      </c>
      <c r="BC759" s="49">
        <v>29.878048780487799</v>
      </c>
      <c r="BD759" s="87">
        <v>9.1</v>
      </c>
      <c r="BE759" s="87">
        <v>0</v>
      </c>
      <c r="BF759" s="87">
        <v>0</v>
      </c>
      <c r="BG759" s="87">
        <v>0</v>
      </c>
      <c r="BH759" s="87">
        <v>0</v>
      </c>
      <c r="BI759" s="87">
        <v>0</v>
      </c>
      <c r="BJ759" s="49">
        <v>18.399999999999999</v>
      </c>
      <c r="BK759" s="126">
        <v>18707</v>
      </c>
      <c r="BL759" s="126">
        <v>51189</v>
      </c>
      <c r="BM759" s="126">
        <v>36925</v>
      </c>
      <c r="BN759" s="126">
        <v>42492</v>
      </c>
      <c r="BO759" s="59">
        <v>0</v>
      </c>
      <c r="BP759" s="59">
        <v>0.441</v>
      </c>
      <c r="BQ759" s="59">
        <v>0.1069</v>
      </c>
      <c r="BR759" s="59">
        <v>0</v>
      </c>
      <c r="BS759" s="59">
        <v>2.6700000000000002E-2</v>
      </c>
      <c r="BT759" s="49">
        <v>16.399999999999999</v>
      </c>
      <c r="BU759" s="59">
        <f t="shared" si="56"/>
        <v>0.5746</v>
      </c>
      <c r="BV759" s="59">
        <v>5.3499999999999999E-2</v>
      </c>
      <c r="BW759" s="59">
        <v>4.2000000000000003E-2</v>
      </c>
      <c r="BX759" s="59">
        <v>2.6700000000000002E-2</v>
      </c>
      <c r="BY759" s="59">
        <v>0</v>
      </c>
      <c r="BZ759" s="59">
        <v>0</v>
      </c>
      <c r="CA759" s="49">
        <v>22.5</v>
      </c>
      <c r="CB759" s="59">
        <f t="shared" si="57"/>
        <v>0.1222</v>
      </c>
      <c r="CC759" s="59">
        <v>0.2727</v>
      </c>
      <c r="CD759" s="59">
        <v>0.51349999999999996</v>
      </c>
      <c r="CE759" s="59">
        <v>0.18709999999999999</v>
      </c>
      <c r="CF759" s="59">
        <v>0</v>
      </c>
      <c r="CG759" s="59">
        <v>2.6700000000000002E-2</v>
      </c>
      <c r="CH759" s="49">
        <v>15.9</v>
      </c>
      <c r="CI759" s="25" t="s">
        <v>225</v>
      </c>
      <c r="CJ759" s="18" t="s">
        <v>489</v>
      </c>
      <c r="CK759" s="20"/>
    </row>
    <row r="760" spans="1:99" x14ac:dyDescent="0.25">
      <c r="A760" s="18" t="s">
        <v>489</v>
      </c>
      <c r="B760" s="19" t="s">
        <v>219</v>
      </c>
      <c r="C760" s="25" t="s">
        <v>226</v>
      </c>
      <c r="D760" s="6">
        <v>1</v>
      </c>
      <c r="E760" s="6">
        <v>0</v>
      </c>
      <c r="F760" s="6">
        <v>1</v>
      </c>
      <c r="G760" s="163">
        <v>0</v>
      </c>
      <c r="H760" s="163">
        <v>0</v>
      </c>
      <c r="I760" s="162" t="s">
        <v>83</v>
      </c>
      <c r="J760" s="163">
        <v>0</v>
      </c>
      <c r="K760" s="163">
        <v>0</v>
      </c>
      <c r="L760" s="163">
        <v>0</v>
      </c>
      <c r="M760" s="163">
        <v>1</v>
      </c>
      <c r="N760" s="115">
        <v>1.44300144300144E-3</v>
      </c>
      <c r="O760" s="115">
        <v>2.23713646532438E-3</v>
      </c>
      <c r="P760" s="115">
        <v>0</v>
      </c>
      <c r="Q760" s="115">
        <v>0</v>
      </c>
      <c r="R760" s="116" t="s">
        <v>83</v>
      </c>
      <c r="S760" s="115">
        <v>0</v>
      </c>
      <c r="T760" s="115">
        <v>0</v>
      </c>
      <c r="U760" s="115">
        <v>0</v>
      </c>
      <c r="V760" s="115">
        <v>8.6956521739130401E-3</v>
      </c>
      <c r="W760" s="6">
        <v>810</v>
      </c>
      <c r="X760" s="40">
        <f t="shared" si="54"/>
        <v>445</v>
      </c>
      <c r="Y760" s="40">
        <f t="shared" si="55"/>
        <v>686</v>
      </c>
      <c r="Z760" s="59">
        <v>0.56540000000000001</v>
      </c>
      <c r="AA760" s="59">
        <v>0.43459999999999999</v>
      </c>
      <c r="AB760" s="61">
        <v>2.4691358024691358E-3</v>
      </c>
      <c r="AC760" s="61">
        <v>0.17654320987654321</v>
      </c>
      <c r="AD760" s="61">
        <v>6.4197530864197536E-2</v>
      </c>
      <c r="AE760" s="61">
        <v>0.12345679012345678</v>
      </c>
      <c r="AF760" s="61">
        <v>4.9382716049382715E-3</v>
      </c>
      <c r="AG760" s="61">
        <v>0.59629629629629632</v>
      </c>
      <c r="AH760" s="61">
        <v>3.2098765432098768E-2</v>
      </c>
      <c r="AI760" s="61">
        <v>0.40370370370370373</v>
      </c>
      <c r="AJ760" s="59">
        <v>0.311</v>
      </c>
      <c r="AK760" s="59">
        <v>1.1999999999999999E-3</v>
      </c>
      <c r="AL760" s="3">
        <v>122</v>
      </c>
      <c r="AM760" s="3">
        <v>119</v>
      </c>
      <c r="AN760" s="3">
        <v>0</v>
      </c>
      <c r="AO760" s="3">
        <v>122</v>
      </c>
      <c r="AP760" s="3">
        <v>118</v>
      </c>
      <c r="AQ760" s="3">
        <v>90</v>
      </c>
      <c r="AR760" s="3">
        <v>115</v>
      </c>
      <c r="AS760" s="59">
        <v>0</v>
      </c>
      <c r="AT760" s="3">
        <v>6</v>
      </c>
      <c r="AU760" s="3">
        <v>7</v>
      </c>
      <c r="AV760" s="49">
        <v>55.737704918032804</v>
      </c>
      <c r="AW760" s="49">
        <v>22.131147540983601</v>
      </c>
      <c r="AX760" s="49">
        <v>21.584699453551899</v>
      </c>
      <c r="AY760" s="67">
        <v>0.54644808743169404</v>
      </c>
      <c r="AZ760" s="62">
        <v>2.4479804161566709E-2</v>
      </c>
      <c r="BA760" s="62">
        <v>6.1199510403916772E-3</v>
      </c>
      <c r="BB760" s="77">
        <v>97.109786926688301</v>
      </c>
      <c r="BC760" s="49">
        <v>0.61199510403916801</v>
      </c>
      <c r="BD760" s="87">
        <v>0</v>
      </c>
      <c r="BE760" s="87">
        <v>0</v>
      </c>
      <c r="BF760" s="87">
        <v>0.8</v>
      </c>
      <c r="BG760" s="87">
        <v>0</v>
      </c>
      <c r="BH760" s="87">
        <v>0</v>
      </c>
      <c r="BI760" s="87">
        <v>0</v>
      </c>
      <c r="BJ760" s="49">
        <v>29.9</v>
      </c>
      <c r="BK760" s="126">
        <v>9694</v>
      </c>
      <c r="BL760" s="126">
        <v>52864</v>
      </c>
      <c r="BM760" s="126">
        <v>54728</v>
      </c>
      <c r="BN760" s="126">
        <v>48760</v>
      </c>
      <c r="BO760" s="59">
        <v>0</v>
      </c>
      <c r="BP760" s="59">
        <v>0.34760000000000002</v>
      </c>
      <c r="BQ760" s="59">
        <v>0.35709999999999997</v>
      </c>
      <c r="BR760" s="59">
        <v>0</v>
      </c>
      <c r="BS760" s="59">
        <v>1.46E-2</v>
      </c>
      <c r="BT760" s="49">
        <v>18.7</v>
      </c>
      <c r="BU760" s="59">
        <f t="shared" si="56"/>
        <v>0.71929999999999994</v>
      </c>
      <c r="BV760" s="59">
        <v>4.3700000000000003E-2</v>
      </c>
      <c r="BW760" s="59">
        <v>1.46E-2</v>
      </c>
      <c r="BX760" s="59">
        <v>4.3700000000000003E-2</v>
      </c>
      <c r="BY760" s="59">
        <v>0</v>
      </c>
      <c r="BZ760" s="59">
        <v>0</v>
      </c>
      <c r="CA760" s="49">
        <v>20</v>
      </c>
      <c r="CB760" s="59">
        <f t="shared" si="57"/>
        <v>0.10200000000000001</v>
      </c>
      <c r="CC760" s="59">
        <v>0.1787</v>
      </c>
      <c r="CD760" s="59">
        <v>0.37669999999999998</v>
      </c>
      <c r="CE760" s="59">
        <v>0.43</v>
      </c>
      <c r="CF760" s="59">
        <v>0</v>
      </c>
      <c r="CG760" s="59">
        <v>1.46E-2</v>
      </c>
      <c r="CH760" s="49">
        <v>18.600000000000001</v>
      </c>
      <c r="CI760" s="25" t="s">
        <v>226</v>
      </c>
      <c r="CJ760" s="18" t="s">
        <v>489</v>
      </c>
      <c r="CK760" s="20"/>
    </row>
    <row r="761" spans="1:99" x14ac:dyDescent="0.25">
      <c r="A761" s="18" t="s">
        <v>489</v>
      </c>
      <c r="B761" s="19" t="s">
        <v>219</v>
      </c>
      <c r="C761" s="25" t="s">
        <v>227</v>
      </c>
      <c r="D761" s="6">
        <v>83</v>
      </c>
      <c r="E761" s="40" t="s">
        <v>83</v>
      </c>
      <c r="F761" s="6">
        <v>83</v>
      </c>
      <c r="G761" s="162" t="s">
        <v>83</v>
      </c>
      <c r="H761" s="162" t="s">
        <v>83</v>
      </c>
      <c r="I761" s="163">
        <v>0</v>
      </c>
      <c r="J761" s="163">
        <v>22</v>
      </c>
      <c r="K761" s="163">
        <v>22</v>
      </c>
      <c r="L761" s="163">
        <v>21</v>
      </c>
      <c r="M761" s="163">
        <v>18</v>
      </c>
      <c r="N761" s="115">
        <v>5.3341902313624699E-2</v>
      </c>
      <c r="O761" s="115">
        <v>5.3341902313624699E-2</v>
      </c>
      <c r="P761" s="116" t="s">
        <v>83</v>
      </c>
      <c r="Q761" s="116" t="s">
        <v>83</v>
      </c>
      <c r="R761" s="115">
        <v>0</v>
      </c>
      <c r="S761" s="115">
        <v>5.4320987654321001E-2</v>
      </c>
      <c r="T761" s="115">
        <v>6.1452513966480403E-2</v>
      </c>
      <c r="U761" s="115">
        <v>5.5118110236220499E-2</v>
      </c>
      <c r="V761" s="115">
        <v>5.7692307692307702E-2</v>
      </c>
      <c r="W761" s="6">
        <v>1380</v>
      </c>
      <c r="X761" s="40">
        <f t="shared" si="54"/>
        <v>1380</v>
      </c>
      <c r="Y761" s="40">
        <f t="shared" si="55"/>
        <v>1380</v>
      </c>
      <c r="Z761" s="59">
        <v>0.49780000000000002</v>
      </c>
      <c r="AA761" s="59">
        <v>0.50219999999999998</v>
      </c>
      <c r="AB761" s="61">
        <v>6.5217391304347823E-3</v>
      </c>
      <c r="AC761" s="61">
        <v>5.0724637681159424E-2</v>
      </c>
      <c r="AD761" s="61">
        <v>0.59202898550724636</v>
      </c>
      <c r="AE761" s="61">
        <v>0.14855072463768115</v>
      </c>
      <c r="AF761" s="61">
        <v>2.1739130434782609E-3</v>
      </c>
      <c r="AG761" s="61">
        <v>0.18043478260869567</v>
      </c>
      <c r="AH761" s="61">
        <v>1.9565217391304349E-2</v>
      </c>
      <c r="AI761" s="61">
        <v>0.81956521739130439</v>
      </c>
      <c r="AJ761" s="59">
        <v>0.82499999999999996</v>
      </c>
      <c r="AK761" s="59">
        <v>8.6999999999999994E-2</v>
      </c>
      <c r="AL761" s="3">
        <v>0</v>
      </c>
      <c r="AM761" s="3">
        <v>0</v>
      </c>
      <c r="AN761" s="3">
        <v>87</v>
      </c>
      <c r="AO761" s="3">
        <v>330</v>
      </c>
      <c r="AP761" s="3">
        <v>321</v>
      </c>
      <c r="AQ761" s="3">
        <v>341</v>
      </c>
      <c r="AR761" s="3">
        <v>301</v>
      </c>
      <c r="AS761" s="59">
        <v>0.20863309352517986</v>
      </c>
      <c r="AT761" s="3">
        <v>9</v>
      </c>
      <c r="AU761" s="3">
        <v>6</v>
      </c>
      <c r="AV761" s="49">
        <v>36.935166994106098</v>
      </c>
      <c r="AW761" s="49">
        <v>13.163064833005899</v>
      </c>
      <c r="AX761" s="49">
        <v>32.220039292730803</v>
      </c>
      <c r="AY761" s="67">
        <v>17.681728880157198</v>
      </c>
      <c r="AZ761" s="62">
        <v>0.19331585845347313</v>
      </c>
      <c r="BA761" s="62">
        <v>0.32372214941022281</v>
      </c>
      <c r="BB761" s="78">
        <v>88.950139764675299</v>
      </c>
      <c r="BC761" s="49">
        <v>65.322580645161295</v>
      </c>
      <c r="BD761" s="90" t="s">
        <v>83</v>
      </c>
      <c r="BE761" s="90" t="s">
        <v>83</v>
      </c>
      <c r="BF761" s="87">
        <v>13.6</v>
      </c>
      <c r="BG761" s="87">
        <v>11.3</v>
      </c>
      <c r="BH761" s="87">
        <v>12.1</v>
      </c>
      <c r="BI761" s="87">
        <v>5.0999999999999996</v>
      </c>
      <c r="BJ761" s="49">
        <v>17.3</v>
      </c>
      <c r="BK761" s="126">
        <v>10437</v>
      </c>
      <c r="BL761" s="126">
        <v>44955</v>
      </c>
      <c r="BM761" s="126">
        <v>52603</v>
      </c>
      <c r="BN761" s="126">
        <v>40707</v>
      </c>
      <c r="BO761" s="59">
        <v>0</v>
      </c>
      <c r="BP761" s="59">
        <v>0.3543</v>
      </c>
      <c r="BQ761" s="59">
        <v>0.21129999999999999</v>
      </c>
      <c r="BR761" s="59">
        <v>7.3000000000000001E-3</v>
      </c>
      <c r="BS761" s="59">
        <v>0</v>
      </c>
      <c r="BT761" s="49">
        <v>13.3</v>
      </c>
      <c r="BU761" s="59">
        <f t="shared" si="56"/>
        <v>0.57289999999999996</v>
      </c>
      <c r="BV761" s="59">
        <v>2.18E-2</v>
      </c>
      <c r="BW761" s="59">
        <v>1.4500000000000001E-2</v>
      </c>
      <c r="BX761" s="59">
        <v>6.0499999999999998E-2</v>
      </c>
      <c r="BY761" s="59">
        <v>0</v>
      </c>
      <c r="BZ761" s="59">
        <v>0</v>
      </c>
      <c r="CA761" s="49">
        <v>16.899999999999999</v>
      </c>
      <c r="CB761" s="59">
        <f t="shared" si="57"/>
        <v>9.6799999999999997E-2</v>
      </c>
      <c r="CC761" s="59">
        <v>0.24660000000000001</v>
      </c>
      <c r="CD761" s="59">
        <v>0.41980000000000001</v>
      </c>
      <c r="CE761" s="59">
        <v>0.30449999999999999</v>
      </c>
      <c r="CF761" s="59">
        <v>2.9100000000000001E-2</v>
      </c>
      <c r="CG761" s="59">
        <v>0</v>
      </c>
      <c r="CH761" s="49">
        <v>13.6</v>
      </c>
      <c r="CI761" s="25" t="s">
        <v>227</v>
      </c>
      <c r="CJ761" s="18" t="s">
        <v>489</v>
      </c>
      <c r="CK761" s="20"/>
    </row>
    <row r="762" spans="1:99" x14ac:dyDescent="0.25">
      <c r="A762" s="18" t="s">
        <v>489</v>
      </c>
      <c r="B762" s="19" t="s">
        <v>219</v>
      </c>
      <c r="C762" s="25" t="s">
        <v>228</v>
      </c>
      <c r="D762" s="6">
        <v>122</v>
      </c>
      <c r="E762" s="40" t="s">
        <v>83</v>
      </c>
      <c r="F762" s="6">
        <v>122</v>
      </c>
      <c r="G762" s="162" t="s">
        <v>83</v>
      </c>
      <c r="H762" s="162" t="s">
        <v>83</v>
      </c>
      <c r="I762" s="163">
        <v>10</v>
      </c>
      <c r="J762" s="163">
        <v>38</v>
      </c>
      <c r="K762" s="163">
        <v>36</v>
      </c>
      <c r="L762" s="163">
        <v>26</v>
      </c>
      <c r="M762" s="163">
        <v>12</v>
      </c>
      <c r="N762" s="115">
        <v>7.3627036813518398E-2</v>
      </c>
      <c r="O762" s="115">
        <v>7.3627036813518398E-2</v>
      </c>
      <c r="P762" s="116" t="s">
        <v>83</v>
      </c>
      <c r="Q762" s="116" t="s">
        <v>83</v>
      </c>
      <c r="R762" s="115">
        <v>9.00900900900901E-2</v>
      </c>
      <c r="S762" s="115">
        <v>8.2788671023965102E-2</v>
      </c>
      <c r="T762" s="115">
        <v>8.7804878048780496E-2</v>
      </c>
      <c r="U762" s="115">
        <v>6.8062827225130906E-2</v>
      </c>
      <c r="V762" s="115">
        <v>4.0677966101694898E-2</v>
      </c>
      <c r="W762" s="6">
        <v>1413</v>
      </c>
      <c r="X762" s="40">
        <f t="shared" si="54"/>
        <v>1413</v>
      </c>
      <c r="Y762" s="40">
        <f t="shared" si="55"/>
        <v>1413</v>
      </c>
      <c r="Z762" s="59">
        <v>0.48270000000000002</v>
      </c>
      <c r="AA762" s="59">
        <v>0.51729999999999998</v>
      </c>
      <c r="AB762" s="61">
        <v>7.0771408351026188E-4</v>
      </c>
      <c r="AC762" s="61">
        <v>6.5109695682944085E-2</v>
      </c>
      <c r="AD762" s="61">
        <v>0.20523708421797593</v>
      </c>
      <c r="AE762" s="61">
        <v>0.48407643312101911</v>
      </c>
      <c r="AF762" s="61">
        <v>5.661712668082095E-3</v>
      </c>
      <c r="AG762" s="61">
        <v>0.22505307855626328</v>
      </c>
      <c r="AH762" s="61">
        <v>1.4154281670205236E-2</v>
      </c>
      <c r="AI762" s="61">
        <v>0.77494692144373678</v>
      </c>
      <c r="AJ762" s="59">
        <v>0.76100000000000001</v>
      </c>
      <c r="AK762" s="59">
        <v>0.31559999999999999</v>
      </c>
      <c r="AL762" s="3">
        <v>0</v>
      </c>
      <c r="AM762" s="3">
        <v>0</v>
      </c>
      <c r="AN762" s="3">
        <v>24</v>
      </c>
      <c r="AO762" s="3">
        <v>417</v>
      </c>
      <c r="AP762" s="3">
        <v>349</v>
      </c>
      <c r="AQ762" s="3">
        <v>362</v>
      </c>
      <c r="AR762" s="3">
        <v>261</v>
      </c>
      <c r="AS762" s="59">
        <v>5.4421768707482991E-2</v>
      </c>
      <c r="AT762" s="3">
        <v>9</v>
      </c>
      <c r="AU762" s="3">
        <v>6</v>
      </c>
      <c r="AV762" s="49">
        <v>43.906510851419</v>
      </c>
      <c r="AW762" s="49">
        <v>20.868113522537602</v>
      </c>
      <c r="AX762" s="49">
        <v>29.549248747913197</v>
      </c>
      <c r="AY762" s="67">
        <v>5.6761268781302201</v>
      </c>
      <c r="AZ762" s="62">
        <v>0.16047087980173483</v>
      </c>
      <c r="BA762" s="62">
        <v>7.434944237918216E-2</v>
      </c>
      <c r="BB762" s="77">
        <v>90.040457697322793</v>
      </c>
      <c r="BC762" s="49">
        <v>65.770171149144204</v>
      </c>
      <c r="BD762" s="90" t="s">
        <v>83</v>
      </c>
      <c r="BE762" s="90" t="s">
        <v>83</v>
      </c>
      <c r="BF762" s="87">
        <v>13.9</v>
      </c>
      <c r="BG762" s="87">
        <v>3.4</v>
      </c>
      <c r="BH762" s="87">
        <v>9.1</v>
      </c>
      <c r="BI762" s="87">
        <v>0.4</v>
      </c>
      <c r="BJ762" s="49">
        <v>18.8</v>
      </c>
      <c r="BK762" s="126">
        <v>10437</v>
      </c>
      <c r="BL762" s="126">
        <v>45916</v>
      </c>
      <c r="BM762" s="126">
        <v>49423</v>
      </c>
      <c r="BN762" s="126">
        <v>39270</v>
      </c>
      <c r="BO762" s="59">
        <v>0</v>
      </c>
      <c r="BP762" s="59">
        <v>0.36120000000000002</v>
      </c>
      <c r="BQ762" s="59">
        <v>0.1961</v>
      </c>
      <c r="BR762" s="59">
        <v>0</v>
      </c>
      <c r="BS762" s="59">
        <v>8.3000000000000001E-3</v>
      </c>
      <c r="BT762" s="49">
        <v>8.8000000000000007</v>
      </c>
      <c r="BU762" s="59">
        <f t="shared" si="56"/>
        <v>0.56559999999999999</v>
      </c>
      <c r="BV762" s="59">
        <v>2.9899999999999999E-2</v>
      </c>
      <c r="BW762" s="59">
        <v>0</v>
      </c>
      <c r="BX762" s="59">
        <v>3.5799999999999998E-2</v>
      </c>
      <c r="BY762" s="59">
        <v>0</v>
      </c>
      <c r="BZ762" s="59">
        <v>6.7000000000000002E-3</v>
      </c>
      <c r="CA762" s="49">
        <v>14</v>
      </c>
      <c r="CB762" s="59">
        <f t="shared" si="57"/>
        <v>7.2399999999999992E-2</v>
      </c>
      <c r="CC762" s="59">
        <v>0.29260000000000003</v>
      </c>
      <c r="CD762" s="59">
        <v>0.40720000000000001</v>
      </c>
      <c r="CE762" s="59">
        <v>0.2853</v>
      </c>
      <c r="CF762" s="59">
        <v>0</v>
      </c>
      <c r="CG762" s="59">
        <v>1.49E-2</v>
      </c>
      <c r="CH762" s="49">
        <v>10</v>
      </c>
      <c r="CI762" s="25" t="s">
        <v>228</v>
      </c>
      <c r="CJ762" s="18" t="s">
        <v>489</v>
      </c>
      <c r="CK762" s="20"/>
    </row>
    <row r="763" spans="1:99" x14ac:dyDescent="0.25">
      <c r="A763" s="18" t="s">
        <v>489</v>
      </c>
      <c r="B763" s="19" t="s">
        <v>219</v>
      </c>
      <c r="C763" s="25" t="s">
        <v>229</v>
      </c>
      <c r="D763" s="6">
        <v>44</v>
      </c>
      <c r="E763" s="40" t="s">
        <v>83</v>
      </c>
      <c r="F763" s="6">
        <v>44</v>
      </c>
      <c r="G763" s="162" t="s">
        <v>83</v>
      </c>
      <c r="H763" s="162" t="s">
        <v>83</v>
      </c>
      <c r="I763" s="163">
        <v>2</v>
      </c>
      <c r="J763" s="163">
        <v>23</v>
      </c>
      <c r="K763" s="163">
        <v>8</v>
      </c>
      <c r="L763" s="163">
        <v>4</v>
      </c>
      <c r="M763" s="163">
        <v>7</v>
      </c>
      <c r="N763" s="115">
        <v>3.5541195476575103E-2</v>
      </c>
      <c r="O763" s="115">
        <v>3.5541195476575103E-2</v>
      </c>
      <c r="P763" s="116" t="s">
        <v>83</v>
      </c>
      <c r="Q763" s="116" t="s">
        <v>83</v>
      </c>
      <c r="R763" s="115">
        <v>4.8780487804878099E-2</v>
      </c>
      <c r="S763" s="115">
        <v>5.7500000000000002E-2</v>
      </c>
      <c r="T763" s="115">
        <v>2.96296296296296E-2</v>
      </c>
      <c r="U763" s="115">
        <v>1.4035087719298201E-2</v>
      </c>
      <c r="V763" s="115">
        <v>2.89256198347107E-2</v>
      </c>
      <c r="W763" s="6">
        <v>1139</v>
      </c>
      <c r="X763" s="40">
        <f t="shared" si="54"/>
        <v>1139</v>
      </c>
      <c r="Y763" s="40">
        <f t="shared" si="55"/>
        <v>1139</v>
      </c>
      <c r="Z763" s="59">
        <v>0.51359999999999995</v>
      </c>
      <c r="AA763" s="59">
        <v>0.4864</v>
      </c>
      <c r="AB763" s="61">
        <v>6.145741878841089E-3</v>
      </c>
      <c r="AC763" s="61">
        <v>3.2484635645302899E-2</v>
      </c>
      <c r="AD763" s="61">
        <v>0.32835820895522388</v>
      </c>
      <c r="AE763" s="61">
        <v>0.23705004389815629</v>
      </c>
      <c r="AF763" s="61">
        <v>3.5118525021949078E-3</v>
      </c>
      <c r="AG763" s="61">
        <v>0.37050043898156276</v>
      </c>
      <c r="AH763" s="61">
        <v>2.1949078138718173E-2</v>
      </c>
      <c r="AI763" s="61">
        <v>0.62949956101843718</v>
      </c>
      <c r="AJ763" s="59">
        <v>0.69399999999999995</v>
      </c>
      <c r="AK763" s="59">
        <v>7.2900000000000006E-2</v>
      </c>
      <c r="AL763" s="3">
        <v>0</v>
      </c>
      <c r="AM763" s="3">
        <v>0</v>
      </c>
      <c r="AN763" s="3">
        <v>13</v>
      </c>
      <c r="AO763" s="3">
        <v>378</v>
      </c>
      <c r="AP763" s="3">
        <v>257</v>
      </c>
      <c r="AQ763" s="3">
        <v>269</v>
      </c>
      <c r="AR763" s="3">
        <v>222</v>
      </c>
      <c r="AS763" s="59">
        <v>3.3248081841432228E-2</v>
      </c>
      <c r="AT763" s="3">
        <v>9</v>
      </c>
      <c r="AU763" s="3">
        <v>6</v>
      </c>
      <c r="AV763" s="49">
        <v>37.214611872146094</v>
      </c>
      <c r="AW763" s="49">
        <v>20.776255707762601</v>
      </c>
      <c r="AX763" s="49">
        <v>38.127853881278497</v>
      </c>
      <c r="AY763" s="67">
        <v>3.8812785388127899</v>
      </c>
      <c r="AZ763" s="62">
        <v>0.27049180327868855</v>
      </c>
      <c r="BA763" s="62">
        <v>0.13688524590163934</v>
      </c>
      <c r="BB763" s="78">
        <v>92.473220993605096</v>
      </c>
      <c r="BC763" s="49">
        <v>14.660114660114701</v>
      </c>
      <c r="BD763" s="90" t="s">
        <v>83</v>
      </c>
      <c r="BE763" s="90" t="s">
        <v>83</v>
      </c>
      <c r="BF763" s="87">
        <v>5.5</v>
      </c>
      <c r="BG763" s="87">
        <v>1.7</v>
      </c>
      <c r="BH763" s="87">
        <v>2</v>
      </c>
      <c r="BI763" s="87">
        <v>5</v>
      </c>
      <c r="BJ763" s="49">
        <v>19.399999999999999</v>
      </c>
      <c r="BK763" s="126">
        <v>9966</v>
      </c>
      <c r="BL763" s="126">
        <v>48402</v>
      </c>
      <c r="BM763" s="126">
        <v>48174</v>
      </c>
      <c r="BN763" s="126">
        <v>41347</v>
      </c>
      <c r="BO763" s="59">
        <v>0</v>
      </c>
      <c r="BP763" s="59">
        <v>0.43330000000000002</v>
      </c>
      <c r="BQ763" s="59">
        <v>0.12509999999999999</v>
      </c>
      <c r="BR763" s="59">
        <v>9.1000000000000004E-3</v>
      </c>
      <c r="BS763" s="59">
        <v>4.4999999999999997E-3</v>
      </c>
      <c r="BT763" s="49">
        <v>11.1</v>
      </c>
      <c r="BU763" s="59">
        <f t="shared" si="56"/>
        <v>0.57199999999999995</v>
      </c>
      <c r="BV763" s="59">
        <v>4.2000000000000003E-2</v>
      </c>
      <c r="BW763" s="59">
        <v>0</v>
      </c>
      <c r="BX763" s="59">
        <v>5.5800000000000002E-2</v>
      </c>
      <c r="BY763" s="59">
        <v>0</v>
      </c>
      <c r="BZ763" s="59">
        <v>0</v>
      </c>
      <c r="CA763" s="49">
        <v>8.9</v>
      </c>
      <c r="CB763" s="59">
        <f t="shared" si="57"/>
        <v>9.7799999999999998E-2</v>
      </c>
      <c r="CC763" s="59">
        <v>0.26860000000000001</v>
      </c>
      <c r="CD763" s="59">
        <v>0.46899999999999997</v>
      </c>
      <c r="CE763" s="59">
        <v>0.23069999999999999</v>
      </c>
      <c r="CF763" s="59">
        <v>2.7199999999999998E-2</v>
      </c>
      <c r="CG763" s="59">
        <v>4.4999999999999997E-3</v>
      </c>
      <c r="CH763" s="49">
        <v>11.2</v>
      </c>
      <c r="CI763" s="25" t="s">
        <v>229</v>
      </c>
      <c r="CJ763" s="18" t="s">
        <v>489</v>
      </c>
      <c r="CK763" s="20"/>
    </row>
    <row r="764" spans="1:99" x14ac:dyDescent="0.25">
      <c r="A764" s="18" t="s">
        <v>489</v>
      </c>
      <c r="B764" s="19" t="s">
        <v>219</v>
      </c>
      <c r="C764" s="25" t="s">
        <v>230</v>
      </c>
      <c r="D764" s="6">
        <v>122</v>
      </c>
      <c r="E764" s="40" t="s">
        <v>83</v>
      </c>
      <c r="F764" s="6">
        <v>122</v>
      </c>
      <c r="G764" s="162" t="s">
        <v>83</v>
      </c>
      <c r="H764" s="162" t="s">
        <v>83</v>
      </c>
      <c r="I764" s="163">
        <v>1</v>
      </c>
      <c r="J764" s="163">
        <v>30</v>
      </c>
      <c r="K764" s="163">
        <v>36</v>
      </c>
      <c r="L764" s="163">
        <v>31</v>
      </c>
      <c r="M764" s="163">
        <v>24</v>
      </c>
      <c r="N764" s="115">
        <v>7.4164133738601798E-2</v>
      </c>
      <c r="O764" s="115">
        <v>7.4164133738601798E-2</v>
      </c>
      <c r="P764" s="116" t="s">
        <v>83</v>
      </c>
      <c r="Q764" s="116" t="s">
        <v>83</v>
      </c>
      <c r="R764" s="115">
        <v>4.3478260869565202E-2</v>
      </c>
      <c r="S764" s="115">
        <v>5.8708414872798403E-2</v>
      </c>
      <c r="T764" s="115">
        <v>8.2004555808655996E-2</v>
      </c>
      <c r="U764" s="115">
        <v>8.4699453551912607E-2</v>
      </c>
      <c r="V764" s="115">
        <v>7.8431372549019607E-2</v>
      </c>
      <c r="W764" s="6">
        <v>1387</v>
      </c>
      <c r="X764" s="40">
        <f t="shared" si="54"/>
        <v>1387</v>
      </c>
      <c r="Y764" s="40">
        <f t="shared" si="55"/>
        <v>1387</v>
      </c>
      <c r="Z764" s="59">
        <v>0.47799999999999998</v>
      </c>
      <c r="AA764" s="59">
        <v>0.52200000000000002</v>
      </c>
      <c r="AB764" s="61">
        <v>1.4419610670511895E-3</v>
      </c>
      <c r="AC764" s="61">
        <v>2.7397260273972601E-2</v>
      </c>
      <c r="AD764" s="61">
        <v>0.53208363374188894</v>
      </c>
      <c r="AE764" s="61">
        <v>0.30857966834895456</v>
      </c>
      <c r="AF764" s="61">
        <v>2.1629416005767843E-3</v>
      </c>
      <c r="AG764" s="61">
        <v>0.11463590483056957</v>
      </c>
      <c r="AH764" s="61">
        <v>1.3698630136986301E-2</v>
      </c>
      <c r="AI764" s="61">
        <v>0.88536409516943038</v>
      </c>
      <c r="AJ764" s="59">
        <v>0.88300000000000001</v>
      </c>
      <c r="AK764" s="59">
        <v>0.22489999999999999</v>
      </c>
      <c r="AL764" s="3">
        <v>0</v>
      </c>
      <c r="AM764" s="3">
        <v>0</v>
      </c>
      <c r="AN764" s="3">
        <v>20</v>
      </c>
      <c r="AO764" s="3">
        <v>404</v>
      </c>
      <c r="AP764" s="3">
        <v>370</v>
      </c>
      <c r="AQ764" s="3">
        <v>323</v>
      </c>
      <c r="AR764" s="3">
        <v>270</v>
      </c>
      <c r="AS764" s="59">
        <v>4.716981132075472E-2</v>
      </c>
      <c r="AT764" s="3">
        <v>9</v>
      </c>
      <c r="AU764" s="3">
        <v>6</v>
      </c>
      <c r="AV764" s="49">
        <v>40.816326530612201</v>
      </c>
      <c r="AW764" s="49">
        <v>14.471243042671599</v>
      </c>
      <c r="AX764" s="49">
        <v>29.870129870129901</v>
      </c>
      <c r="AY764" s="67">
        <v>14.842300556586299</v>
      </c>
      <c r="AZ764" s="62">
        <v>0.21059268600252207</v>
      </c>
      <c r="BA764" s="62">
        <v>0.16897856242118536</v>
      </c>
      <c r="BB764" s="77">
        <v>85.483487558942102</v>
      </c>
      <c r="BC764" s="49">
        <v>80.3461063040791</v>
      </c>
      <c r="BD764" s="90" t="s">
        <v>83</v>
      </c>
      <c r="BE764" s="90" t="s">
        <v>83</v>
      </c>
      <c r="BF764" s="87">
        <v>12.2</v>
      </c>
      <c r="BG764" s="87">
        <v>5.4</v>
      </c>
      <c r="BH764" s="87">
        <v>8.3000000000000007</v>
      </c>
      <c r="BI764" s="87">
        <v>2.6</v>
      </c>
      <c r="BJ764" s="49">
        <v>16.7</v>
      </c>
      <c r="BK764" s="126">
        <v>10258</v>
      </c>
      <c r="BL764" s="126">
        <v>46652</v>
      </c>
      <c r="BM764" s="126">
        <v>47047</v>
      </c>
      <c r="BN764" s="126">
        <v>41538</v>
      </c>
      <c r="BO764" s="59">
        <v>7.1000000000000004E-3</v>
      </c>
      <c r="BP764" s="59">
        <v>0.34639999999999999</v>
      </c>
      <c r="BQ764" s="59">
        <v>0.24030000000000001</v>
      </c>
      <c r="BR764" s="59">
        <v>0</v>
      </c>
      <c r="BS764" s="59">
        <v>0</v>
      </c>
      <c r="BT764" s="49">
        <v>11.4</v>
      </c>
      <c r="BU764" s="59">
        <f t="shared" si="56"/>
        <v>0.59379999999999999</v>
      </c>
      <c r="BV764" s="59">
        <v>3.4799999999999998E-2</v>
      </c>
      <c r="BW764" s="59">
        <v>7.1000000000000004E-3</v>
      </c>
      <c r="BX764" s="59">
        <v>5.2200000000000003E-2</v>
      </c>
      <c r="BY764" s="59">
        <v>0</v>
      </c>
      <c r="BZ764" s="59">
        <v>0</v>
      </c>
      <c r="CA764" s="49">
        <v>9.6999999999999993</v>
      </c>
      <c r="CB764" s="59">
        <f t="shared" si="57"/>
        <v>9.4100000000000003E-2</v>
      </c>
      <c r="CC764" s="59">
        <v>0.2452</v>
      </c>
      <c r="CD764" s="59">
        <v>0.40200000000000002</v>
      </c>
      <c r="CE764" s="59">
        <v>0.33860000000000001</v>
      </c>
      <c r="CF764" s="59">
        <v>1.4200000000000001E-2</v>
      </c>
      <c r="CG764" s="59">
        <v>0</v>
      </c>
      <c r="CH764" s="49">
        <v>11.1</v>
      </c>
      <c r="CI764" s="25" t="s">
        <v>230</v>
      </c>
      <c r="CJ764" s="18" t="s">
        <v>489</v>
      </c>
      <c r="CK764" s="20"/>
    </row>
    <row r="765" spans="1:99" x14ac:dyDescent="0.25">
      <c r="A765" s="18" t="s">
        <v>489</v>
      </c>
      <c r="B765" s="19" t="s">
        <v>219</v>
      </c>
      <c r="C765" s="25" t="s">
        <v>231</v>
      </c>
      <c r="D765" s="6">
        <v>0</v>
      </c>
      <c r="E765" s="6">
        <v>0</v>
      </c>
      <c r="F765" s="6">
        <v>0</v>
      </c>
      <c r="G765" s="163">
        <v>0</v>
      </c>
      <c r="H765" s="163">
        <v>0</v>
      </c>
      <c r="I765" s="162" t="s">
        <v>83</v>
      </c>
      <c r="J765" s="163">
        <v>0</v>
      </c>
      <c r="K765" s="163">
        <v>0</v>
      </c>
      <c r="L765" s="163">
        <v>0</v>
      </c>
      <c r="M765" s="163">
        <v>0</v>
      </c>
      <c r="N765" s="115">
        <v>0</v>
      </c>
      <c r="O765" s="115">
        <v>0</v>
      </c>
      <c r="P765" s="115">
        <v>0</v>
      </c>
      <c r="Q765" s="115">
        <v>0</v>
      </c>
      <c r="R765" s="116" t="s">
        <v>83</v>
      </c>
      <c r="S765" s="115">
        <v>0</v>
      </c>
      <c r="T765" s="115">
        <v>0</v>
      </c>
      <c r="U765" s="115">
        <v>0</v>
      </c>
      <c r="V765" s="115">
        <v>0</v>
      </c>
      <c r="W765" s="6">
        <v>595</v>
      </c>
      <c r="X765" s="40">
        <f t="shared" si="54"/>
        <v>273</v>
      </c>
      <c r="Y765" s="40">
        <f t="shared" si="55"/>
        <v>504</v>
      </c>
      <c r="Z765" s="59">
        <v>0.46389999999999998</v>
      </c>
      <c r="AA765" s="59">
        <v>0.53610000000000002</v>
      </c>
      <c r="AB765" s="61">
        <v>1.6806722689075631E-3</v>
      </c>
      <c r="AC765" s="61">
        <v>0.12941176470588237</v>
      </c>
      <c r="AD765" s="61">
        <v>0.18823529411764706</v>
      </c>
      <c r="AE765" s="61">
        <v>0.13613445378151259</v>
      </c>
      <c r="AF765" s="61">
        <v>0</v>
      </c>
      <c r="AG765" s="61">
        <v>0.52100840336134457</v>
      </c>
      <c r="AH765" s="61">
        <v>2.3529411764705882E-2</v>
      </c>
      <c r="AI765" s="61">
        <v>0.47899159663865548</v>
      </c>
      <c r="AJ765" s="59">
        <v>0.376</v>
      </c>
      <c r="AK765" s="59">
        <v>0</v>
      </c>
      <c r="AL765" s="3">
        <v>125</v>
      </c>
      <c r="AM765" s="3">
        <v>106</v>
      </c>
      <c r="AN765" s="3">
        <v>0</v>
      </c>
      <c r="AO765" s="3">
        <v>93</v>
      </c>
      <c r="AP765" s="3">
        <v>85</v>
      </c>
      <c r="AQ765" s="3">
        <v>65</v>
      </c>
      <c r="AR765" s="3">
        <v>30</v>
      </c>
      <c r="AS765" s="59">
        <v>0</v>
      </c>
      <c r="AT765" s="3">
        <v>6</v>
      </c>
      <c r="AU765" s="3">
        <v>7</v>
      </c>
      <c r="AV765" s="49">
        <v>42.436974789916</v>
      </c>
      <c r="AW765" s="49">
        <v>17.226890756302499</v>
      </c>
      <c r="AX765" s="49">
        <v>33.193277310924401</v>
      </c>
      <c r="AY765" s="67">
        <v>7.1428571428571397</v>
      </c>
      <c r="AZ765" s="62">
        <v>9.852216748768473E-3</v>
      </c>
      <c r="BA765" s="62">
        <v>1.8062397372742199E-2</v>
      </c>
      <c r="BB765" s="78">
        <v>96.939672629925596</v>
      </c>
      <c r="BC765" s="49">
        <v>15.081967213114799</v>
      </c>
      <c r="BD765" s="87">
        <v>0</v>
      </c>
      <c r="BE765" s="87">
        <v>0</v>
      </c>
      <c r="BF765" s="87">
        <v>0</v>
      </c>
      <c r="BG765" s="87">
        <v>0</v>
      </c>
      <c r="BH765" s="87">
        <v>0</v>
      </c>
      <c r="BI765" s="87">
        <v>0</v>
      </c>
      <c r="BJ765" s="49">
        <v>29.2</v>
      </c>
      <c r="BK765" s="126">
        <v>9848</v>
      </c>
      <c r="BL765" s="126">
        <v>49689</v>
      </c>
      <c r="BM765" s="126">
        <v>51233</v>
      </c>
      <c r="BN765" s="126">
        <v>44974</v>
      </c>
      <c r="BO765" s="59">
        <v>0</v>
      </c>
      <c r="BP765" s="59">
        <v>0.27939999999999998</v>
      </c>
      <c r="BQ765" s="59">
        <v>0.36080000000000001</v>
      </c>
      <c r="BR765" s="59">
        <v>1.7999999999999999E-2</v>
      </c>
      <c r="BS765" s="59">
        <v>1.7999999999999999E-2</v>
      </c>
      <c r="BT765" s="49">
        <v>11.9</v>
      </c>
      <c r="BU765" s="59">
        <f t="shared" si="56"/>
        <v>0.67620000000000002</v>
      </c>
      <c r="BV765" s="59">
        <v>3.61E-2</v>
      </c>
      <c r="BW765" s="59">
        <v>1.7999999999999999E-2</v>
      </c>
      <c r="BX765" s="59">
        <v>2.7099999999999999E-2</v>
      </c>
      <c r="BY765" s="59">
        <v>0</v>
      </c>
      <c r="BZ765" s="59">
        <v>0</v>
      </c>
      <c r="CA765" s="49">
        <v>9.8000000000000007</v>
      </c>
      <c r="CB765" s="59">
        <f t="shared" si="57"/>
        <v>8.1199999999999994E-2</v>
      </c>
      <c r="CC765" s="59">
        <v>0.22459999999999999</v>
      </c>
      <c r="CD765" s="59">
        <v>0.2974</v>
      </c>
      <c r="CE765" s="59">
        <v>0.44190000000000002</v>
      </c>
      <c r="CF765" s="59">
        <v>1.7999999999999999E-2</v>
      </c>
      <c r="CG765" s="59">
        <v>1.7999999999999999E-2</v>
      </c>
      <c r="CH765" s="49">
        <v>10.9</v>
      </c>
      <c r="CI765" s="25" t="s">
        <v>231</v>
      </c>
      <c r="CJ765" s="18" t="s">
        <v>489</v>
      </c>
      <c r="CK765" s="20"/>
    </row>
    <row r="766" spans="1:99" x14ac:dyDescent="0.25">
      <c r="A766" s="18" t="s">
        <v>489</v>
      </c>
      <c r="B766" s="19" t="s">
        <v>219</v>
      </c>
      <c r="C766" s="25" t="s">
        <v>232</v>
      </c>
      <c r="D766" s="6">
        <v>0</v>
      </c>
      <c r="E766" s="40" t="s">
        <v>83</v>
      </c>
      <c r="F766" s="6">
        <v>0</v>
      </c>
      <c r="G766" s="162" t="s">
        <v>83</v>
      </c>
      <c r="H766" s="162" t="s">
        <v>83</v>
      </c>
      <c r="I766" s="162" t="s">
        <v>83</v>
      </c>
      <c r="J766" s="163">
        <v>0</v>
      </c>
      <c r="K766" s="163">
        <v>0</v>
      </c>
      <c r="L766" s="163">
        <v>0</v>
      </c>
      <c r="M766" s="163">
        <v>0</v>
      </c>
      <c r="N766" s="115">
        <v>0</v>
      </c>
      <c r="O766" s="115">
        <v>0</v>
      </c>
      <c r="P766" s="116" t="s">
        <v>83</v>
      </c>
      <c r="Q766" s="116" t="s">
        <v>83</v>
      </c>
      <c r="R766" s="116" t="s">
        <v>83</v>
      </c>
      <c r="S766" s="115">
        <v>0</v>
      </c>
      <c r="T766" s="115">
        <v>0</v>
      </c>
      <c r="U766" s="115">
        <v>0</v>
      </c>
      <c r="V766" s="115">
        <v>0</v>
      </c>
      <c r="W766" s="6">
        <v>400</v>
      </c>
      <c r="X766" s="40">
        <f t="shared" si="54"/>
        <v>400</v>
      </c>
      <c r="Y766" s="40">
        <f t="shared" si="55"/>
        <v>400</v>
      </c>
      <c r="Z766" s="59">
        <v>0.5</v>
      </c>
      <c r="AA766" s="59">
        <v>0.5</v>
      </c>
      <c r="AB766" s="61">
        <v>0.01</v>
      </c>
      <c r="AC766" s="61">
        <v>0.17</v>
      </c>
      <c r="AD766" s="61">
        <v>0.30499999999999999</v>
      </c>
      <c r="AE766" s="61">
        <v>9.7500000000000003E-2</v>
      </c>
      <c r="AF766" s="61">
        <v>5.0000000000000001E-3</v>
      </c>
      <c r="AG766" s="61">
        <v>0.37</v>
      </c>
      <c r="AH766" s="61">
        <v>4.2500000000000003E-2</v>
      </c>
      <c r="AI766" s="61">
        <v>0.63</v>
      </c>
      <c r="AJ766" s="59">
        <v>0.45800000000000002</v>
      </c>
      <c r="AK766" s="59">
        <v>2.5000000000000001E-3</v>
      </c>
      <c r="AL766" s="3">
        <v>0</v>
      </c>
      <c r="AM766" s="3">
        <v>0</v>
      </c>
      <c r="AN766" s="3">
        <v>0</v>
      </c>
      <c r="AO766" s="3">
        <v>117</v>
      </c>
      <c r="AP766" s="3">
        <v>98</v>
      </c>
      <c r="AQ766" s="3">
        <v>92</v>
      </c>
      <c r="AR766" s="3">
        <v>93</v>
      </c>
      <c r="AS766" s="59">
        <v>0</v>
      </c>
      <c r="AT766" s="3">
        <v>9</v>
      </c>
      <c r="AU766" s="3">
        <v>7</v>
      </c>
      <c r="AV766" s="49">
        <v>59.898477157360396</v>
      </c>
      <c r="AW766" s="49">
        <v>22.3350253807107</v>
      </c>
      <c r="AX766" s="49">
        <v>16.751269035532999</v>
      </c>
      <c r="AY766" s="67">
        <v>1.0152284263959401</v>
      </c>
      <c r="AZ766" s="62">
        <v>2.4570024570024569E-2</v>
      </c>
      <c r="BA766" s="62">
        <v>4.1769041769041768E-2</v>
      </c>
      <c r="BB766" s="77">
        <v>96.235161850808197</v>
      </c>
      <c r="BC766" s="49">
        <v>0.24390243902438999</v>
      </c>
      <c r="BD766" s="90" t="s">
        <v>83</v>
      </c>
      <c r="BE766" s="90" t="s">
        <v>83</v>
      </c>
      <c r="BF766" s="87">
        <v>0</v>
      </c>
      <c r="BG766" s="87">
        <v>1</v>
      </c>
      <c r="BH766" s="87">
        <v>0</v>
      </c>
      <c r="BI766" s="87">
        <v>0</v>
      </c>
      <c r="BJ766" s="49">
        <v>26.7</v>
      </c>
      <c r="BK766" s="126">
        <v>10560</v>
      </c>
      <c r="BL766" s="126">
        <v>52310</v>
      </c>
      <c r="BM766" s="126">
        <v>45053</v>
      </c>
      <c r="BN766" s="126">
        <v>45042</v>
      </c>
      <c r="BO766" s="59">
        <v>0</v>
      </c>
      <c r="BP766" s="59">
        <v>0.33560000000000001</v>
      </c>
      <c r="BQ766" s="59">
        <v>0.26369999999999999</v>
      </c>
      <c r="BR766" s="59">
        <v>0</v>
      </c>
      <c r="BS766" s="59">
        <v>0</v>
      </c>
      <c r="BT766" s="49">
        <v>13.7</v>
      </c>
      <c r="BU766" s="59">
        <f t="shared" si="56"/>
        <v>0.59929999999999994</v>
      </c>
      <c r="BV766" s="59">
        <v>9.5899999999999999E-2</v>
      </c>
      <c r="BW766" s="59">
        <v>0</v>
      </c>
      <c r="BX766" s="59">
        <v>4.7899999999999998E-2</v>
      </c>
      <c r="BY766" s="59">
        <v>0</v>
      </c>
      <c r="BZ766" s="59">
        <v>0</v>
      </c>
      <c r="CA766" s="49">
        <v>19.5</v>
      </c>
      <c r="CB766" s="59">
        <f t="shared" si="57"/>
        <v>0.14379999999999998</v>
      </c>
      <c r="CC766" s="59">
        <v>0.30480000000000002</v>
      </c>
      <c r="CD766" s="59">
        <v>0.33560000000000001</v>
      </c>
      <c r="CE766" s="59">
        <v>0.35959999999999998</v>
      </c>
      <c r="CF766" s="59">
        <v>0</v>
      </c>
      <c r="CG766" s="59">
        <v>0</v>
      </c>
      <c r="CH766" s="49">
        <v>13.5</v>
      </c>
      <c r="CI766" s="25" t="s">
        <v>232</v>
      </c>
      <c r="CJ766" s="18" t="s">
        <v>489</v>
      </c>
      <c r="CK766" s="20"/>
    </row>
    <row r="767" spans="1:99" ht="15.75" thickBot="1" x14ac:dyDescent="0.3">
      <c r="A767" s="18" t="s">
        <v>489</v>
      </c>
      <c r="B767" s="19" t="s">
        <v>219</v>
      </c>
      <c r="C767" s="26" t="s">
        <v>493</v>
      </c>
      <c r="D767" s="6">
        <v>0</v>
      </c>
      <c r="E767" s="6">
        <v>0</v>
      </c>
      <c r="F767" s="6">
        <v>0</v>
      </c>
      <c r="G767" s="163">
        <v>0</v>
      </c>
      <c r="H767" s="163">
        <v>0</v>
      </c>
      <c r="I767" s="162" t="s">
        <v>83</v>
      </c>
      <c r="J767" s="163">
        <v>0</v>
      </c>
      <c r="K767" s="162" t="s">
        <v>83</v>
      </c>
      <c r="L767" s="162" t="s">
        <v>83</v>
      </c>
      <c r="M767" s="162" t="s">
        <v>83</v>
      </c>
      <c r="N767" s="115">
        <v>0</v>
      </c>
      <c r="O767" s="115">
        <v>0</v>
      </c>
      <c r="P767" s="115">
        <v>0</v>
      </c>
      <c r="Q767" s="115">
        <v>0</v>
      </c>
      <c r="R767" s="116" t="s">
        <v>83</v>
      </c>
      <c r="S767" s="115">
        <v>0</v>
      </c>
      <c r="T767" s="116" t="s">
        <v>83</v>
      </c>
      <c r="U767" s="116" t="s">
        <v>83</v>
      </c>
      <c r="V767" s="116" t="s">
        <v>83</v>
      </c>
      <c r="W767" s="6">
        <v>1062</v>
      </c>
      <c r="X767" s="40">
        <f>SUM(AN767:AR767)</f>
        <v>104</v>
      </c>
      <c r="Y767" s="40">
        <f>SUM(AL767:AR767)</f>
        <v>285</v>
      </c>
      <c r="Z767" s="61">
        <v>0.48210922787193999</v>
      </c>
      <c r="AA767" s="61">
        <v>0.51789077212806001</v>
      </c>
      <c r="AB767" s="59">
        <v>2.8248587570621469E-3</v>
      </c>
      <c r="AC767" s="59">
        <v>4.6139359698681735E-2</v>
      </c>
      <c r="AD767" s="59">
        <v>0.19209039548022599</v>
      </c>
      <c r="AE767" s="59">
        <v>0.18173258003766479</v>
      </c>
      <c r="AF767" s="59">
        <v>0</v>
      </c>
      <c r="AG767" s="59">
        <v>0.54708097928436916</v>
      </c>
      <c r="AH767" s="59">
        <v>3.0131826741996232E-2</v>
      </c>
      <c r="AI767" s="59">
        <v>0.45291902071563089</v>
      </c>
      <c r="AJ767" s="61">
        <v>0.53954802259887003</v>
      </c>
      <c r="AK767" s="61">
        <v>2.44821092278719E-2</v>
      </c>
      <c r="AL767" s="3">
        <v>104</v>
      </c>
      <c r="AM767" s="3">
        <v>77</v>
      </c>
      <c r="AN767" s="3">
        <v>0</v>
      </c>
      <c r="AO767" s="3">
        <v>104</v>
      </c>
      <c r="AP767" s="3">
        <v>0</v>
      </c>
      <c r="AQ767" s="3">
        <v>0</v>
      </c>
      <c r="AR767" s="3">
        <v>0</v>
      </c>
      <c r="AS767" s="59">
        <v>0</v>
      </c>
      <c r="AT767" s="3">
        <v>1</v>
      </c>
      <c r="AU767" s="3">
        <v>1</v>
      </c>
      <c r="AV767" s="49">
        <v>39.634146341463399</v>
      </c>
      <c r="AW767" s="49">
        <v>54.878048780487795</v>
      </c>
      <c r="AX767" s="49">
        <v>5.48780487804878</v>
      </c>
      <c r="AY767" s="67">
        <v>0</v>
      </c>
      <c r="AZ767" s="62">
        <v>0</v>
      </c>
      <c r="BA767" s="62">
        <v>0</v>
      </c>
      <c r="BB767" s="78">
        <v>97.255599897364803</v>
      </c>
      <c r="BC767" s="49">
        <v>7.6313181367690799</v>
      </c>
      <c r="BD767" s="87">
        <v>2.1</v>
      </c>
      <c r="BE767" s="87">
        <v>1.3</v>
      </c>
      <c r="BF767" s="87">
        <v>1</v>
      </c>
      <c r="BG767" s="90" t="s">
        <v>83</v>
      </c>
      <c r="BH767" s="90" t="s">
        <v>83</v>
      </c>
      <c r="BI767" s="90" t="s">
        <v>83</v>
      </c>
      <c r="BJ767" s="49"/>
      <c r="BK767" s="126">
        <v>11154</v>
      </c>
      <c r="BL767" s="126">
        <v>45934</v>
      </c>
      <c r="BM767" s="126">
        <v>66253</v>
      </c>
      <c r="BN767" s="126">
        <v>44186</v>
      </c>
      <c r="BO767" s="59">
        <v>0</v>
      </c>
      <c r="BP767" s="59">
        <v>0.35899999999999999</v>
      </c>
      <c r="BQ767" s="59">
        <v>0.17560000000000001</v>
      </c>
      <c r="BR767" s="59">
        <v>0</v>
      </c>
      <c r="BS767" s="59">
        <v>0</v>
      </c>
      <c r="BT767" s="49">
        <v>9.9</v>
      </c>
      <c r="BU767" s="59">
        <f t="shared" si="56"/>
        <v>0.53459999999999996</v>
      </c>
      <c r="BV767" s="59">
        <v>4.1500000000000002E-2</v>
      </c>
      <c r="BW767" s="59">
        <v>8.3000000000000001E-3</v>
      </c>
      <c r="BX767" s="59">
        <v>2.4899999999999999E-2</v>
      </c>
      <c r="BY767" s="59">
        <v>0</v>
      </c>
      <c r="BZ767" s="59">
        <v>2.4899999999999999E-2</v>
      </c>
      <c r="CA767" s="49">
        <v>15.8</v>
      </c>
      <c r="CB767" s="59">
        <f t="shared" si="57"/>
        <v>9.9599999999999994E-2</v>
      </c>
      <c r="CC767" s="59">
        <v>0.12859999999999999</v>
      </c>
      <c r="CD767" s="59">
        <v>0.53810000000000002</v>
      </c>
      <c r="CE767" s="59">
        <v>0.30009999999999998</v>
      </c>
      <c r="CF767" s="59">
        <v>0</v>
      </c>
      <c r="CG767" s="59">
        <v>3.32E-2</v>
      </c>
      <c r="CH767" s="49">
        <v>9.8000000000000007</v>
      </c>
      <c r="CI767" s="26" t="s">
        <v>493</v>
      </c>
      <c r="CJ767" s="18" t="s">
        <v>489</v>
      </c>
      <c r="CK767" s="20"/>
    </row>
    <row r="768" spans="1:99" s="1" customFormat="1" ht="21" customHeight="1" x14ac:dyDescent="0.25">
      <c r="A768" s="21" t="s">
        <v>0</v>
      </c>
      <c r="B768" s="22" t="s">
        <v>1</v>
      </c>
      <c r="C768" s="22" t="s">
        <v>2</v>
      </c>
      <c r="D768" s="9" t="s">
        <v>3</v>
      </c>
      <c r="E768" s="9" t="s">
        <v>4</v>
      </c>
      <c r="F768" s="9" t="s">
        <v>5</v>
      </c>
      <c r="G768" s="161" t="s">
        <v>565</v>
      </c>
      <c r="H768" s="161" t="s">
        <v>566</v>
      </c>
      <c r="I768" s="161" t="s">
        <v>567</v>
      </c>
      <c r="J768" s="161" t="s">
        <v>568</v>
      </c>
      <c r="K768" s="161" t="s">
        <v>569</v>
      </c>
      <c r="L768" s="161" t="s">
        <v>570</v>
      </c>
      <c r="M768" s="161" t="s">
        <v>571</v>
      </c>
      <c r="N768" s="120" t="s">
        <v>6</v>
      </c>
      <c r="O768" s="120" t="s">
        <v>7</v>
      </c>
      <c r="P768" s="120" t="s">
        <v>8</v>
      </c>
      <c r="Q768" s="120" t="s">
        <v>9</v>
      </c>
      <c r="R768" s="120" t="s">
        <v>10</v>
      </c>
      <c r="S768" s="120" t="s">
        <v>11</v>
      </c>
      <c r="T768" s="120" t="s">
        <v>12</v>
      </c>
      <c r="U768" s="120" t="s">
        <v>13</v>
      </c>
      <c r="V768" s="120" t="s">
        <v>14</v>
      </c>
      <c r="W768" s="41" t="s">
        <v>15</v>
      </c>
      <c r="X768" s="41" t="s">
        <v>16</v>
      </c>
      <c r="Y768" s="41" t="s">
        <v>17</v>
      </c>
      <c r="Z768" s="107" t="s">
        <v>18</v>
      </c>
      <c r="AA768" s="107" t="s">
        <v>19</v>
      </c>
      <c r="AB768" s="95" t="s">
        <v>20</v>
      </c>
      <c r="AC768" s="95" t="s">
        <v>21</v>
      </c>
      <c r="AD768" s="95" t="s">
        <v>22</v>
      </c>
      <c r="AE768" s="95" t="s">
        <v>23</v>
      </c>
      <c r="AF768" s="95" t="s">
        <v>24</v>
      </c>
      <c r="AG768" s="95" t="s">
        <v>25</v>
      </c>
      <c r="AH768" s="95" t="s">
        <v>26</v>
      </c>
      <c r="AI768" s="95" t="s">
        <v>27</v>
      </c>
      <c r="AJ768" s="95" t="s">
        <v>28</v>
      </c>
      <c r="AK768" s="107" t="s">
        <v>29</v>
      </c>
      <c r="AL768" s="42" t="s">
        <v>30</v>
      </c>
      <c r="AM768" s="42" t="s">
        <v>31</v>
      </c>
      <c r="AN768" s="42" t="s">
        <v>32</v>
      </c>
      <c r="AO768" s="42" t="s">
        <v>33</v>
      </c>
      <c r="AP768" s="42" t="s">
        <v>34</v>
      </c>
      <c r="AQ768" s="42" t="s">
        <v>35</v>
      </c>
      <c r="AR768" s="42" t="s">
        <v>36</v>
      </c>
      <c r="AS768" s="100" t="s">
        <v>37</v>
      </c>
      <c r="AT768" s="41" t="s">
        <v>38</v>
      </c>
      <c r="AU768" s="23" t="s">
        <v>39</v>
      </c>
      <c r="AV768" s="51" t="s">
        <v>40</v>
      </c>
      <c r="AW768" s="51" t="s">
        <v>41</v>
      </c>
      <c r="AX768" s="51" t="s">
        <v>42</v>
      </c>
      <c r="AY768" s="66" t="s">
        <v>43</v>
      </c>
      <c r="AZ768" s="58" t="s">
        <v>44</v>
      </c>
      <c r="BA768" s="58" t="s">
        <v>45</v>
      </c>
      <c r="BB768" s="75" t="s">
        <v>46</v>
      </c>
      <c r="BC768" s="83" t="s">
        <v>47</v>
      </c>
      <c r="BD768" s="89" t="s">
        <v>48</v>
      </c>
      <c r="BE768" s="89" t="s">
        <v>49</v>
      </c>
      <c r="BF768" s="89" t="s">
        <v>50</v>
      </c>
      <c r="BG768" s="89" t="s">
        <v>51</v>
      </c>
      <c r="BH768" s="89" t="s">
        <v>52</v>
      </c>
      <c r="BI768" s="89" t="s">
        <v>53</v>
      </c>
      <c r="BJ768" s="86" t="s">
        <v>54</v>
      </c>
      <c r="BK768" s="123" t="s">
        <v>55</v>
      </c>
      <c r="BL768" s="123" t="s">
        <v>56</v>
      </c>
      <c r="BM768" s="123" t="s">
        <v>57</v>
      </c>
      <c r="BN768" s="123" t="s">
        <v>58</v>
      </c>
      <c r="BO768" s="131" t="s">
        <v>59</v>
      </c>
      <c r="BP768" s="131" t="s">
        <v>60</v>
      </c>
      <c r="BQ768" s="131" t="s">
        <v>61</v>
      </c>
      <c r="BR768" s="131" t="s">
        <v>62</v>
      </c>
      <c r="BS768" s="131" t="s">
        <v>63</v>
      </c>
      <c r="BT768" s="131" t="s">
        <v>64</v>
      </c>
      <c r="BU768" s="131" t="s">
        <v>65</v>
      </c>
      <c r="BV768" s="132" t="s">
        <v>66</v>
      </c>
      <c r="BW768" s="132" t="s">
        <v>67</v>
      </c>
      <c r="BX768" s="132" t="s">
        <v>68</v>
      </c>
      <c r="BY768" s="132" t="s">
        <v>69</v>
      </c>
      <c r="BZ768" s="132" t="s">
        <v>70</v>
      </c>
      <c r="CA768" s="132" t="s">
        <v>71</v>
      </c>
      <c r="CB768" s="132" t="s">
        <v>72</v>
      </c>
      <c r="CC768" s="123" t="s">
        <v>73</v>
      </c>
      <c r="CD768" s="123" t="s">
        <v>74</v>
      </c>
      <c r="CE768" s="123" t="s">
        <v>75</v>
      </c>
      <c r="CF768" s="123" t="s">
        <v>76</v>
      </c>
      <c r="CG768" s="123" t="s">
        <v>77</v>
      </c>
      <c r="CH768" s="123" t="s">
        <v>78</v>
      </c>
      <c r="CI768" s="22" t="s">
        <v>2</v>
      </c>
      <c r="CJ768" s="21" t="s">
        <v>0</v>
      </c>
      <c r="CK768" s="24" t="s">
        <v>79</v>
      </c>
      <c r="CL768"/>
      <c r="CM768"/>
      <c r="CN768"/>
      <c r="CO768"/>
      <c r="CP768"/>
      <c r="CQ768"/>
      <c r="CR768"/>
      <c r="CS768"/>
      <c r="CT768"/>
      <c r="CU768"/>
    </row>
    <row r="769" spans="1:89" x14ac:dyDescent="0.25">
      <c r="A769" s="18" t="s">
        <v>489</v>
      </c>
      <c r="B769" s="19" t="s">
        <v>233</v>
      </c>
      <c r="C769" s="26" t="s">
        <v>234</v>
      </c>
      <c r="D769" s="6">
        <v>0</v>
      </c>
      <c r="E769" s="6">
        <v>0</v>
      </c>
      <c r="F769" s="6">
        <v>0</v>
      </c>
      <c r="G769" s="163">
        <v>0</v>
      </c>
      <c r="H769" s="163">
        <v>0</v>
      </c>
      <c r="I769" s="162" t="s">
        <v>83</v>
      </c>
      <c r="J769" s="163">
        <v>0</v>
      </c>
      <c r="K769" s="163">
        <v>0</v>
      </c>
      <c r="L769" s="163">
        <v>0</v>
      </c>
      <c r="M769" s="163">
        <v>0</v>
      </c>
      <c r="N769" s="115">
        <v>0</v>
      </c>
      <c r="O769" s="115">
        <v>0</v>
      </c>
      <c r="P769" s="115">
        <v>0</v>
      </c>
      <c r="Q769" s="115">
        <v>0</v>
      </c>
      <c r="R769" s="116" t="s">
        <v>83</v>
      </c>
      <c r="S769" s="115">
        <v>0</v>
      </c>
      <c r="T769" s="115">
        <v>0</v>
      </c>
      <c r="U769" s="115">
        <v>0</v>
      </c>
      <c r="V769" s="115">
        <v>0</v>
      </c>
      <c r="W769" s="6">
        <v>253</v>
      </c>
      <c r="X769" s="40">
        <f t="shared" si="54"/>
        <v>144</v>
      </c>
      <c r="Y769" s="40">
        <f t="shared" si="55"/>
        <v>207</v>
      </c>
      <c r="Z769" s="59">
        <v>0.49409999999999998</v>
      </c>
      <c r="AA769" s="59">
        <v>0.50590000000000002</v>
      </c>
      <c r="AB769" s="61">
        <v>0.16600790513833993</v>
      </c>
      <c r="AC769" s="61">
        <v>7.9051383399209481E-3</v>
      </c>
      <c r="AD769" s="61">
        <v>0.28853754940711462</v>
      </c>
      <c r="AE769" s="61">
        <v>3.9525691699604744E-2</v>
      </c>
      <c r="AF769" s="61">
        <v>0</v>
      </c>
      <c r="AG769" s="61">
        <v>0.44664031620553357</v>
      </c>
      <c r="AH769" s="61">
        <v>5.1383399209486168E-2</v>
      </c>
      <c r="AI769" s="61">
        <v>0.55335968379446643</v>
      </c>
      <c r="AJ769" s="59">
        <v>0.58099999999999996</v>
      </c>
      <c r="AK769" s="59">
        <v>4.0000000000000001E-3</v>
      </c>
      <c r="AL769" s="3">
        <v>29</v>
      </c>
      <c r="AM769" s="3">
        <v>34</v>
      </c>
      <c r="AN769" s="3">
        <v>0</v>
      </c>
      <c r="AO769" s="3">
        <v>41</v>
      </c>
      <c r="AP769" s="3">
        <v>32</v>
      </c>
      <c r="AQ769" s="3">
        <v>40</v>
      </c>
      <c r="AR769" s="3">
        <v>31</v>
      </c>
      <c r="AS769" s="59">
        <v>0</v>
      </c>
      <c r="AT769" s="3">
        <v>6</v>
      </c>
      <c r="AU769" s="3">
        <v>6</v>
      </c>
      <c r="AV769" s="49">
        <v>84.276729559748404</v>
      </c>
      <c r="AW769" s="49">
        <v>15.094339622641501</v>
      </c>
      <c r="AX769" s="49">
        <v>0</v>
      </c>
      <c r="AY769" s="67">
        <v>0.62893081761006298</v>
      </c>
      <c r="AZ769" s="62">
        <v>0.24444444444444444</v>
      </c>
      <c r="BA769" s="62">
        <v>0.19259259259259259</v>
      </c>
      <c r="BB769" s="77">
        <v>91.571913929784799</v>
      </c>
      <c r="BC769" s="49">
        <v>27.573529411764699</v>
      </c>
      <c r="BD769" s="87">
        <v>3.1</v>
      </c>
      <c r="BE769" s="87">
        <v>0</v>
      </c>
      <c r="BF769" s="87">
        <v>0</v>
      </c>
      <c r="BG769" s="87">
        <v>0</v>
      </c>
      <c r="BH769" s="87">
        <v>0</v>
      </c>
      <c r="BI769" s="87">
        <v>0</v>
      </c>
      <c r="BJ769" s="49">
        <v>18.600000000000001</v>
      </c>
      <c r="BK769" s="129">
        <v>12253</v>
      </c>
      <c r="BL769" s="129">
        <v>53077</v>
      </c>
      <c r="BM769" s="129">
        <v>43057</v>
      </c>
      <c r="BN769" s="129">
        <v>43777</v>
      </c>
      <c r="BO769" s="59">
        <v>0</v>
      </c>
      <c r="BP769" s="59">
        <v>0.30370000000000003</v>
      </c>
      <c r="BQ769" s="59">
        <v>0.24299999999999999</v>
      </c>
      <c r="BR769" s="59">
        <v>0</v>
      </c>
      <c r="BS769" s="59">
        <v>0</v>
      </c>
      <c r="BT769" s="49">
        <v>14.5</v>
      </c>
      <c r="BU769" s="59">
        <f t="shared" si="56"/>
        <v>0.54669999999999996</v>
      </c>
      <c r="BV769" s="59">
        <v>8.9099999999999999E-2</v>
      </c>
      <c r="BW769" s="59">
        <v>0</v>
      </c>
      <c r="BX769" s="59">
        <v>5.9299999999999999E-2</v>
      </c>
      <c r="BY769" s="59">
        <v>0</v>
      </c>
      <c r="BZ769" s="59">
        <v>0</v>
      </c>
      <c r="CA769" s="49">
        <v>14.7</v>
      </c>
      <c r="CB769" s="59">
        <f t="shared" si="57"/>
        <v>0.1484</v>
      </c>
      <c r="CC769" s="59">
        <v>0.33329999999999999</v>
      </c>
      <c r="CD769" s="59">
        <v>0.33410000000000001</v>
      </c>
      <c r="CE769" s="59">
        <v>0.33260000000000001</v>
      </c>
      <c r="CF769" s="59">
        <v>0</v>
      </c>
      <c r="CG769" s="59">
        <v>0</v>
      </c>
      <c r="CH769" s="49">
        <v>13.5</v>
      </c>
      <c r="CI769" s="26" t="s">
        <v>234</v>
      </c>
      <c r="CJ769" s="18" t="s">
        <v>489</v>
      </c>
      <c r="CK769" s="20"/>
    </row>
    <row r="770" spans="1:89" x14ac:dyDescent="0.25">
      <c r="A770" s="18" t="s">
        <v>489</v>
      </c>
      <c r="B770" s="19" t="s">
        <v>233</v>
      </c>
      <c r="C770" s="26" t="s">
        <v>235</v>
      </c>
      <c r="D770" s="6">
        <v>0</v>
      </c>
      <c r="E770" s="6">
        <v>0</v>
      </c>
      <c r="F770" s="6">
        <v>0</v>
      </c>
      <c r="G770" s="163">
        <v>0</v>
      </c>
      <c r="H770" s="163">
        <v>0</v>
      </c>
      <c r="I770" s="162" t="s">
        <v>83</v>
      </c>
      <c r="J770" s="163">
        <v>0</v>
      </c>
      <c r="K770" s="163">
        <v>0</v>
      </c>
      <c r="L770" s="163">
        <v>0</v>
      </c>
      <c r="M770" s="163">
        <v>0</v>
      </c>
      <c r="N770" s="115">
        <v>0</v>
      </c>
      <c r="O770" s="115">
        <v>0</v>
      </c>
      <c r="P770" s="115">
        <v>0</v>
      </c>
      <c r="Q770" s="115">
        <v>0</v>
      </c>
      <c r="R770" s="116" t="s">
        <v>83</v>
      </c>
      <c r="S770" s="115">
        <v>0</v>
      </c>
      <c r="T770" s="115">
        <v>0</v>
      </c>
      <c r="U770" s="115">
        <v>0</v>
      </c>
      <c r="V770" s="115">
        <v>0</v>
      </c>
      <c r="W770" s="6">
        <v>561</v>
      </c>
      <c r="X770" s="40">
        <f t="shared" ref="X770:X834" si="58">SUM(AN770:AR770)</f>
        <v>139</v>
      </c>
      <c r="Y770" s="40">
        <f t="shared" ref="Y770:Y834" si="59">SUM(AL770:AR770)</f>
        <v>222</v>
      </c>
      <c r="Z770" s="59">
        <v>0.47770000000000001</v>
      </c>
      <c r="AA770" s="59">
        <v>0.52229999999999999</v>
      </c>
      <c r="AB770" s="61">
        <v>7.1301247771836003E-3</v>
      </c>
      <c r="AC770" s="61">
        <v>0</v>
      </c>
      <c r="AD770" s="61">
        <v>7.1301247771836003E-3</v>
      </c>
      <c r="AE770" s="61">
        <v>3.7433155080213901E-2</v>
      </c>
      <c r="AF770" s="61">
        <v>0</v>
      </c>
      <c r="AG770" s="61">
        <v>0.91622103386809273</v>
      </c>
      <c r="AH770" s="61">
        <v>3.2085561497326207E-2</v>
      </c>
      <c r="AI770" s="61">
        <v>8.3778966131907315E-2</v>
      </c>
      <c r="AJ770" s="59">
        <v>0.48</v>
      </c>
      <c r="AK770" s="59">
        <v>3.5999999999999999E-3</v>
      </c>
      <c r="AL770" s="3">
        <v>40</v>
      </c>
      <c r="AM770" s="3">
        <v>43</v>
      </c>
      <c r="AN770" s="3">
        <v>0</v>
      </c>
      <c r="AO770" s="3">
        <v>36</v>
      </c>
      <c r="AP770" s="3">
        <v>36</v>
      </c>
      <c r="AQ770" s="3">
        <v>28</v>
      </c>
      <c r="AR770" s="3">
        <v>39</v>
      </c>
      <c r="AS770" s="59">
        <v>0</v>
      </c>
      <c r="AT770" s="3">
        <v>1</v>
      </c>
      <c r="AU770" s="3">
        <v>6</v>
      </c>
      <c r="AV770" s="49">
        <v>60.096153846153797</v>
      </c>
      <c r="AW770" s="49">
        <v>37.019230769230802</v>
      </c>
      <c r="AX770" s="49">
        <v>0.9615384615384619</v>
      </c>
      <c r="AY770" s="67">
        <v>1.92307692307692</v>
      </c>
      <c r="AZ770" s="62">
        <v>8.6148648648648643E-2</v>
      </c>
      <c r="BA770" s="62">
        <v>3.7162162162162164E-2</v>
      </c>
      <c r="BB770" s="78">
        <v>92.870777657896895</v>
      </c>
      <c r="BC770" s="49">
        <v>13.768115942029</v>
      </c>
      <c r="BD770" s="87">
        <v>0</v>
      </c>
      <c r="BE770" s="87">
        <v>0</v>
      </c>
      <c r="BF770" s="87">
        <v>0</v>
      </c>
      <c r="BG770" s="87">
        <v>0</v>
      </c>
      <c r="BH770" s="87">
        <v>0</v>
      </c>
      <c r="BI770" s="87">
        <v>0</v>
      </c>
      <c r="BJ770" s="49">
        <v>19.600000000000001</v>
      </c>
      <c r="BK770" s="129">
        <v>10073</v>
      </c>
      <c r="BL770" s="129">
        <v>48656</v>
      </c>
      <c r="BM770" s="129">
        <v>50835</v>
      </c>
      <c r="BN770" s="129">
        <v>39238</v>
      </c>
      <c r="BO770" s="59">
        <v>0</v>
      </c>
      <c r="BP770" s="59">
        <v>0.38319999999999999</v>
      </c>
      <c r="BQ770" s="59">
        <v>0.15429999999999999</v>
      </c>
      <c r="BR770" s="59">
        <v>0</v>
      </c>
      <c r="BS770" s="59">
        <v>0</v>
      </c>
      <c r="BT770" s="49">
        <v>13.6</v>
      </c>
      <c r="BU770" s="59">
        <f t="shared" si="56"/>
        <v>0.53749999999999998</v>
      </c>
      <c r="BV770" s="59">
        <v>2.9399999999999999E-2</v>
      </c>
      <c r="BW770" s="59">
        <v>0</v>
      </c>
      <c r="BX770" s="59">
        <v>0.05</v>
      </c>
      <c r="BY770" s="59">
        <v>0</v>
      </c>
      <c r="BZ770" s="59">
        <v>0</v>
      </c>
      <c r="CA770" s="49">
        <v>13.3</v>
      </c>
      <c r="CB770" s="59">
        <f t="shared" si="57"/>
        <v>7.9399999999999998E-2</v>
      </c>
      <c r="CC770" s="59">
        <v>0.36249999999999999</v>
      </c>
      <c r="CD770" s="59">
        <v>0.38319999999999999</v>
      </c>
      <c r="CE770" s="59">
        <v>0.25430000000000003</v>
      </c>
      <c r="CF770" s="59">
        <v>0</v>
      </c>
      <c r="CG770" s="59">
        <v>0</v>
      </c>
      <c r="CH770" s="49">
        <v>13.1</v>
      </c>
      <c r="CI770" s="26" t="s">
        <v>235</v>
      </c>
      <c r="CJ770" s="18" t="s">
        <v>489</v>
      </c>
      <c r="CK770" s="20"/>
    </row>
    <row r="771" spans="1:89" x14ac:dyDescent="0.25">
      <c r="A771" s="18" t="s">
        <v>489</v>
      </c>
      <c r="B771" s="19" t="s">
        <v>233</v>
      </c>
      <c r="C771" s="26" t="s">
        <v>236</v>
      </c>
      <c r="D771" s="6">
        <v>0</v>
      </c>
      <c r="E771" s="6">
        <v>0</v>
      </c>
      <c r="F771" s="6">
        <v>0</v>
      </c>
      <c r="G771" s="163">
        <v>0</v>
      </c>
      <c r="H771" s="163">
        <v>0</v>
      </c>
      <c r="I771" s="162" t="s">
        <v>83</v>
      </c>
      <c r="J771" s="163">
        <v>0</v>
      </c>
      <c r="K771" s="163">
        <v>0</v>
      </c>
      <c r="L771" s="163">
        <v>0</v>
      </c>
      <c r="M771" s="163">
        <v>0</v>
      </c>
      <c r="N771" s="115">
        <v>0</v>
      </c>
      <c r="O771" s="115">
        <v>0</v>
      </c>
      <c r="P771" s="115">
        <v>0</v>
      </c>
      <c r="Q771" s="115">
        <v>0</v>
      </c>
      <c r="R771" s="116" t="s">
        <v>83</v>
      </c>
      <c r="S771" s="115">
        <v>0</v>
      </c>
      <c r="T771" s="115">
        <v>0</v>
      </c>
      <c r="U771" s="115">
        <v>0</v>
      </c>
      <c r="V771" s="115">
        <v>0</v>
      </c>
      <c r="W771" s="6">
        <v>890</v>
      </c>
      <c r="X771" s="40">
        <f t="shared" si="58"/>
        <v>588</v>
      </c>
      <c r="Y771" s="40">
        <f t="shared" si="59"/>
        <v>890</v>
      </c>
      <c r="Z771" s="59">
        <v>0.47299999999999998</v>
      </c>
      <c r="AA771" s="59">
        <v>0.52700000000000002</v>
      </c>
      <c r="AB771" s="61">
        <v>0</v>
      </c>
      <c r="AC771" s="61">
        <v>5.6179775280898875E-3</v>
      </c>
      <c r="AD771" s="61">
        <v>0.31011235955056182</v>
      </c>
      <c r="AE771" s="61">
        <v>1.7977528089887642E-2</v>
      </c>
      <c r="AF771" s="61">
        <v>1.1235955056179776E-3</v>
      </c>
      <c r="AG771" s="61">
        <v>0.62471910112359552</v>
      </c>
      <c r="AH771" s="61">
        <v>4.0449438202247189E-2</v>
      </c>
      <c r="AI771" s="61">
        <v>0.37528089887640448</v>
      </c>
      <c r="AJ771" s="59">
        <v>0.69299999999999995</v>
      </c>
      <c r="AK771" s="59">
        <v>4.4999999999999997E-3</v>
      </c>
      <c r="AL771" s="3">
        <v>157</v>
      </c>
      <c r="AM771" s="3">
        <v>145</v>
      </c>
      <c r="AN771" s="3">
        <v>0</v>
      </c>
      <c r="AO771" s="3">
        <v>159</v>
      </c>
      <c r="AP771" s="3">
        <v>166</v>
      </c>
      <c r="AQ771" s="3">
        <v>142</v>
      </c>
      <c r="AR771" s="3">
        <v>121</v>
      </c>
      <c r="AS771" s="59">
        <v>0</v>
      </c>
      <c r="AT771" s="3">
        <v>7</v>
      </c>
      <c r="AU771" s="3">
        <v>6</v>
      </c>
      <c r="AV771" s="49">
        <v>70.0205338809035</v>
      </c>
      <c r="AW771" s="49">
        <v>22.792607802874702</v>
      </c>
      <c r="AX771" s="49">
        <v>6.570841889117041</v>
      </c>
      <c r="AY771" s="67">
        <v>0.61601642710472304</v>
      </c>
      <c r="AZ771" s="62">
        <v>0.15205913410770855</v>
      </c>
      <c r="BA771" s="62">
        <v>0.17212249208025343</v>
      </c>
      <c r="BB771" s="77">
        <v>92.196848790547705</v>
      </c>
      <c r="BC771" s="49">
        <v>24.264705882352899</v>
      </c>
      <c r="BD771" s="87">
        <v>1.3</v>
      </c>
      <c r="BE771" s="87">
        <v>0.7</v>
      </c>
      <c r="BF771" s="87">
        <v>3.9</v>
      </c>
      <c r="BG771" s="87">
        <v>1.3</v>
      </c>
      <c r="BH771" s="87">
        <v>3</v>
      </c>
      <c r="BI771" s="87">
        <v>5</v>
      </c>
      <c r="BJ771" s="49">
        <v>20.100000000000001</v>
      </c>
      <c r="BK771" s="129">
        <v>9758</v>
      </c>
      <c r="BL771" s="129">
        <v>50006</v>
      </c>
      <c r="BM771" s="129">
        <v>39305</v>
      </c>
      <c r="BN771" s="129">
        <v>40955</v>
      </c>
      <c r="BO771" s="59">
        <v>0</v>
      </c>
      <c r="BP771" s="59">
        <v>0.37230000000000002</v>
      </c>
      <c r="BQ771" s="59">
        <v>0.18770000000000001</v>
      </c>
      <c r="BR771" s="59">
        <v>0</v>
      </c>
      <c r="BS771" s="59">
        <v>0</v>
      </c>
      <c r="BT771" s="49">
        <v>12.9</v>
      </c>
      <c r="BU771" s="59">
        <f t="shared" ref="BU771:BU834" si="60">SUM(BO771:BS771)</f>
        <v>0.56000000000000005</v>
      </c>
      <c r="BV771" s="59">
        <v>4.48E-2</v>
      </c>
      <c r="BW771" s="59">
        <v>1.06E-2</v>
      </c>
      <c r="BX771" s="59">
        <v>2.2800000000000001E-2</v>
      </c>
      <c r="BY771" s="59">
        <v>0</v>
      </c>
      <c r="BZ771" s="59">
        <v>0</v>
      </c>
      <c r="CA771" s="49">
        <v>15.5</v>
      </c>
      <c r="CB771" s="59">
        <f t="shared" ref="CB771:CB834" si="61">SUM(BV771:BZ771)</f>
        <v>7.8199999999999992E-2</v>
      </c>
      <c r="CC771" s="59">
        <v>0.33989999999999998</v>
      </c>
      <c r="CD771" s="59">
        <v>0.39419999999999999</v>
      </c>
      <c r="CE771" s="59">
        <v>0.26590000000000003</v>
      </c>
      <c r="CF771" s="59">
        <v>0</v>
      </c>
      <c r="CG771" s="59">
        <v>0</v>
      </c>
      <c r="CH771" s="49">
        <v>13.1</v>
      </c>
      <c r="CI771" s="26" t="s">
        <v>236</v>
      </c>
      <c r="CJ771" s="18" t="s">
        <v>489</v>
      </c>
      <c r="CK771" s="20"/>
    </row>
    <row r="772" spans="1:89" x14ac:dyDescent="0.25">
      <c r="A772" s="18" t="s">
        <v>489</v>
      </c>
      <c r="B772" s="19" t="s">
        <v>233</v>
      </c>
      <c r="C772" s="26" t="s">
        <v>237</v>
      </c>
      <c r="D772" s="6">
        <v>0</v>
      </c>
      <c r="E772" s="6">
        <v>0</v>
      </c>
      <c r="F772" s="6">
        <v>0</v>
      </c>
      <c r="G772" s="163">
        <v>0</v>
      </c>
      <c r="H772" s="163">
        <v>0</v>
      </c>
      <c r="I772" s="162" t="s">
        <v>83</v>
      </c>
      <c r="J772" s="163">
        <v>0</v>
      </c>
      <c r="K772" s="163">
        <v>0</v>
      </c>
      <c r="L772" s="163">
        <v>0</v>
      </c>
      <c r="M772" s="163">
        <v>0</v>
      </c>
      <c r="N772" s="115">
        <v>0</v>
      </c>
      <c r="O772" s="115">
        <v>0</v>
      </c>
      <c r="P772" s="115">
        <v>0</v>
      </c>
      <c r="Q772" s="115">
        <v>0</v>
      </c>
      <c r="R772" s="116" t="s">
        <v>83</v>
      </c>
      <c r="S772" s="115">
        <v>0</v>
      </c>
      <c r="T772" s="115">
        <v>0</v>
      </c>
      <c r="U772" s="115">
        <v>0</v>
      </c>
      <c r="V772" s="115">
        <v>0</v>
      </c>
      <c r="W772" s="6">
        <v>665</v>
      </c>
      <c r="X772" s="40">
        <f t="shared" si="58"/>
        <v>194</v>
      </c>
      <c r="Y772" s="40">
        <f t="shared" si="59"/>
        <v>290</v>
      </c>
      <c r="Z772" s="59">
        <v>0.49769999999999998</v>
      </c>
      <c r="AA772" s="59">
        <v>0.50229999999999997</v>
      </c>
      <c r="AB772" s="61">
        <v>0</v>
      </c>
      <c r="AC772" s="61">
        <v>1.5037593984962407E-3</v>
      </c>
      <c r="AD772" s="61">
        <v>5.2631578947368418E-2</v>
      </c>
      <c r="AE772" s="61">
        <v>2.4060150375939851E-2</v>
      </c>
      <c r="AF772" s="61">
        <v>0</v>
      </c>
      <c r="AG772" s="61">
        <v>0.89473684210526316</v>
      </c>
      <c r="AH772" s="61">
        <v>2.7067669172932331E-2</v>
      </c>
      <c r="AI772" s="61">
        <v>0.10526315789473684</v>
      </c>
      <c r="AJ772" s="59">
        <v>0.52300000000000002</v>
      </c>
      <c r="AK772" s="59">
        <v>4.4999999999999997E-3</v>
      </c>
      <c r="AL772" s="3">
        <v>42</v>
      </c>
      <c r="AM772" s="3">
        <v>54</v>
      </c>
      <c r="AN772" s="3">
        <v>0</v>
      </c>
      <c r="AO772" s="3">
        <v>54</v>
      </c>
      <c r="AP772" s="3">
        <v>64</v>
      </c>
      <c r="AQ772" s="3">
        <v>39</v>
      </c>
      <c r="AR772" s="3">
        <v>37</v>
      </c>
      <c r="AS772" s="59">
        <v>0</v>
      </c>
      <c r="AT772" s="3">
        <v>1</v>
      </c>
      <c r="AU772" s="3">
        <v>6</v>
      </c>
      <c r="AV772" s="49">
        <v>72.084805653710205</v>
      </c>
      <c r="AW772" s="49">
        <v>20.1413427561837</v>
      </c>
      <c r="AX772" s="49">
        <v>5.65371024734982</v>
      </c>
      <c r="AY772" s="67">
        <v>2.1201413427561802</v>
      </c>
      <c r="AZ772" s="62">
        <v>4.9645390070921988E-2</v>
      </c>
      <c r="BA772" s="62">
        <v>6.0992907801418438E-2</v>
      </c>
      <c r="BB772" s="78">
        <v>93.212592946906099</v>
      </c>
      <c r="BC772" s="49">
        <v>16.842105263157901</v>
      </c>
      <c r="BD772" s="87">
        <v>2.4</v>
      </c>
      <c r="BE772" s="87">
        <v>1.9</v>
      </c>
      <c r="BF772" s="87">
        <v>0</v>
      </c>
      <c r="BG772" s="87">
        <v>4.8</v>
      </c>
      <c r="BH772" s="87">
        <v>0</v>
      </c>
      <c r="BI772" s="87">
        <v>2.7</v>
      </c>
      <c r="BJ772" s="49">
        <v>19.399999999999999</v>
      </c>
      <c r="BK772" s="129">
        <v>10441</v>
      </c>
      <c r="BL772" s="129">
        <v>48811</v>
      </c>
      <c r="BM772" s="129">
        <v>48162</v>
      </c>
      <c r="BN772" s="129">
        <v>37795</v>
      </c>
      <c r="BO772" s="59">
        <v>0</v>
      </c>
      <c r="BP772" s="59">
        <v>0.41839999999999999</v>
      </c>
      <c r="BQ772" s="59">
        <v>8.9899999999999994E-2</v>
      </c>
      <c r="BR772" s="59">
        <v>1.2800000000000001E-2</v>
      </c>
      <c r="BS772" s="59">
        <v>0</v>
      </c>
      <c r="BT772" s="49">
        <v>15.4</v>
      </c>
      <c r="BU772" s="59">
        <f t="shared" si="60"/>
        <v>0.52110000000000001</v>
      </c>
      <c r="BV772" s="59">
        <v>3.85E-2</v>
      </c>
      <c r="BW772" s="59">
        <v>1.2200000000000001E-2</v>
      </c>
      <c r="BX772" s="59">
        <v>1.2800000000000001E-2</v>
      </c>
      <c r="BY772" s="59">
        <v>1.23E-2</v>
      </c>
      <c r="BZ772" s="59">
        <v>0</v>
      </c>
      <c r="CA772" s="49">
        <v>18.3</v>
      </c>
      <c r="CB772" s="59">
        <f t="shared" si="61"/>
        <v>7.5800000000000006E-2</v>
      </c>
      <c r="CC772" s="59">
        <v>0.39939999999999998</v>
      </c>
      <c r="CD772" s="59">
        <v>0.4471</v>
      </c>
      <c r="CE772" s="59">
        <v>0.12839999999999999</v>
      </c>
      <c r="CF772" s="59">
        <v>2.5100000000000001E-2</v>
      </c>
      <c r="CG772" s="59">
        <v>0</v>
      </c>
      <c r="CH772" s="49">
        <v>12.9</v>
      </c>
      <c r="CI772" s="26" t="s">
        <v>237</v>
      </c>
      <c r="CJ772" s="18" t="s">
        <v>489</v>
      </c>
      <c r="CK772" s="20"/>
    </row>
    <row r="773" spans="1:89" x14ac:dyDescent="0.25">
      <c r="A773" s="18" t="s">
        <v>489</v>
      </c>
      <c r="B773" s="19" t="s">
        <v>233</v>
      </c>
      <c r="C773" s="26" t="s">
        <v>238</v>
      </c>
      <c r="D773" s="6">
        <v>0</v>
      </c>
      <c r="E773" s="6">
        <v>0</v>
      </c>
      <c r="F773" s="6">
        <v>0</v>
      </c>
      <c r="G773" s="163">
        <v>0</v>
      </c>
      <c r="H773" s="163">
        <v>0</v>
      </c>
      <c r="I773" s="162" t="s">
        <v>83</v>
      </c>
      <c r="J773" s="163">
        <v>0</v>
      </c>
      <c r="K773" s="163">
        <v>0</v>
      </c>
      <c r="L773" s="163">
        <v>0</v>
      </c>
      <c r="M773" s="163">
        <v>0</v>
      </c>
      <c r="N773" s="115">
        <v>0</v>
      </c>
      <c r="O773" s="115">
        <v>0</v>
      </c>
      <c r="P773" s="115">
        <v>0</v>
      </c>
      <c r="Q773" s="115">
        <v>0</v>
      </c>
      <c r="R773" s="116" t="s">
        <v>83</v>
      </c>
      <c r="S773" s="115">
        <v>0</v>
      </c>
      <c r="T773" s="115">
        <v>0</v>
      </c>
      <c r="U773" s="115">
        <v>0</v>
      </c>
      <c r="V773" s="115">
        <v>0</v>
      </c>
      <c r="W773" s="6">
        <v>425</v>
      </c>
      <c r="X773" s="40">
        <f t="shared" si="58"/>
        <v>277</v>
      </c>
      <c r="Y773" s="40">
        <f t="shared" si="59"/>
        <v>425</v>
      </c>
      <c r="Z773" s="59">
        <v>0.46589999999999998</v>
      </c>
      <c r="AA773" s="59">
        <v>0.53410000000000002</v>
      </c>
      <c r="AB773" s="61">
        <v>4.7058823529411761E-3</v>
      </c>
      <c r="AC773" s="61">
        <v>2.352941176470588E-3</v>
      </c>
      <c r="AD773" s="61">
        <v>0.10588235294117647</v>
      </c>
      <c r="AE773" s="61">
        <v>2.352941176470588E-3</v>
      </c>
      <c r="AF773" s="61">
        <v>0</v>
      </c>
      <c r="AG773" s="61">
        <v>0.81176470588235294</v>
      </c>
      <c r="AH773" s="61">
        <v>7.2941176470588232E-2</v>
      </c>
      <c r="AI773" s="61">
        <v>0.18823529411764706</v>
      </c>
      <c r="AJ773" s="59">
        <v>0.61199999999999999</v>
      </c>
      <c r="AK773" s="59">
        <v>0</v>
      </c>
      <c r="AL773" s="3">
        <v>76</v>
      </c>
      <c r="AM773" s="3">
        <v>72</v>
      </c>
      <c r="AN773" s="3">
        <v>0</v>
      </c>
      <c r="AO773" s="3">
        <v>68</v>
      </c>
      <c r="AP773" s="3">
        <v>72</v>
      </c>
      <c r="AQ773" s="3">
        <v>76</v>
      </c>
      <c r="AR773" s="3">
        <v>61</v>
      </c>
      <c r="AS773" s="59">
        <v>0</v>
      </c>
      <c r="AT773" s="3">
        <v>7</v>
      </c>
      <c r="AU773" s="3">
        <v>6</v>
      </c>
      <c r="AV773" s="49">
        <v>79.569892473118301</v>
      </c>
      <c r="AW773" s="49">
        <v>13.620071684587801</v>
      </c>
      <c r="AX773" s="49">
        <v>6.8100358422939102</v>
      </c>
      <c r="AY773" s="67">
        <v>0</v>
      </c>
      <c r="AZ773" s="62">
        <v>0.18736383442265794</v>
      </c>
      <c r="BA773" s="62">
        <v>0.12418300653594772</v>
      </c>
      <c r="BB773" s="77">
        <v>89.007678718477493</v>
      </c>
      <c r="BC773" s="49">
        <v>14.470842332613399</v>
      </c>
      <c r="BD773" s="87">
        <v>6.5</v>
      </c>
      <c r="BE773" s="87">
        <v>1.4</v>
      </c>
      <c r="BF773" s="87">
        <v>4.3</v>
      </c>
      <c r="BG773" s="87">
        <v>8.6</v>
      </c>
      <c r="BH773" s="87">
        <v>1.4</v>
      </c>
      <c r="BI773" s="87">
        <v>0</v>
      </c>
      <c r="BJ773" s="49">
        <v>19.100000000000001</v>
      </c>
      <c r="BK773" s="129">
        <v>10303</v>
      </c>
      <c r="BL773" s="129">
        <v>52635</v>
      </c>
      <c r="BM773" s="129">
        <v>47248</v>
      </c>
      <c r="BN773" s="129">
        <v>38778</v>
      </c>
      <c r="BO773" s="59">
        <v>0</v>
      </c>
      <c r="BP773" s="59">
        <v>0.31509999999999999</v>
      </c>
      <c r="BQ773" s="59">
        <v>0.1671</v>
      </c>
      <c r="BR773" s="59">
        <v>0</v>
      </c>
      <c r="BS773" s="59">
        <v>0</v>
      </c>
      <c r="BT773" s="49">
        <v>12.8</v>
      </c>
      <c r="BU773" s="59">
        <f t="shared" si="60"/>
        <v>0.48219999999999996</v>
      </c>
      <c r="BV773" s="59">
        <v>4.1799999999999997E-2</v>
      </c>
      <c r="BW773" s="59">
        <v>1.9300000000000001E-2</v>
      </c>
      <c r="BX773" s="59">
        <v>2.0299999999999999E-2</v>
      </c>
      <c r="BY773" s="59">
        <v>0</v>
      </c>
      <c r="BZ773" s="59">
        <v>0</v>
      </c>
      <c r="CA773" s="49">
        <v>12.6</v>
      </c>
      <c r="CB773" s="59">
        <f t="shared" si="61"/>
        <v>8.14E-2</v>
      </c>
      <c r="CC773" s="59">
        <v>0.41560000000000002</v>
      </c>
      <c r="CD773" s="59">
        <v>0.37609999999999999</v>
      </c>
      <c r="CE773" s="59">
        <v>0.20830000000000001</v>
      </c>
      <c r="CF773" s="59">
        <v>0</v>
      </c>
      <c r="CG773" s="59">
        <v>0</v>
      </c>
      <c r="CH773" s="49">
        <v>12.3</v>
      </c>
      <c r="CI773" s="26" t="s">
        <v>238</v>
      </c>
      <c r="CJ773" s="18" t="s">
        <v>489</v>
      </c>
      <c r="CK773" s="20"/>
    </row>
    <row r="774" spans="1:89" x14ac:dyDescent="0.25">
      <c r="A774" s="18" t="s">
        <v>489</v>
      </c>
      <c r="B774" s="19" t="s">
        <v>233</v>
      </c>
      <c r="C774" s="26" t="s">
        <v>239</v>
      </c>
      <c r="D774" s="6">
        <v>0</v>
      </c>
      <c r="E774" s="40" t="s">
        <v>83</v>
      </c>
      <c r="F774" s="6">
        <v>0</v>
      </c>
      <c r="G774" s="162" t="s">
        <v>83</v>
      </c>
      <c r="H774" s="162" t="s">
        <v>83</v>
      </c>
      <c r="I774" s="162" t="s">
        <v>83</v>
      </c>
      <c r="J774" s="163">
        <v>0</v>
      </c>
      <c r="K774" s="163">
        <v>0</v>
      </c>
      <c r="L774" s="163">
        <v>0</v>
      </c>
      <c r="M774" s="163">
        <v>0</v>
      </c>
      <c r="N774" s="115">
        <v>0</v>
      </c>
      <c r="O774" s="115">
        <v>0</v>
      </c>
      <c r="P774" s="116" t="s">
        <v>83</v>
      </c>
      <c r="Q774" s="116" t="s">
        <v>83</v>
      </c>
      <c r="R774" s="116" t="s">
        <v>83</v>
      </c>
      <c r="S774" s="115">
        <v>0</v>
      </c>
      <c r="T774" s="115">
        <v>0</v>
      </c>
      <c r="U774" s="115">
        <v>0</v>
      </c>
      <c r="V774" s="115">
        <v>0</v>
      </c>
      <c r="W774" s="6">
        <v>344</v>
      </c>
      <c r="X774" s="40">
        <f t="shared" si="58"/>
        <v>344</v>
      </c>
      <c r="Y774" s="40">
        <f t="shared" si="59"/>
        <v>344</v>
      </c>
      <c r="Z774" s="59">
        <v>0.4884</v>
      </c>
      <c r="AA774" s="59">
        <v>0.51160000000000005</v>
      </c>
      <c r="AB774" s="61">
        <v>0</v>
      </c>
      <c r="AC774" s="61">
        <v>0</v>
      </c>
      <c r="AD774" s="61">
        <v>0.20639534883720931</v>
      </c>
      <c r="AE774" s="61">
        <v>1.1627906976744186E-2</v>
      </c>
      <c r="AF774" s="61">
        <v>0</v>
      </c>
      <c r="AG774" s="61">
        <v>0.71511627906976749</v>
      </c>
      <c r="AH774" s="61">
        <v>6.6860465116279064E-2</v>
      </c>
      <c r="AI774" s="61">
        <v>0.28488372093023256</v>
      </c>
      <c r="AJ774" s="59">
        <v>0.61299999999999999</v>
      </c>
      <c r="AK774" s="59">
        <v>0</v>
      </c>
      <c r="AL774" s="3">
        <v>0</v>
      </c>
      <c r="AM774" s="3">
        <v>0</v>
      </c>
      <c r="AN774" s="3">
        <v>0</v>
      </c>
      <c r="AO774" s="3">
        <v>89</v>
      </c>
      <c r="AP774" s="3">
        <v>92</v>
      </c>
      <c r="AQ774" s="3">
        <v>86</v>
      </c>
      <c r="AR774" s="3">
        <v>77</v>
      </c>
      <c r="AS774" s="59">
        <v>0</v>
      </c>
      <c r="AT774" s="3">
        <v>9</v>
      </c>
      <c r="AU774" s="3">
        <v>6</v>
      </c>
      <c r="AV774" s="49">
        <v>71.904761904761898</v>
      </c>
      <c r="AW774" s="49">
        <v>20.952380952380999</v>
      </c>
      <c r="AX774" s="49">
        <v>6.6666666666666696</v>
      </c>
      <c r="AY774" s="67">
        <v>0.476190476190476</v>
      </c>
      <c r="AZ774" s="62">
        <v>1.9073569482288829E-2</v>
      </c>
      <c r="BA774" s="62">
        <v>0.19346049046321526</v>
      </c>
      <c r="BB774" s="78">
        <v>90.045929018789096</v>
      </c>
      <c r="BC774" s="49">
        <v>25.271739130434799</v>
      </c>
      <c r="BD774" s="90" t="s">
        <v>83</v>
      </c>
      <c r="BE774" s="90" t="s">
        <v>83</v>
      </c>
      <c r="BF774" s="87">
        <v>0</v>
      </c>
      <c r="BG774" s="87">
        <v>0</v>
      </c>
      <c r="BH774" s="87">
        <v>0</v>
      </c>
      <c r="BI774" s="87">
        <v>0</v>
      </c>
      <c r="BJ774" s="49">
        <v>19</v>
      </c>
      <c r="BK774" s="129">
        <v>10553</v>
      </c>
      <c r="BL774" s="129">
        <v>50842</v>
      </c>
      <c r="BM774" s="129">
        <v>40689</v>
      </c>
      <c r="BN774" s="129">
        <v>38750</v>
      </c>
      <c r="BO774" s="59">
        <v>0</v>
      </c>
      <c r="BP774" s="59">
        <v>0.3155</v>
      </c>
      <c r="BQ774" s="59">
        <v>0.1699</v>
      </c>
      <c r="BR774" s="59">
        <v>0</v>
      </c>
      <c r="BS774" s="59">
        <v>0</v>
      </c>
      <c r="BT774" s="49">
        <v>9.6</v>
      </c>
      <c r="BU774" s="59">
        <f t="shared" si="60"/>
        <v>0.4854</v>
      </c>
      <c r="BV774" s="59">
        <v>7.1099999999999997E-2</v>
      </c>
      <c r="BW774" s="59">
        <v>0</v>
      </c>
      <c r="BX774" s="59">
        <v>5.62E-2</v>
      </c>
      <c r="BY774" s="59">
        <v>0</v>
      </c>
      <c r="BZ774" s="59">
        <v>0</v>
      </c>
      <c r="CA774" s="49">
        <v>16.600000000000001</v>
      </c>
      <c r="CB774" s="59">
        <f t="shared" si="61"/>
        <v>0.1273</v>
      </c>
      <c r="CC774" s="59">
        <v>0.40989999999999999</v>
      </c>
      <c r="CD774" s="59">
        <v>0.33979999999999999</v>
      </c>
      <c r="CE774" s="59">
        <v>0.25030000000000002</v>
      </c>
      <c r="CF774" s="59">
        <v>0</v>
      </c>
      <c r="CG774" s="59">
        <v>0</v>
      </c>
      <c r="CH774" s="49">
        <v>11.7</v>
      </c>
      <c r="CI774" s="26" t="s">
        <v>239</v>
      </c>
      <c r="CJ774" s="18" t="s">
        <v>489</v>
      </c>
      <c r="CK774" s="20"/>
    </row>
    <row r="775" spans="1:89" x14ac:dyDescent="0.25">
      <c r="A775" s="18" t="s">
        <v>489</v>
      </c>
      <c r="B775" s="19" t="s">
        <v>240</v>
      </c>
      <c r="C775" s="26" t="s">
        <v>241</v>
      </c>
      <c r="D775" s="6">
        <v>73</v>
      </c>
      <c r="E775" s="40" t="s">
        <v>83</v>
      </c>
      <c r="F775" s="6">
        <v>73</v>
      </c>
      <c r="G775" s="162" t="s">
        <v>83</v>
      </c>
      <c r="H775" s="162" t="s">
        <v>83</v>
      </c>
      <c r="I775" s="163">
        <v>5</v>
      </c>
      <c r="J775" s="163">
        <v>24</v>
      </c>
      <c r="K775" s="163">
        <v>24</v>
      </c>
      <c r="L775" s="163">
        <v>8</v>
      </c>
      <c r="M775" s="163">
        <v>12</v>
      </c>
      <c r="N775" s="115">
        <v>3.4564393939393902E-2</v>
      </c>
      <c r="O775" s="115">
        <v>3.4564393939393902E-2</v>
      </c>
      <c r="P775" s="116" t="s">
        <v>83</v>
      </c>
      <c r="Q775" s="116" t="s">
        <v>83</v>
      </c>
      <c r="R775" s="115">
        <v>9.0909090909090898E-2</v>
      </c>
      <c r="S775" s="115">
        <v>3.6697247706422E-2</v>
      </c>
      <c r="T775" s="115">
        <v>4.3243243243243197E-2</v>
      </c>
      <c r="U775" s="115">
        <v>1.75824175824176E-2</v>
      </c>
      <c r="V775" s="115">
        <v>3.0534351145038201E-2</v>
      </c>
      <c r="W775" s="6">
        <v>1888</v>
      </c>
      <c r="X775" s="40">
        <f t="shared" si="58"/>
        <v>1888</v>
      </c>
      <c r="Y775" s="40">
        <f t="shared" si="59"/>
        <v>1888</v>
      </c>
      <c r="Z775" s="59">
        <v>0.48620000000000002</v>
      </c>
      <c r="AA775" s="59">
        <v>0.51380000000000003</v>
      </c>
      <c r="AB775" s="61">
        <v>3.1779661016949155E-3</v>
      </c>
      <c r="AC775" s="61">
        <v>1.2711864406779662E-2</v>
      </c>
      <c r="AD775" s="61">
        <v>0.41472457627118642</v>
      </c>
      <c r="AE775" s="61">
        <v>9.110169491525423E-2</v>
      </c>
      <c r="AF775" s="61">
        <v>5.2966101694915254E-4</v>
      </c>
      <c r="AG775" s="61">
        <v>0.47404661016949151</v>
      </c>
      <c r="AH775" s="61">
        <v>3.7076271186440679E-3</v>
      </c>
      <c r="AI775" s="61">
        <v>0.52595338983050843</v>
      </c>
      <c r="AJ775" s="59">
        <v>0.73099999999999998</v>
      </c>
      <c r="AK775" s="59">
        <v>3.7100000000000001E-2</v>
      </c>
      <c r="AL775" s="3">
        <v>0</v>
      </c>
      <c r="AM775" s="3">
        <v>0</v>
      </c>
      <c r="AN775" s="3">
        <v>46</v>
      </c>
      <c r="AO775" s="3">
        <v>566</v>
      </c>
      <c r="AP775" s="3">
        <v>491</v>
      </c>
      <c r="AQ775" s="3">
        <v>420</v>
      </c>
      <c r="AR775" s="3">
        <v>365</v>
      </c>
      <c r="AS775" s="59">
        <v>7.5163398692810454E-2</v>
      </c>
      <c r="AT775" s="3">
        <v>9</v>
      </c>
      <c r="AU775" s="3">
        <v>6</v>
      </c>
      <c r="AV775" s="49">
        <v>42.528735632183903</v>
      </c>
      <c r="AW775" s="49">
        <v>19.667943805874799</v>
      </c>
      <c r="AX775" s="49">
        <v>36.1430395913155</v>
      </c>
      <c r="AY775" s="67">
        <v>1.6602809706257999</v>
      </c>
      <c r="AZ775" s="62">
        <v>0.23347805113362277</v>
      </c>
      <c r="BA775" s="62">
        <v>0.15002411963338158</v>
      </c>
      <c r="BB775" s="77">
        <v>91.793311122501294</v>
      </c>
      <c r="BC775" s="49">
        <v>43.093661305581797</v>
      </c>
      <c r="BD775" s="90" t="s">
        <v>83</v>
      </c>
      <c r="BE775" s="90" t="s">
        <v>83</v>
      </c>
      <c r="BF775" s="87">
        <v>8.9</v>
      </c>
      <c r="BG775" s="87">
        <v>6</v>
      </c>
      <c r="BH775" s="87">
        <v>5.9</v>
      </c>
      <c r="BI775" s="87">
        <v>4.4000000000000004</v>
      </c>
      <c r="BJ775" s="49">
        <v>18.8</v>
      </c>
      <c r="BK775" s="129">
        <v>8547</v>
      </c>
      <c r="BL775" s="129">
        <v>49868</v>
      </c>
      <c r="BM775" s="129">
        <v>37358</v>
      </c>
      <c r="BN775" s="129">
        <v>41769</v>
      </c>
      <c r="BO775" s="59">
        <v>6.8999999999999999E-3</v>
      </c>
      <c r="BP775" s="59">
        <v>0.42930000000000001</v>
      </c>
      <c r="BQ775" s="59">
        <v>0.1603</v>
      </c>
      <c r="BR775" s="59">
        <v>6.8999999999999999E-3</v>
      </c>
      <c r="BS775" s="59">
        <v>0</v>
      </c>
      <c r="BT775" s="49">
        <v>8.9</v>
      </c>
      <c r="BU775" s="59">
        <f t="shared" si="60"/>
        <v>0.60340000000000005</v>
      </c>
      <c r="BV775" s="59">
        <v>5.33E-2</v>
      </c>
      <c r="BW775" s="59">
        <v>0</v>
      </c>
      <c r="BX775" s="59">
        <v>2.07E-2</v>
      </c>
      <c r="BY775" s="59">
        <v>6.8999999999999999E-3</v>
      </c>
      <c r="BZ775" s="59">
        <v>0</v>
      </c>
      <c r="CA775" s="49">
        <v>9</v>
      </c>
      <c r="CB775" s="59">
        <f t="shared" si="61"/>
        <v>8.09E-2</v>
      </c>
      <c r="CC775" s="59">
        <v>0.28260000000000002</v>
      </c>
      <c r="CD775" s="59">
        <v>0.46750000000000003</v>
      </c>
      <c r="CE775" s="59">
        <v>0.2361</v>
      </c>
      <c r="CF775" s="59">
        <v>1.38E-2</v>
      </c>
      <c r="CG775" s="59">
        <v>0</v>
      </c>
      <c r="CH775" s="49">
        <v>8.5</v>
      </c>
      <c r="CI775" s="26" t="s">
        <v>241</v>
      </c>
      <c r="CJ775" s="18" t="s">
        <v>489</v>
      </c>
      <c r="CK775" s="20"/>
    </row>
    <row r="776" spans="1:89" x14ac:dyDescent="0.25">
      <c r="A776" s="18" t="s">
        <v>489</v>
      </c>
      <c r="B776" s="19" t="s">
        <v>240</v>
      </c>
      <c r="C776" s="26" t="s">
        <v>242</v>
      </c>
      <c r="D776" s="6">
        <v>73</v>
      </c>
      <c r="E776" s="40" t="s">
        <v>83</v>
      </c>
      <c r="F776" s="6">
        <v>73</v>
      </c>
      <c r="G776" s="162" t="s">
        <v>83</v>
      </c>
      <c r="H776" s="162" t="s">
        <v>83</v>
      </c>
      <c r="I776" s="163">
        <v>1</v>
      </c>
      <c r="J776" s="163">
        <v>39</v>
      </c>
      <c r="K776" s="163">
        <v>12</v>
      </c>
      <c r="L776" s="163">
        <v>13</v>
      </c>
      <c r="M776" s="163">
        <v>8</v>
      </c>
      <c r="N776" s="115">
        <v>5.7165231010180097E-2</v>
      </c>
      <c r="O776" s="115">
        <v>5.7165231010180097E-2</v>
      </c>
      <c r="P776" s="116" t="s">
        <v>83</v>
      </c>
      <c r="Q776" s="116" t="s">
        <v>83</v>
      </c>
      <c r="R776" s="115">
        <v>2.6315789473684199E-2</v>
      </c>
      <c r="S776" s="115">
        <v>9.4890510948905105E-2</v>
      </c>
      <c r="T776" s="115">
        <v>3.8461538461538498E-2</v>
      </c>
      <c r="U776" s="115">
        <v>4.3046357615894003E-2</v>
      </c>
      <c r="V776" s="115">
        <v>3.7383177570093497E-2</v>
      </c>
      <c r="W776" s="6">
        <v>1091</v>
      </c>
      <c r="X776" s="40">
        <f t="shared" si="58"/>
        <v>1091</v>
      </c>
      <c r="Y776" s="40">
        <f t="shared" si="59"/>
        <v>1091</v>
      </c>
      <c r="Z776" s="59">
        <v>0.439</v>
      </c>
      <c r="AA776" s="59">
        <v>0.56100000000000005</v>
      </c>
      <c r="AB776" s="61">
        <v>3.6663611365719525E-3</v>
      </c>
      <c r="AC776" s="61">
        <v>1.0082493125572869E-2</v>
      </c>
      <c r="AD776" s="61">
        <v>0.62328139321723186</v>
      </c>
      <c r="AE776" s="61">
        <v>4.2163153070577448E-2</v>
      </c>
      <c r="AF776" s="61">
        <v>0</v>
      </c>
      <c r="AG776" s="61">
        <v>0.31347387717690195</v>
      </c>
      <c r="AH776" s="61">
        <v>7.3327222731439049E-3</v>
      </c>
      <c r="AI776" s="61">
        <v>0.68652612282309811</v>
      </c>
      <c r="AJ776" s="59">
        <v>0.81899999999999995</v>
      </c>
      <c r="AK776" s="59">
        <v>1.1900000000000001E-2</v>
      </c>
      <c r="AL776" s="3">
        <v>0</v>
      </c>
      <c r="AM776" s="3">
        <v>0</v>
      </c>
      <c r="AN776" s="3">
        <v>34</v>
      </c>
      <c r="AO776" s="3">
        <v>315</v>
      </c>
      <c r="AP776" s="3">
        <v>275</v>
      </c>
      <c r="AQ776" s="3">
        <v>272</v>
      </c>
      <c r="AR776" s="3">
        <v>195</v>
      </c>
      <c r="AS776" s="59">
        <v>9.7421203438395415E-2</v>
      </c>
      <c r="AT776" s="3">
        <v>9</v>
      </c>
      <c r="AU776" s="3">
        <v>6</v>
      </c>
      <c r="AV776" s="49">
        <v>65.318818040435502</v>
      </c>
      <c r="AW776" s="49">
        <v>20.99533437014</v>
      </c>
      <c r="AX776" s="49">
        <v>12.9082426127527</v>
      </c>
      <c r="AY776" s="67">
        <v>0.77760497667185102</v>
      </c>
      <c r="AZ776" s="62">
        <v>0.29303442754203363</v>
      </c>
      <c r="BA776" s="62">
        <v>0.22578062449959968</v>
      </c>
      <c r="BB776" s="78">
        <v>91.269458622199295</v>
      </c>
      <c r="BC776" s="49">
        <v>48.379446640316203</v>
      </c>
      <c r="BD776" s="90" t="s">
        <v>83</v>
      </c>
      <c r="BE776" s="90" t="s">
        <v>83</v>
      </c>
      <c r="BF776" s="87">
        <v>14.3</v>
      </c>
      <c r="BG776" s="87">
        <v>10.4</v>
      </c>
      <c r="BH776" s="87">
        <v>12</v>
      </c>
      <c r="BI776" s="87">
        <v>3.8</v>
      </c>
      <c r="BJ776" s="49">
        <v>17.600000000000001</v>
      </c>
      <c r="BK776" s="129">
        <v>9886</v>
      </c>
      <c r="BL776" s="129">
        <v>51210</v>
      </c>
      <c r="BM776" s="129">
        <v>36979</v>
      </c>
      <c r="BN776" s="129">
        <v>42151</v>
      </c>
      <c r="BO776" s="59">
        <v>0</v>
      </c>
      <c r="BP776" s="59">
        <v>0.39369999999999999</v>
      </c>
      <c r="BQ776" s="59">
        <v>0.1734</v>
      </c>
      <c r="BR776" s="59">
        <v>0</v>
      </c>
      <c r="BS776" s="59">
        <v>0</v>
      </c>
      <c r="BT776" s="49">
        <v>10.6</v>
      </c>
      <c r="BU776" s="59">
        <f t="shared" si="60"/>
        <v>0.56709999999999994</v>
      </c>
      <c r="BV776" s="59">
        <v>6.6799999999999998E-2</v>
      </c>
      <c r="BW776" s="59">
        <v>0</v>
      </c>
      <c r="BX776" s="59">
        <v>2.8899999999999999E-2</v>
      </c>
      <c r="BY776" s="59">
        <v>0</v>
      </c>
      <c r="BZ776" s="59">
        <v>0</v>
      </c>
      <c r="CA776" s="49">
        <v>14.7</v>
      </c>
      <c r="CB776" s="59">
        <f t="shared" si="61"/>
        <v>9.5699999999999993E-2</v>
      </c>
      <c r="CC776" s="59">
        <v>0.29720000000000002</v>
      </c>
      <c r="CD776" s="59">
        <v>0.45219999999999999</v>
      </c>
      <c r="CE776" s="59">
        <v>0.25059999999999999</v>
      </c>
      <c r="CF776" s="59">
        <v>0</v>
      </c>
      <c r="CG776" s="59">
        <v>0</v>
      </c>
      <c r="CH776" s="49">
        <v>9.3000000000000007</v>
      </c>
      <c r="CI776" s="26" t="s">
        <v>242</v>
      </c>
      <c r="CJ776" s="18" t="s">
        <v>489</v>
      </c>
      <c r="CK776" s="20"/>
    </row>
    <row r="777" spans="1:89" x14ac:dyDescent="0.25">
      <c r="A777" s="18" t="s">
        <v>489</v>
      </c>
      <c r="B777" s="19" t="s">
        <v>240</v>
      </c>
      <c r="C777" s="26" t="s">
        <v>243</v>
      </c>
      <c r="D777" s="6">
        <v>47</v>
      </c>
      <c r="E777" s="40" t="s">
        <v>83</v>
      </c>
      <c r="F777" s="6">
        <v>47</v>
      </c>
      <c r="G777" s="162" t="s">
        <v>83</v>
      </c>
      <c r="H777" s="162" t="s">
        <v>83</v>
      </c>
      <c r="I777" s="163">
        <v>0</v>
      </c>
      <c r="J777" s="163">
        <v>13</v>
      </c>
      <c r="K777" s="163">
        <v>18</v>
      </c>
      <c r="L777" s="163">
        <v>6</v>
      </c>
      <c r="M777" s="163">
        <v>10</v>
      </c>
      <c r="N777" s="115">
        <v>2.10479175996417E-2</v>
      </c>
      <c r="O777" s="115">
        <v>2.10479175996417E-2</v>
      </c>
      <c r="P777" s="116" t="s">
        <v>83</v>
      </c>
      <c r="Q777" s="116" t="s">
        <v>83</v>
      </c>
      <c r="R777" s="115">
        <v>0</v>
      </c>
      <c r="S777" s="115">
        <v>1.9259259259259299E-2</v>
      </c>
      <c r="T777" s="115">
        <v>3.08747855917667E-2</v>
      </c>
      <c r="U777" s="115">
        <v>1.21951219512195E-2</v>
      </c>
      <c r="V777" s="115">
        <v>2.1691973969631202E-2</v>
      </c>
      <c r="W777" s="6">
        <v>2041</v>
      </c>
      <c r="X777" s="40">
        <f t="shared" si="58"/>
        <v>2041</v>
      </c>
      <c r="Y777" s="40">
        <f t="shared" si="59"/>
        <v>2041</v>
      </c>
      <c r="Z777" s="59">
        <v>0.50019999999999998</v>
      </c>
      <c r="AA777" s="59">
        <v>0.49980000000000002</v>
      </c>
      <c r="AB777" s="61">
        <v>3.9196472317491425E-3</v>
      </c>
      <c r="AC777" s="61">
        <v>2.6457618814306711E-2</v>
      </c>
      <c r="AD777" s="61">
        <v>0.28760411562959332</v>
      </c>
      <c r="AE777" s="61">
        <v>4.1646251837334641E-2</v>
      </c>
      <c r="AF777" s="61">
        <v>0</v>
      </c>
      <c r="AG777" s="61">
        <v>0.62861342479176874</v>
      </c>
      <c r="AH777" s="61">
        <v>1.1758941695247428E-2</v>
      </c>
      <c r="AI777" s="61">
        <v>0.37138657520823126</v>
      </c>
      <c r="AJ777" s="59">
        <v>0.57099999999999995</v>
      </c>
      <c r="AK777" s="59">
        <v>4.8999999999999998E-3</v>
      </c>
      <c r="AL777" s="3">
        <v>0</v>
      </c>
      <c r="AM777" s="3">
        <v>0</v>
      </c>
      <c r="AN777" s="3">
        <v>17</v>
      </c>
      <c r="AO777" s="3">
        <v>596</v>
      </c>
      <c r="AP777" s="3">
        <v>533</v>
      </c>
      <c r="AQ777" s="3">
        <v>456</v>
      </c>
      <c r="AR777" s="3">
        <v>439</v>
      </c>
      <c r="AS777" s="59">
        <v>2.7732463295269169E-2</v>
      </c>
      <c r="AT777" s="3">
        <v>9</v>
      </c>
      <c r="AU777" s="3">
        <v>6</v>
      </c>
      <c r="AV777" s="49">
        <v>53.048780487804905</v>
      </c>
      <c r="AW777" s="49">
        <v>15.975609756097601</v>
      </c>
      <c r="AX777" s="49">
        <v>28.780487804878003</v>
      </c>
      <c r="AY777" s="67">
        <v>2.1951219512195101</v>
      </c>
      <c r="AZ777" s="62">
        <v>0.22799097065462753</v>
      </c>
      <c r="BA777" s="62">
        <v>0.12325056433408578</v>
      </c>
      <c r="BB777" s="77">
        <v>93.203854907999897</v>
      </c>
      <c r="BC777" s="49">
        <v>31.261022927689599</v>
      </c>
      <c r="BD777" s="90" t="s">
        <v>83</v>
      </c>
      <c r="BE777" s="90" t="s">
        <v>83</v>
      </c>
      <c r="BF777" s="87">
        <v>7.5</v>
      </c>
      <c r="BG777" s="87">
        <v>4.7</v>
      </c>
      <c r="BH777" s="87">
        <v>4</v>
      </c>
      <c r="BI777" s="87">
        <v>1.7</v>
      </c>
      <c r="BJ777" s="49">
        <v>20</v>
      </c>
      <c r="BK777" s="129">
        <v>8000</v>
      </c>
      <c r="BL777" s="129">
        <v>51427</v>
      </c>
      <c r="BM777" s="129">
        <v>38994</v>
      </c>
      <c r="BN777" s="129">
        <v>44866</v>
      </c>
      <c r="BO777" s="59">
        <v>0</v>
      </c>
      <c r="BP777" s="59">
        <v>0.42459999999999998</v>
      </c>
      <c r="BQ777" s="59">
        <v>0.20660000000000001</v>
      </c>
      <c r="BR777" s="59">
        <v>7.4000000000000003E-3</v>
      </c>
      <c r="BS777" s="59">
        <v>7.6E-3</v>
      </c>
      <c r="BT777" s="49">
        <v>11</v>
      </c>
      <c r="BU777" s="59">
        <f t="shared" si="60"/>
        <v>0.6462</v>
      </c>
      <c r="BV777" s="59">
        <v>5.9400000000000001E-2</v>
      </c>
      <c r="BW777" s="59">
        <v>0</v>
      </c>
      <c r="BX777" s="59">
        <v>3.73E-2</v>
      </c>
      <c r="BY777" s="59">
        <v>0</v>
      </c>
      <c r="BZ777" s="59">
        <v>0</v>
      </c>
      <c r="CA777" s="49">
        <v>13.3</v>
      </c>
      <c r="CB777" s="59">
        <f t="shared" si="61"/>
        <v>9.6700000000000008E-2</v>
      </c>
      <c r="CC777" s="59">
        <v>0.2419</v>
      </c>
      <c r="CD777" s="59">
        <v>0.43940000000000001</v>
      </c>
      <c r="CE777" s="59">
        <v>0.30370000000000003</v>
      </c>
      <c r="CF777" s="59">
        <v>7.4000000000000003E-3</v>
      </c>
      <c r="CG777" s="59">
        <v>7.6E-3</v>
      </c>
      <c r="CH777" s="49">
        <v>11.1</v>
      </c>
      <c r="CI777" s="26" t="s">
        <v>243</v>
      </c>
      <c r="CJ777" s="18" t="s">
        <v>489</v>
      </c>
      <c r="CK777" s="20"/>
    </row>
    <row r="778" spans="1:89" x14ac:dyDescent="0.25">
      <c r="A778" s="18" t="s">
        <v>489</v>
      </c>
      <c r="B778" s="19" t="s">
        <v>240</v>
      </c>
      <c r="C778" s="26" t="s">
        <v>244</v>
      </c>
      <c r="D778" s="6">
        <v>43</v>
      </c>
      <c r="E778" s="40" t="s">
        <v>83</v>
      </c>
      <c r="F778" s="6">
        <v>43</v>
      </c>
      <c r="G778" s="162" t="s">
        <v>83</v>
      </c>
      <c r="H778" s="162" t="s">
        <v>83</v>
      </c>
      <c r="I778" s="163">
        <v>0</v>
      </c>
      <c r="J778" s="163">
        <v>13</v>
      </c>
      <c r="K778" s="163">
        <v>17</v>
      </c>
      <c r="L778" s="163">
        <v>8</v>
      </c>
      <c r="M778" s="163">
        <v>5</v>
      </c>
      <c r="N778" s="115">
        <v>1.7016224772457501E-2</v>
      </c>
      <c r="O778" s="115">
        <v>1.7016224772457501E-2</v>
      </c>
      <c r="P778" s="116" t="s">
        <v>83</v>
      </c>
      <c r="Q778" s="116" t="s">
        <v>83</v>
      </c>
      <c r="R778" s="115">
        <v>0</v>
      </c>
      <c r="S778" s="115">
        <v>1.9726858877086501E-2</v>
      </c>
      <c r="T778" s="115">
        <v>2.48538011695906E-2</v>
      </c>
      <c r="U778" s="115">
        <v>1.4084507042253501E-2</v>
      </c>
      <c r="V778" s="115">
        <v>9.3283582089552196E-3</v>
      </c>
      <c r="W778" s="6">
        <v>2357</v>
      </c>
      <c r="X778" s="40">
        <f t="shared" si="58"/>
        <v>2357</v>
      </c>
      <c r="Y778" s="40">
        <f t="shared" si="59"/>
        <v>2357</v>
      </c>
      <c r="Z778" s="59">
        <v>0.53749999999999998</v>
      </c>
      <c r="AA778" s="59">
        <v>0.46250000000000002</v>
      </c>
      <c r="AB778" s="61">
        <v>2.1213406873143827E-3</v>
      </c>
      <c r="AC778" s="61">
        <v>5.1336444633008065E-2</v>
      </c>
      <c r="AD778" s="61">
        <v>0.32456512515910058</v>
      </c>
      <c r="AE778" s="61">
        <v>5.260924904539669E-2</v>
      </c>
      <c r="AF778" s="61">
        <v>1.2728044123886295E-3</v>
      </c>
      <c r="AG778" s="61">
        <v>0.56003394145099705</v>
      </c>
      <c r="AH778" s="61">
        <v>8.0610946117946544E-3</v>
      </c>
      <c r="AI778" s="61">
        <v>0.43996605854900295</v>
      </c>
      <c r="AJ778" s="59">
        <v>0.53600000000000003</v>
      </c>
      <c r="AK778" s="59">
        <v>3.2199999999999999E-2</v>
      </c>
      <c r="AL778" s="3">
        <v>0</v>
      </c>
      <c r="AM778" s="3">
        <v>0</v>
      </c>
      <c r="AN778" s="3">
        <v>72</v>
      </c>
      <c r="AO778" s="3">
        <v>600</v>
      </c>
      <c r="AP778" s="3">
        <v>630</v>
      </c>
      <c r="AQ778" s="3">
        <v>535</v>
      </c>
      <c r="AR778" s="3">
        <v>520</v>
      </c>
      <c r="AS778" s="59">
        <v>0.10714285714285714</v>
      </c>
      <c r="AT778" s="3">
        <v>9</v>
      </c>
      <c r="AU778" s="3">
        <v>6</v>
      </c>
      <c r="AV778" s="49">
        <v>59.2724046140195</v>
      </c>
      <c r="AW778" s="49">
        <v>24.046140195208501</v>
      </c>
      <c r="AX778" s="49">
        <v>15.9716060337178</v>
      </c>
      <c r="AY778" s="67">
        <v>0.70984915705412599</v>
      </c>
      <c r="AZ778" s="62">
        <v>0.19273743016759776</v>
      </c>
      <c r="BA778" s="62">
        <v>9.7765363128491614E-2</v>
      </c>
      <c r="BB778" s="78">
        <v>94.642477956641301</v>
      </c>
      <c r="BC778" s="49">
        <v>24.940805051302299</v>
      </c>
      <c r="BD778" s="90" t="s">
        <v>83</v>
      </c>
      <c r="BE778" s="90" t="s">
        <v>83</v>
      </c>
      <c r="BF778" s="87">
        <v>6.2</v>
      </c>
      <c r="BG778" s="87">
        <v>4</v>
      </c>
      <c r="BH778" s="87">
        <v>4.4000000000000004</v>
      </c>
      <c r="BI778" s="87">
        <v>3</v>
      </c>
      <c r="BJ778" s="49">
        <v>22.5</v>
      </c>
      <c r="BK778" s="129">
        <v>9327</v>
      </c>
      <c r="BL778" s="129">
        <v>49998</v>
      </c>
      <c r="BM778" s="129">
        <v>42596</v>
      </c>
      <c r="BN778" s="129">
        <v>43015</v>
      </c>
      <c r="BO778" s="59">
        <v>0</v>
      </c>
      <c r="BP778" s="59">
        <v>0.39419999999999999</v>
      </c>
      <c r="BQ778" s="59">
        <v>0.2374</v>
      </c>
      <c r="BR778" s="59">
        <v>0</v>
      </c>
      <c r="BS778" s="59">
        <v>1.47E-2</v>
      </c>
      <c r="BT778" s="49">
        <v>9.1999999999999993</v>
      </c>
      <c r="BU778" s="59">
        <f t="shared" si="60"/>
        <v>0.64629999999999999</v>
      </c>
      <c r="BV778" s="59">
        <v>3.44E-2</v>
      </c>
      <c r="BW778" s="59">
        <v>4.8999999999999998E-3</v>
      </c>
      <c r="BX778" s="59">
        <v>2.46E-2</v>
      </c>
      <c r="BY778" s="59">
        <v>0</v>
      </c>
      <c r="BZ778" s="59">
        <v>4.8999999999999998E-3</v>
      </c>
      <c r="CA778" s="49">
        <v>14.1</v>
      </c>
      <c r="CB778" s="59">
        <f t="shared" si="61"/>
        <v>6.88E-2</v>
      </c>
      <c r="CC778" s="59">
        <v>0.23849999999999999</v>
      </c>
      <c r="CD778" s="59">
        <v>0.441</v>
      </c>
      <c r="CE778" s="59">
        <v>0.3009</v>
      </c>
      <c r="CF778" s="59">
        <v>0</v>
      </c>
      <c r="CG778" s="59">
        <v>1.9699999999999999E-2</v>
      </c>
      <c r="CH778" s="49">
        <v>9.1999999999999993</v>
      </c>
      <c r="CI778" s="26" t="s">
        <v>244</v>
      </c>
      <c r="CJ778" s="18" t="s">
        <v>489</v>
      </c>
      <c r="CK778" s="20"/>
    </row>
    <row r="779" spans="1:89" x14ac:dyDescent="0.25">
      <c r="A779" s="18" t="s">
        <v>489</v>
      </c>
      <c r="B779" s="19" t="s">
        <v>240</v>
      </c>
      <c r="C779" s="26" t="s">
        <v>245</v>
      </c>
      <c r="D779" s="6">
        <v>58</v>
      </c>
      <c r="E779" s="40" t="s">
        <v>83</v>
      </c>
      <c r="F779" s="6">
        <v>58</v>
      </c>
      <c r="G779" s="162" t="s">
        <v>83</v>
      </c>
      <c r="H779" s="162" t="s">
        <v>83</v>
      </c>
      <c r="I779" s="163">
        <v>1</v>
      </c>
      <c r="J779" s="163">
        <v>14</v>
      </c>
      <c r="K779" s="163">
        <v>21</v>
      </c>
      <c r="L779" s="163">
        <v>11</v>
      </c>
      <c r="M779" s="163">
        <v>11</v>
      </c>
      <c r="N779" s="115">
        <v>7.0991432068543497E-2</v>
      </c>
      <c r="O779" s="115">
        <v>7.0991432068543497E-2</v>
      </c>
      <c r="P779" s="116" t="s">
        <v>83</v>
      </c>
      <c r="Q779" s="116" t="s">
        <v>83</v>
      </c>
      <c r="R779" s="115">
        <v>1.5151515151515201E-2</v>
      </c>
      <c r="S779" s="115">
        <v>7.4866310160427801E-2</v>
      </c>
      <c r="T779" s="115">
        <v>8.5714285714285701E-2</v>
      </c>
      <c r="U779" s="115">
        <v>6.0773480662983402E-2</v>
      </c>
      <c r="V779" s="115">
        <v>7.9710144927536197E-2</v>
      </c>
      <c r="W779" s="6">
        <v>696</v>
      </c>
      <c r="X779" s="40">
        <f t="shared" si="58"/>
        <v>696</v>
      </c>
      <c r="Y779" s="40">
        <f t="shared" si="59"/>
        <v>696</v>
      </c>
      <c r="Z779" s="59">
        <v>0.48709999999999998</v>
      </c>
      <c r="AA779" s="59">
        <v>0.51290000000000002</v>
      </c>
      <c r="AB779" s="61">
        <v>0</v>
      </c>
      <c r="AC779" s="61">
        <v>4.3103448275862068E-3</v>
      </c>
      <c r="AD779" s="61">
        <v>0.92241379310344829</v>
      </c>
      <c r="AE779" s="61">
        <v>1.1494252873563218E-2</v>
      </c>
      <c r="AF779" s="61">
        <v>0</v>
      </c>
      <c r="AG779" s="61">
        <v>5.7471264367816091E-2</v>
      </c>
      <c r="AH779" s="61">
        <v>4.3103448275862068E-3</v>
      </c>
      <c r="AI779" s="61">
        <v>0.94252873563218387</v>
      </c>
      <c r="AJ779" s="59">
        <v>0.92400000000000004</v>
      </c>
      <c r="AK779" s="59">
        <v>1.4E-3</v>
      </c>
      <c r="AL779" s="3">
        <v>0</v>
      </c>
      <c r="AM779" s="3">
        <v>0</v>
      </c>
      <c r="AN779" s="3">
        <v>57</v>
      </c>
      <c r="AO779" s="3">
        <v>148</v>
      </c>
      <c r="AP779" s="3">
        <v>202</v>
      </c>
      <c r="AQ779" s="3">
        <v>165</v>
      </c>
      <c r="AR779" s="3">
        <v>124</v>
      </c>
      <c r="AS779" s="59">
        <v>0.2780487804878049</v>
      </c>
      <c r="AT779" s="3">
        <v>9</v>
      </c>
      <c r="AU779" s="3">
        <v>6</v>
      </c>
      <c r="AV779" s="49">
        <v>65.517241379310292</v>
      </c>
      <c r="AW779" s="49">
        <v>26.149425287356298</v>
      </c>
      <c r="AX779" s="49">
        <v>8.0459770114942497</v>
      </c>
      <c r="AY779" s="67">
        <v>0.28735632183908</v>
      </c>
      <c r="AZ779" s="62">
        <v>0.33333333333333331</v>
      </c>
      <c r="BA779" s="62">
        <v>0.3005050505050505</v>
      </c>
      <c r="BB779" s="77">
        <v>86.475306530310903</v>
      </c>
      <c r="BC779" s="49">
        <v>57.436517533252697</v>
      </c>
      <c r="BD779" s="90" t="s">
        <v>83</v>
      </c>
      <c r="BE779" s="90" t="s">
        <v>83</v>
      </c>
      <c r="BF779" s="87">
        <v>24</v>
      </c>
      <c r="BG779" s="87">
        <v>26.5</v>
      </c>
      <c r="BH779" s="87">
        <v>7.3</v>
      </c>
      <c r="BI779" s="87">
        <v>8.6</v>
      </c>
      <c r="BJ779" s="49">
        <v>16.8</v>
      </c>
      <c r="BK779" s="129">
        <v>11608</v>
      </c>
      <c r="BL779" s="129">
        <v>48565</v>
      </c>
      <c r="BM779" s="129">
        <v>38021</v>
      </c>
      <c r="BN779" s="129">
        <v>38726</v>
      </c>
      <c r="BO779" s="59">
        <v>0</v>
      </c>
      <c r="BP779" s="59">
        <v>0.3105</v>
      </c>
      <c r="BQ779" s="59">
        <v>0.1419</v>
      </c>
      <c r="BR779" s="59">
        <v>1.18E-2</v>
      </c>
      <c r="BS779" s="59">
        <v>0</v>
      </c>
      <c r="BT779" s="49">
        <v>7.9</v>
      </c>
      <c r="BU779" s="59">
        <f t="shared" si="60"/>
        <v>0.4642</v>
      </c>
      <c r="BV779" s="59">
        <v>6.4299999999999996E-2</v>
      </c>
      <c r="BW779" s="59">
        <v>0</v>
      </c>
      <c r="BX779" s="59">
        <v>3.5499999999999997E-2</v>
      </c>
      <c r="BY779" s="59">
        <v>0</v>
      </c>
      <c r="BZ779" s="59">
        <v>0</v>
      </c>
      <c r="CA779" s="49">
        <v>8.8000000000000007</v>
      </c>
      <c r="CB779" s="59">
        <f t="shared" si="61"/>
        <v>9.98E-2</v>
      </c>
      <c r="CC779" s="59">
        <v>0.35470000000000002</v>
      </c>
      <c r="CD779" s="59">
        <v>0.34599999999999997</v>
      </c>
      <c r="CE779" s="59">
        <v>0.2757</v>
      </c>
      <c r="CF779" s="59">
        <v>1.18E-2</v>
      </c>
      <c r="CG779" s="59">
        <v>1.18E-2</v>
      </c>
      <c r="CH779" s="49">
        <v>7.7</v>
      </c>
      <c r="CI779" s="26" t="s">
        <v>245</v>
      </c>
      <c r="CJ779" s="18" t="s">
        <v>489</v>
      </c>
      <c r="CK779" s="20"/>
    </row>
    <row r="780" spans="1:89" x14ac:dyDescent="0.25">
      <c r="A780" s="18" t="s">
        <v>489</v>
      </c>
      <c r="B780" s="19" t="s">
        <v>240</v>
      </c>
      <c r="C780" s="26" t="s">
        <v>246</v>
      </c>
      <c r="D780" s="6">
        <v>0</v>
      </c>
      <c r="E780" s="40" t="s">
        <v>83</v>
      </c>
      <c r="F780" s="6">
        <v>0</v>
      </c>
      <c r="G780" s="162" t="s">
        <v>83</v>
      </c>
      <c r="H780" s="162" t="s">
        <v>83</v>
      </c>
      <c r="I780" s="162" t="s">
        <v>83</v>
      </c>
      <c r="J780" s="163">
        <v>0</v>
      </c>
      <c r="K780" s="163">
        <v>0</v>
      </c>
      <c r="L780" s="163">
        <v>0</v>
      </c>
      <c r="M780" s="163">
        <v>0</v>
      </c>
      <c r="N780" s="115">
        <v>0</v>
      </c>
      <c r="O780" s="115">
        <v>0</v>
      </c>
      <c r="P780" s="116" t="s">
        <v>83</v>
      </c>
      <c r="Q780" s="116" t="s">
        <v>83</v>
      </c>
      <c r="R780" s="116" t="s">
        <v>83</v>
      </c>
      <c r="S780" s="115">
        <v>0</v>
      </c>
      <c r="T780" s="115">
        <v>0</v>
      </c>
      <c r="U780" s="115">
        <v>0</v>
      </c>
      <c r="V780" s="115">
        <v>0</v>
      </c>
      <c r="W780" s="6">
        <v>260</v>
      </c>
      <c r="X780" s="40">
        <f t="shared" si="58"/>
        <v>260</v>
      </c>
      <c r="Y780" s="40">
        <f t="shared" si="59"/>
        <v>260</v>
      </c>
      <c r="Z780" s="59">
        <v>0.62690000000000001</v>
      </c>
      <c r="AA780" s="59">
        <v>0.37309999999999999</v>
      </c>
      <c r="AB780" s="61">
        <v>3.8461538461538464E-3</v>
      </c>
      <c r="AC780" s="61">
        <v>4.6153846153846156E-2</v>
      </c>
      <c r="AD780" s="61">
        <v>0.24230769230769231</v>
      </c>
      <c r="AE780" s="61">
        <v>4.230769230769231E-2</v>
      </c>
      <c r="AF780" s="61">
        <v>0</v>
      </c>
      <c r="AG780" s="61">
        <v>0.65384615384615385</v>
      </c>
      <c r="AH780" s="61">
        <v>1.1538461538461539E-2</v>
      </c>
      <c r="AI780" s="61">
        <v>0.34615384615384615</v>
      </c>
      <c r="AJ780" s="59">
        <v>0.46500000000000002</v>
      </c>
      <c r="AK780" s="59">
        <v>3.8E-3</v>
      </c>
      <c r="AL780" s="3">
        <v>0</v>
      </c>
      <c r="AM780" s="3">
        <v>0</v>
      </c>
      <c r="AN780" s="3">
        <v>0</v>
      </c>
      <c r="AO780" s="3">
        <v>79</v>
      </c>
      <c r="AP780" s="3">
        <v>72</v>
      </c>
      <c r="AQ780" s="3">
        <v>58</v>
      </c>
      <c r="AR780" s="3">
        <v>51</v>
      </c>
      <c r="AS780" s="59">
        <v>0</v>
      </c>
      <c r="AT780" s="3">
        <v>9</v>
      </c>
      <c r="AU780" s="3">
        <v>8</v>
      </c>
      <c r="AV780" s="49">
        <v>74.418604651162795</v>
      </c>
      <c r="AW780" s="49">
        <v>18.604651162790699</v>
      </c>
      <c r="AX780" s="49">
        <v>6.9767441860465098</v>
      </c>
      <c r="AY780" s="67">
        <v>0</v>
      </c>
      <c r="AZ780" s="62">
        <v>0</v>
      </c>
      <c r="BA780" s="62">
        <v>2.6315789473684209E-2</v>
      </c>
      <c r="BB780" s="77">
        <v>98.052081460746294</v>
      </c>
      <c r="BC780" s="49">
        <v>4.4609665427509304</v>
      </c>
      <c r="BD780" s="90" t="s">
        <v>83</v>
      </c>
      <c r="BE780" s="90" t="s">
        <v>83</v>
      </c>
      <c r="BF780" s="87">
        <v>1.3</v>
      </c>
      <c r="BG780" s="87">
        <v>1.5</v>
      </c>
      <c r="BH780" s="87">
        <v>0</v>
      </c>
      <c r="BI780" s="87">
        <v>0</v>
      </c>
      <c r="BJ780" s="49">
        <v>24</v>
      </c>
      <c r="BK780" s="129">
        <v>6501</v>
      </c>
      <c r="BL780" s="129">
        <v>46893</v>
      </c>
      <c r="BM780" s="129">
        <v>59720</v>
      </c>
      <c r="BN780" s="129">
        <v>47835</v>
      </c>
      <c r="BO780" s="59">
        <v>0</v>
      </c>
      <c r="BP780" s="59">
        <v>0.45450000000000002</v>
      </c>
      <c r="BQ780" s="59">
        <v>0.18179999999999999</v>
      </c>
      <c r="BR780" s="59">
        <v>0</v>
      </c>
      <c r="BS780" s="59">
        <v>0</v>
      </c>
      <c r="BT780" s="49">
        <v>7.9</v>
      </c>
      <c r="BU780" s="59">
        <f t="shared" si="60"/>
        <v>0.63629999999999998</v>
      </c>
      <c r="BV780" s="59">
        <v>9.0899999999999995E-2</v>
      </c>
      <c r="BW780" s="59">
        <v>0</v>
      </c>
      <c r="BX780" s="59">
        <v>9.0899999999999995E-2</v>
      </c>
      <c r="BY780" s="59">
        <v>0</v>
      </c>
      <c r="BZ780" s="59">
        <v>0</v>
      </c>
      <c r="CA780" s="49">
        <v>20.5</v>
      </c>
      <c r="CB780" s="59">
        <f t="shared" si="61"/>
        <v>0.18179999999999999</v>
      </c>
      <c r="CC780" s="59">
        <v>0.18179999999999999</v>
      </c>
      <c r="CD780" s="59">
        <v>0.45450000000000002</v>
      </c>
      <c r="CE780" s="59">
        <v>0.36359999999999998</v>
      </c>
      <c r="CF780" s="59">
        <v>0</v>
      </c>
      <c r="CG780" s="59">
        <v>0</v>
      </c>
      <c r="CH780" s="49">
        <v>10.199999999999999</v>
      </c>
      <c r="CI780" s="26" t="s">
        <v>246</v>
      </c>
      <c r="CJ780" s="18" t="s">
        <v>489</v>
      </c>
      <c r="CK780" s="20"/>
    </row>
    <row r="781" spans="1:89" x14ac:dyDescent="0.25">
      <c r="A781" s="18" t="s">
        <v>489</v>
      </c>
      <c r="B781" s="19" t="s">
        <v>240</v>
      </c>
      <c r="C781" s="26" t="s">
        <v>247</v>
      </c>
      <c r="D781" s="6">
        <v>1</v>
      </c>
      <c r="E781" s="6">
        <v>0</v>
      </c>
      <c r="F781" s="6">
        <v>1</v>
      </c>
      <c r="G781" s="163">
        <v>0</v>
      </c>
      <c r="H781" s="163">
        <v>0</v>
      </c>
      <c r="I781" s="162" t="s">
        <v>83</v>
      </c>
      <c r="J781" s="163">
        <v>0</v>
      </c>
      <c r="K781" s="163">
        <v>1</v>
      </c>
      <c r="L781" s="163">
        <v>0</v>
      </c>
      <c r="M781" s="163">
        <v>0</v>
      </c>
      <c r="N781" s="115">
        <v>1.1976047904191599E-3</v>
      </c>
      <c r="O781" s="115">
        <v>1.9646365422396899E-3</v>
      </c>
      <c r="P781" s="115">
        <v>0</v>
      </c>
      <c r="Q781" s="115">
        <v>0</v>
      </c>
      <c r="R781" s="116" t="s">
        <v>83</v>
      </c>
      <c r="S781" s="115">
        <v>0</v>
      </c>
      <c r="T781" s="115">
        <v>7.2992700729926996E-3</v>
      </c>
      <c r="U781" s="115">
        <v>0</v>
      </c>
      <c r="V781" s="115">
        <v>0</v>
      </c>
      <c r="W781" s="6">
        <v>1030</v>
      </c>
      <c r="X781" s="40">
        <f t="shared" si="58"/>
        <v>503</v>
      </c>
      <c r="Y781" s="40">
        <f t="shared" si="59"/>
        <v>825</v>
      </c>
      <c r="Z781" s="59">
        <v>0.41649999999999998</v>
      </c>
      <c r="AA781" s="59">
        <v>0.58350000000000002</v>
      </c>
      <c r="AB781" s="61">
        <v>9.7087378640776695E-4</v>
      </c>
      <c r="AC781" s="61">
        <v>1.8446601941747572E-2</v>
      </c>
      <c r="AD781" s="61">
        <v>0.35728155339805823</v>
      </c>
      <c r="AE781" s="61">
        <v>2.9126213592233011E-2</v>
      </c>
      <c r="AF781" s="61">
        <v>9.7087378640776695E-4</v>
      </c>
      <c r="AG781" s="61">
        <v>0.58058252427184465</v>
      </c>
      <c r="AH781" s="61">
        <v>1.262135922330097E-2</v>
      </c>
      <c r="AI781" s="61">
        <v>0.41941747572815535</v>
      </c>
      <c r="AJ781" s="59">
        <v>0.51100000000000001</v>
      </c>
      <c r="AK781" s="59">
        <v>1E-3</v>
      </c>
      <c r="AL781" s="3">
        <v>161</v>
      </c>
      <c r="AM781" s="3">
        <v>161</v>
      </c>
      <c r="AN781" s="3">
        <v>0</v>
      </c>
      <c r="AO781" s="3">
        <v>184</v>
      </c>
      <c r="AP781" s="3">
        <v>137</v>
      </c>
      <c r="AQ781" s="3">
        <v>125</v>
      </c>
      <c r="AR781" s="3">
        <v>57</v>
      </c>
      <c r="AS781" s="59">
        <v>0</v>
      </c>
      <c r="AT781" s="3">
        <v>6</v>
      </c>
      <c r="AU781" s="3">
        <v>7</v>
      </c>
      <c r="AV781" s="49">
        <v>29.287598944590997</v>
      </c>
      <c r="AW781" s="49">
        <v>29.023746701846996</v>
      </c>
      <c r="AX781" s="49">
        <v>39.577836411609503</v>
      </c>
      <c r="AY781" s="67">
        <v>2.1108179419525102</v>
      </c>
      <c r="AZ781" s="62">
        <v>0.18486590038314177</v>
      </c>
      <c r="BA781" s="62">
        <v>8.5249042145593867E-2</v>
      </c>
      <c r="BB781" s="78">
        <v>96.200480122466004</v>
      </c>
      <c r="BC781" s="49">
        <v>14.8467432950192</v>
      </c>
      <c r="BD781" s="87">
        <v>0</v>
      </c>
      <c r="BE781" s="87">
        <v>0</v>
      </c>
      <c r="BF781" s="87">
        <v>1.7</v>
      </c>
      <c r="BG781" s="87">
        <v>0.8</v>
      </c>
      <c r="BH781" s="87">
        <v>1.7</v>
      </c>
      <c r="BI781" s="87">
        <v>0</v>
      </c>
      <c r="BJ781" s="49">
        <v>19.899999999999999</v>
      </c>
      <c r="BK781" s="129">
        <v>8055</v>
      </c>
      <c r="BL781" s="129">
        <v>48597</v>
      </c>
      <c r="BM781" s="129">
        <v>38496</v>
      </c>
      <c r="BN781" s="129">
        <v>42205</v>
      </c>
      <c r="BO781" s="59">
        <v>0</v>
      </c>
      <c r="BP781" s="59">
        <v>0.39800000000000002</v>
      </c>
      <c r="BQ781" s="59">
        <v>0.19650000000000001</v>
      </c>
      <c r="BR781" s="59">
        <v>1.35E-2</v>
      </c>
      <c r="BS781" s="59">
        <v>0</v>
      </c>
      <c r="BT781" s="49">
        <v>6.5</v>
      </c>
      <c r="BU781" s="59">
        <f t="shared" si="60"/>
        <v>0.60799999999999998</v>
      </c>
      <c r="BV781" s="59">
        <v>6.7699999999999996E-2</v>
      </c>
      <c r="BW781" s="59">
        <v>0</v>
      </c>
      <c r="BX781" s="59">
        <v>4.0599999999999997E-2</v>
      </c>
      <c r="BY781" s="59">
        <v>0</v>
      </c>
      <c r="BZ781" s="59">
        <v>0</v>
      </c>
      <c r="CA781" s="49">
        <v>8.4</v>
      </c>
      <c r="CB781" s="59">
        <f t="shared" si="61"/>
        <v>0.10829999999999999</v>
      </c>
      <c r="CC781" s="59">
        <v>0.25629999999999997</v>
      </c>
      <c r="CD781" s="59">
        <v>0.41489999999999999</v>
      </c>
      <c r="CE781" s="59">
        <v>0.31530000000000002</v>
      </c>
      <c r="CF781" s="59">
        <v>1.35E-2</v>
      </c>
      <c r="CG781" s="59">
        <v>0</v>
      </c>
      <c r="CH781" s="49">
        <v>7</v>
      </c>
      <c r="CI781" s="26" t="s">
        <v>247</v>
      </c>
      <c r="CJ781" s="18" t="s">
        <v>489</v>
      </c>
      <c r="CK781" s="20"/>
    </row>
    <row r="782" spans="1:89" x14ac:dyDescent="0.25">
      <c r="A782" s="18" t="s">
        <v>489</v>
      </c>
      <c r="B782" s="19" t="s">
        <v>248</v>
      </c>
      <c r="C782" s="26" t="s">
        <v>249</v>
      </c>
      <c r="D782" s="6">
        <v>4</v>
      </c>
      <c r="E782" s="40" t="s">
        <v>83</v>
      </c>
      <c r="F782" s="6">
        <v>4</v>
      </c>
      <c r="G782" s="162" t="s">
        <v>83</v>
      </c>
      <c r="H782" s="162" t="s">
        <v>83</v>
      </c>
      <c r="I782" s="163">
        <v>0</v>
      </c>
      <c r="J782" s="163">
        <v>0</v>
      </c>
      <c r="K782" s="163">
        <v>1</v>
      </c>
      <c r="L782" s="163">
        <v>1</v>
      </c>
      <c r="M782" s="163">
        <v>2</v>
      </c>
      <c r="N782" s="115">
        <v>2.8169014084507E-3</v>
      </c>
      <c r="O782" s="115">
        <v>2.8169014084507E-3</v>
      </c>
      <c r="P782" s="116" t="s">
        <v>83</v>
      </c>
      <c r="Q782" s="116" t="s">
        <v>83</v>
      </c>
      <c r="R782" s="115">
        <v>0</v>
      </c>
      <c r="S782" s="115">
        <v>0</v>
      </c>
      <c r="T782" s="115">
        <v>2.7472527472527501E-3</v>
      </c>
      <c r="U782" s="115">
        <v>2.7173913043478299E-3</v>
      </c>
      <c r="V782" s="115">
        <v>6.5789473684210497E-3</v>
      </c>
      <c r="W782" s="6">
        <v>1342</v>
      </c>
      <c r="X782" s="40">
        <f t="shared" si="58"/>
        <v>1342</v>
      </c>
      <c r="Y782" s="40">
        <f t="shared" si="59"/>
        <v>1342</v>
      </c>
      <c r="Z782" s="59">
        <v>0.47989999999999999</v>
      </c>
      <c r="AA782" s="59">
        <v>0.52010000000000001</v>
      </c>
      <c r="AB782" s="61">
        <v>2.4590163934426229E-2</v>
      </c>
      <c r="AC782" s="61">
        <v>5.2160953800298067E-3</v>
      </c>
      <c r="AD782" s="61">
        <v>0.1631892697466468</v>
      </c>
      <c r="AE782" s="61">
        <v>3.9493293591654245E-2</v>
      </c>
      <c r="AF782" s="61">
        <v>0</v>
      </c>
      <c r="AG782" s="61">
        <v>0.73472429210134127</v>
      </c>
      <c r="AH782" s="61">
        <v>3.2786885245901641E-2</v>
      </c>
      <c r="AI782" s="61">
        <v>0.26527570789865873</v>
      </c>
      <c r="AJ782" s="59">
        <v>0.54500000000000004</v>
      </c>
      <c r="AK782" s="59">
        <v>3.0000000000000001E-3</v>
      </c>
      <c r="AL782" s="3">
        <v>0</v>
      </c>
      <c r="AM782" s="3">
        <v>0</v>
      </c>
      <c r="AN782" s="3">
        <v>11</v>
      </c>
      <c r="AO782" s="3">
        <v>351</v>
      </c>
      <c r="AP782" s="3">
        <v>354</v>
      </c>
      <c r="AQ782" s="3">
        <v>329</v>
      </c>
      <c r="AR782" s="3">
        <v>297</v>
      </c>
      <c r="AS782" s="59">
        <v>3.0386740331491711E-2</v>
      </c>
      <c r="AT782" s="3">
        <v>9</v>
      </c>
      <c r="AU782" s="3">
        <v>6</v>
      </c>
      <c r="AV782" s="49">
        <v>45.720720720720699</v>
      </c>
      <c r="AW782" s="49">
        <v>29.729729729729698</v>
      </c>
      <c r="AX782" s="49">
        <v>22.5225225225225</v>
      </c>
      <c r="AY782" s="67">
        <v>2.0270270270270299</v>
      </c>
      <c r="AZ782" s="62">
        <v>0.2640845070422535</v>
      </c>
      <c r="BA782" s="62">
        <v>8.4507042253521118E-3</v>
      </c>
      <c r="BB782" s="77">
        <v>92.531117639169494</v>
      </c>
      <c r="BC782" s="49">
        <v>33.3798882681564</v>
      </c>
      <c r="BD782" s="90" t="s">
        <v>83</v>
      </c>
      <c r="BE782" s="90" t="s">
        <v>83</v>
      </c>
      <c r="BF782" s="87">
        <v>3.3</v>
      </c>
      <c r="BG782" s="87">
        <v>4.0999999999999996</v>
      </c>
      <c r="BH782" s="87">
        <v>3.9</v>
      </c>
      <c r="BI782" s="87">
        <v>0.7</v>
      </c>
      <c r="BJ782" s="49">
        <v>19.7</v>
      </c>
      <c r="BK782" s="129">
        <v>9726</v>
      </c>
      <c r="BL782" s="129">
        <v>48631</v>
      </c>
      <c r="BM782" s="129">
        <v>50715</v>
      </c>
      <c r="BN782" s="129">
        <v>40981</v>
      </c>
      <c r="BO782" s="59">
        <v>1.5100000000000001E-2</v>
      </c>
      <c r="BP782" s="59">
        <v>0.32500000000000001</v>
      </c>
      <c r="BQ782" s="59">
        <v>0.21279999999999999</v>
      </c>
      <c r="BR782" s="59">
        <v>0</v>
      </c>
      <c r="BS782" s="59">
        <v>0</v>
      </c>
      <c r="BT782" s="49">
        <v>10.7</v>
      </c>
      <c r="BU782" s="59">
        <f t="shared" si="60"/>
        <v>0.55289999999999995</v>
      </c>
      <c r="BV782" s="59">
        <v>3.6799999999999999E-2</v>
      </c>
      <c r="BW782" s="59">
        <v>0</v>
      </c>
      <c r="BX782" s="59">
        <v>3.7699999999999997E-2</v>
      </c>
      <c r="BY782" s="59">
        <v>0</v>
      </c>
      <c r="BZ782" s="59">
        <v>0</v>
      </c>
      <c r="CA782" s="49">
        <v>20.2</v>
      </c>
      <c r="CB782" s="59">
        <f t="shared" si="61"/>
        <v>7.4499999999999997E-2</v>
      </c>
      <c r="CC782" s="59">
        <v>0.318</v>
      </c>
      <c r="CD782" s="59">
        <v>0.37169999999999997</v>
      </c>
      <c r="CE782" s="59">
        <v>0.31030000000000002</v>
      </c>
      <c r="CF782" s="59">
        <v>0</v>
      </c>
      <c r="CG782" s="59">
        <v>0</v>
      </c>
      <c r="CH782" s="49">
        <v>11.8</v>
      </c>
      <c r="CI782" s="26" t="s">
        <v>249</v>
      </c>
      <c r="CJ782" s="18" t="s">
        <v>489</v>
      </c>
      <c r="CK782" s="20"/>
    </row>
    <row r="783" spans="1:89" x14ac:dyDescent="0.25">
      <c r="A783" s="18" t="s">
        <v>489</v>
      </c>
      <c r="B783" s="19" t="s">
        <v>248</v>
      </c>
      <c r="C783" s="26" t="s">
        <v>250</v>
      </c>
      <c r="D783" s="6">
        <v>1</v>
      </c>
      <c r="E783" s="40" t="s">
        <v>83</v>
      </c>
      <c r="F783" s="6">
        <v>1</v>
      </c>
      <c r="G783" s="162" t="s">
        <v>83</v>
      </c>
      <c r="H783" s="162" t="s">
        <v>83</v>
      </c>
      <c r="I783" s="163">
        <v>0</v>
      </c>
      <c r="J783" s="163">
        <v>0</v>
      </c>
      <c r="K783" s="163">
        <v>0</v>
      </c>
      <c r="L783" s="163">
        <v>0</v>
      </c>
      <c r="M783" s="163">
        <v>1</v>
      </c>
      <c r="N783" s="115">
        <v>9.2421441774491703E-4</v>
      </c>
      <c r="O783" s="115">
        <v>9.2421441774491703E-4</v>
      </c>
      <c r="P783" s="116" t="s">
        <v>83</v>
      </c>
      <c r="Q783" s="116" t="s">
        <v>83</v>
      </c>
      <c r="R783" s="115">
        <v>0</v>
      </c>
      <c r="S783" s="115">
        <v>0</v>
      </c>
      <c r="T783" s="115">
        <v>0</v>
      </c>
      <c r="U783" s="115">
        <v>0</v>
      </c>
      <c r="V783" s="115">
        <v>4.4444444444444401E-3</v>
      </c>
      <c r="W783" s="6">
        <v>1036</v>
      </c>
      <c r="X783" s="40">
        <f t="shared" si="58"/>
        <v>1036</v>
      </c>
      <c r="Y783" s="40">
        <f t="shared" si="59"/>
        <v>1036</v>
      </c>
      <c r="Z783" s="59">
        <v>0.4894</v>
      </c>
      <c r="AA783" s="59">
        <v>0.51060000000000005</v>
      </c>
      <c r="AB783" s="61">
        <v>8.1081081081081086E-2</v>
      </c>
      <c r="AC783" s="61">
        <v>1.9305019305019305E-2</v>
      </c>
      <c r="AD783" s="61">
        <v>3.1853281853281852E-2</v>
      </c>
      <c r="AE783" s="61">
        <v>0.10424710424710425</v>
      </c>
      <c r="AF783" s="61">
        <v>0</v>
      </c>
      <c r="AG783" s="61">
        <v>0.72972972972972971</v>
      </c>
      <c r="AH783" s="61">
        <v>3.3783783783783786E-2</v>
      </c>
      <c r="AI783" s="61">
        <v>0.27027027027027029</v>
      </c>
      <c r="AJ783" s="59">
        <v>0.51700000000000002</v>
      </c>
      <c r="AK783" s="59">
        <v>2.9899999999999999E-2</v>
      </c>
      <c r="AL783" s="3">
        <v>0</v>
      </c>
      <c r="AM783" s="3">
        <v>0</v>
      </c>
      <c r="AN783" s="3">
        <v>40</v>
      </c>
      <c r="AO783" s="3">
        <v>267</v>
      </c>
      <c r="AP783" s="3">
        <v>268</v>
      </c>
      <c r="AQ783" s="3">
        <v>253</v>
      </c>
      <c r="AR783" s="3">
        <v>208</v>
      </c>
      <c r="AS783" s="59">
        <v>0.13029315960912052</v>
      </c>
      <c r="AT783" s="3">
        <v>9</v>
      </c>
      <c r="AU783" s="3">
        <v>6</v>
      </c>
      <c r="AV783" s="49">
        <v>62.046908315564998</v>
      </c>
      <c r="AW783" s="49">
        <v>21.7484008528785</v>
      </c>
      <c r="AX783" s="49">
        <v>15.991471215351799</v>
      </c>
      <c r="AY783" s="67">
        <v>0.21321961620469099</v>
      </c>
      <c r="AZ783" s="62">
        <v>0.19056429232192415</v>
      </c>
      <c r="BA783" s="62">
        <v>5.8279370952821465E-2</v>
      </c>
      <c r="BB783" s="78">
        <v>92.752359429587202</v>
      </c>
      <c r="BC783" s="49">
        <v>36.472760849492197</v>
      </c>
      <c r="BD783" s="90" t="s">
        <v>83</v>
      </c>
      <c r="BE783" s="90" t="s">
        <v>83</v>
      </c>
      <c r="BF783" s="87">
        <v>4.0999999999999996</v>
      </c>
      <c r="BG783" s="87">
        <v>2.8</v>
      </c>
      <c r="BH783" s="87">
        <v>0.8</v>
      </c>
      <c r="BI783" s="87">
        <v>4.5999999999999996</v>
      </c>
      <c r="BJ783" s="49">
        <v>20</v>
      </c>
      <c r="BK783" s="129">
        <v>10535</v>
      </c>
      <c r="BL783" s="129">
        <v>50334</v>
      </c>
      <c r="BM783" s="129">
        <v>56720</v>
      </c>
      <c r="BN783" s="129">
        <v>40698</v>
      </c>
      <c r="BO783" s="59">
        <v>9.1000000000000004E-3</v>
      </c>
      <c r="BP783" s="59">
        <v>0.39460000000000001</v>
      </c>
      <c r="BQ783" s="59">
        <v>0.12479999999999999</v>
      </c>
      <c r="BR783" s="59">
        <v>0</v>
      </c>
      <c r="BS783" s="59">
        <v>0</v>
      </c>
      <c r="BT783" s="49">
        <v>14.9</v>
      </c>
      <c r="BU783" s="59">
        <f t="shared" si="60"/>
        <v>0.52849999999999997</v>
      </c>
      <c r="BV783" s="59">
        <v>2.63E-2</v>
      </c>
      <c r="BW783" s="59">
        <v>8.8000000000000005E-3</v>
      </c>
      <c r="BX783" s="59">
        <v>4.4699999999999997E-2</v>
      </c>
      <c r="BY783" s="59">
        <v>0</v>
      </c>
      <c r="BZ783" s="59">
        <v>0</v>
      </c>
      <c r="CA783" s="49">
        <v>24.2</v>
      </c>
      <c r="CB783" s="59">
        <f t="shared" si="61"/>
        <v>7.9799999999999996E-2</v>
      </c>
      <c r="CC783" s="59">
        <v>0.3725</v>
      </c>
      <c r="CD783" s="59">
        <v>0.43130000000000002</v>
      </c>
      <c r="CE783" s="59">
        <v>0.19620000000000001</v>
      </c>
      <c r="CF783" s="59">
        <v>0</v>
      </c>
      <c r="CG783" s="59">
        <v>0</v>
      </c>
      <c r="CH783" s="49">
        <v>15.1</v>
      </c>
      <c r="CI783" s="26" t="s">
        <v>250</v>
      </c>
      <c r="CJ783" s="18" t="s">
        <v>489</v>
      </c>
      <c r="CK783" s="20"/>
    </row>
    <row r="784" spans="1:89" x14ac:dyDescent="0.25">
      <c r="A784" s="18" t="s">
        <v>489</v>
      </c>
      <c r="B784" s="19" t="s">
        <v>248</v>
      </c>
      <c r="C784" s="26" t="s">
        <v>251</v>
      </c>
      <c r="D784" s="6">
        <v>7</v>
      </c>
      <c r="E784" s="40" t="s">
        <v>83</v>
      </c>
      <c r="F784" s="6">
        <v>7</v>
      </c>
      <c r="G784" s="162" t="s">
        <v>83</v>
      </c>
      <c r="H784" s="162" t="s">
        <v>83</v>
      </c>
      <c r="I784" s="163">
        <v>0</v>
      </c>
      <c r="J784" s="163">
        <v>2</v>
      </c>
      <c r="K784" s="163">
        <v>2</v>
      </c>
      <c r="L784" s="163">
        <v>2</v>
      </c>
      <c r="M784" s="163">
        <v>1</v>
      </c>
      <c r="N784" s="115">
        <v>4.6979865771812103E-3</v>
      </c>
      <c r="O784" s="115">
        <v>4.6979865771812103E-3</v>
      </c>
      <c r="P784" s="116" t="s">
        <v>83</v>
      </c>
      <c r="Q784" s="116" t="s">
        <v>83</v>
      </c>
      <c r="R784" s="115">
        <v>0</v>
      </c>
      <c r="S784" s="115">
        <v>4.4052863436123404E-3</v>
      </c>
      <c r="T784" s="115">
        <v>5.1020408163265302E-3</v>
      </c>
      <c r="U784" s="115">
        <v>6.0975609756097598E-3</v>
      </c>
      <c r="V784" s="115">
        <v>3.40136054421769E-3</v>
      </c>
      <c r="W784" s="6">
        <v>1407</v>
      </c>
      <c r="X784" s="40">
        <f t="shared" si="58"/>
        <v>1407</v>
      </c>
      <c r="Y784" s="40">
        <f t="shared" si="59"/>
        <v>1407</v>
      </c>
      <c r="Z784" s="59">
        <v>0.51529999999999998</v>
      </c>
      <c r="AA784" s="59">
        <v>0.48470000000000002</v>
      </c>
      <c r="AB784" s="61">
        <v>9.2395167022032692E-3</v>
      </c>
      <c r="AC784" s="61">
        <v>5.6858564321250887E-3</v>
      </c>
      <c r="AD784" s="61">
        <v>0.37739872068230279</v>
      </c>
      <c r="AE784" s="61">
        <v>2.0611229566453448E-2</v>
      </c>
      <c r="AF784" s="61">
        <v>0</v>
      </c>
      <c r="AG784" s="61">
        <v>0.56218905472636815</v>
      </c>
      <c r="AH784" s="61">
        <v>2.4875621890547265E-2</v>
      </c>
      <c r="AI784" s="61">
        <v>0.43781094527363185</v>
      </c>
      <c r="AJ784" s="59">
        <v>0.61099999999999999</v>
      </c>
      <c r="AK784" s="59">
        <v>2.8E-3</v>
      </c>
      <c r="AL784" s="3">
        <v>0</v>
      </c>
      <c r="AM784" s="3">
        <v>0</v>
      </c>
      <c r="AN784" s="3">
        <v>14</v>
      </c>
      <c r="AO784" s="3">
        <v>424</v>
      </c>
      <c r="AP784" s="3">
        <v>364</v>
      </c>
      <c r="AQ784" s="3">
        <v>319</v>
      </c>
      <c r="AR784" s="3">
        <v>286</v>
      </c>
      <c r="AS784" s="59">
        <v>3.1963470319634701E-2</v>
      </c>
      <c r="AT784" s="3">
        <v>9</v>
      </c>
      <c r="AU784" s="3">
        <v>6</v>
      </c>
      <c r="AV784" s="49">
        <v>55.143338954468803</v>
      </c>
      <c r="AW784" s="49">
        <v>24.283305227655998</v>
      </c>
      <c r="AX784" s="49">
        <v>20.0674536256324</v>
      </c>
      <c r="AY784" s="67">
        <v>0.50590219224283306</v>
      </c>
      <c r="AZ784" s="62">
        <v>0.37348586810228801</v>
      </c>
      <c r="BA784" s="62">
        <v>0.19313593539703902</v>
      </c>
      <c r="BB784" s="77">
        <v>93.535495811256794</v>
      </c>
      <c r="BC784" s="49">
        <v>36.577400391900703</v>
      </c>
      <c r="BD784" s="90" t="s">
        <v>83</v>
      </c>
      <c r="BE784" s="90" t="s">
        <v>83</v>
      </c>
      <c r="BF784" s="87">
        <v>6.4</v>
      </c>
      <c r="BG784" s="87">
        <v>3.8</v>
      </c>
      <c r="BH784" s="87">
        <v>3.4</v>
      </c>
      <c r="BI784" s="87">
        <v>3.4</v>
      </c>
      <c r="BJ784" s="49">
        <v>19.100000000000001</v>
      </c>
      <c r="BK784" s="129">
        <v>9436</v>
      </c>
      <c r="BL784" s="129">
        <v>49197</v>
      </c>
      <c r="BM784" s="129">
        <v>51995</v>
      </c>
      <c r="BN784" s="129">
        <v>41617</v>
      </c>
      <c r="BO784" s="59">
        <v>4.0000000000000002E-4</v>
      </c>
      <c r="BP784" s="59">
        <v>0.32969999999999999</v>
      </c>
      <c r="BQ784" s="59">
        <v>0.2432</v>
      </c>
      <c r="BR784" s="59">
        <v>0</v>
      </c>
      <c r="BS784" s="59">
        <v>0</v>
      </c>
      <c r="BT784" s="49">
        <v>13.7</v>
      </c>
      <c r="BU784" s="59">
        <f t="shared" si="60"/>
        <v>0.57330000000000003</v>
      </c>
      <c r="BV784" s="59">
        <v>3.4099999999999998E-2</v>
      </c>
      <c r="BW784" s="59">
        <v>0</v>
      </c>
      <c r="BX784" s="59">
        <v>3.7900000000000003E-2</v>
      </c>
      <c r="BY784" s="59">
        <v>0</v>
      </c>
      <c r="BZ784" s="59">
        <v>0</v>
      </c>
      <c r="CA784" s="49">
        <v>21.5</v>
      </c>
      <c r="CB784" s="59">
        <f t="shared" si="61"/>
        <v>7.2000000000000008E-2</v>
      </c>
      <c r="CC784" s="59">
        <v>0.3145</v>
      </c>
      <c r="CD784" s="59">
        <v>0.36620000000000003</v>
      </c>
      <c r="CE784" s="59">
        <v>0.31919999999999998</v>
      </c>
      <c r="CF784" s="59">
        <v>0</v>
      </c>
      <c r="CG784" s="59">
        <v>0</v>
      </c>
      <c r="CH784" s="49">
        <v>14.6</v>
      </c>
      <c r="CI784" s="26" t="s">
        <v>251</v>
      </c>
      <c r="CJ784" s="18" t="s">
        <v>489</v>
      </c>
      <c r="CK784" s="20"/>
    </row>
    <row r="785" spans="1:89" x14ac:dyDescent="0.25">
      <c r="A785" s="18" t="s">
        <v>489</v>
      </c>
      <c r="B785" s="19" t="s">
        <v>252</v>
      </c>
      <c r="C785" s="26" t="s">
        <v>253</v>
      </c>
      <c r="D785" s="6">
        <v>0</v>
      </c>
      <c r="E785" s="40" t="s">
        <v>83</v>
      </c>
      <c r="F785" s="6">
        <v>0</v>
      </c>
      <c r="G785" s="162" t="s">
        <v>83</v>
      </c>
      <c r="H785" s="162" t="s">
        <v>83</v>
      </c>
      <c r="I785" s="162" t="s">
        <v>83</v>
      </c>
      <c r="J785" s="163">
        <v>0</v>
      </c>
      <c r="K785" s="163">
        <v>0</v>
      </c>
      <c r="L785" s="163">
        <v>0</v>
      </c>
      <c r="M785" s="163">
        <v>0</v>
      </c>
      <c r="N785" s="115">
        <v>0</v>
      </c>
      <c r="O785" s="115">
        <v>0</v>
      </c>
      <c r="P785" s="116" t="s">
        <v>83</v>
      </c>
      <c r="Q785" s="116" t="s">
        <v>83</v>
      </c>
      <c r="R785" s="116" t="s">
        <v>83</v>
      </c>
      <c r="S785" s="115">
        <v>0</v>
      </c>
      <c r="T785" s="115">
        <v>0</v>
      </c>
      <c r="U785" s="115">
        <v>0</v>
      </c>
      <c r="V785" s="115">
        <v>0</v>
      </c>
      <c r="W785" s="6">
        <v>522</v>
      </c>
      <c r="X785" s="40">
        <f t="shared" si="58"/>
        <v>522</v>
      </c>
      <c r="Y785" s="40">
        <f t="shared" si="59"/>
        <v>522</v>
      </c>
      <c r="Z785" s="59">
        <v>0.4904</v>
      </c>
      <c r="AA785" s="59">
        <v>0.50960000000000005</v>
      </c>
      <c r="AB785" s="61">
        <v>7.6628352490421452E-3</v>
      </c>
      <c r="AC785" s="61">
        <v>0</v>
      </c>
      <c r="AD785" s="61">
        <v>0.1475095785440613</v>
      </c>
      <c r="AE785" s="61">
        <v>1.1494252873563218E-2</v>
      </c>
      <c r="AF785" s="61">
        <v>0</v>
      </c>
      <c r="AG785" s="61">
        <v>0.82950191570881227</v>
      </c>
      <c r="AH785" s="61">
        <v>3.8314176245210726E-3</v>
      </c>
      <c r="AI785" s="61">
        <v>0.17049808429118773</v>
      </c>
      <c r="AJ785" s="59">
        <v>0.55700000000000005</v>
      </c>
      <c r="AK785" s="59">
        <v>3.8E-3</v>
      </c>
      <c r="AL785" s="3">
        <v>0</v>
      </c>
      <c r="AM785" s="3">
        <v>0</v>
      </c>
      <c r="AN785" s="3">
        <v>0</v>
      </c>
      <c r="AO785" s="3">
        <v>149</v>
      </c>
      <c r="AP785" s="3">
        <v>125</v>
      </c>
      <c r="AQ785" s="3">
        <v>148</v>
      </c>
      <c r="AR785" s="3">
        <v>100</v>
      </c>
      <c r="AS785" s="59">
        <v>0</v>
      </c>
      <c r="AT785" s="3">
        <v>9</v>
      </c>
      <c r="AU785" s="3">
        <v>6</v>
      </c>
      <c r="AV785" s="49">
        <v>71.804511278195505</v>
      </c>
      <c r="AW785" s="49">
        <v>18.421052631578899</v>
      </c>
      <c r="AX785" s="49">
        <v>9.77443609022556</v>
      </c>
      <c r="AY785" s="67">
        <v>0</v>
      </c>
      <c r="AZ785" s="62">
        <v>0.27052238805970147</v>
      </c>
      <c r="BA785" s="62">
        <v>3.7313432835820895E-3</v>
      </c>
      <c r="BB785" s="77">
        <v>92.782306401342595</v>
      </c>
      <c r="BC785" s="49">
        <v>61.6387337057728</v>
      </c>
      <c r="BD785" s="90" t="s">
        <v>83</v>
      </c>
      <c r="BE785" s="90" t="s">
        <v>83</v>
      </c>
      <c r="BF785" s="87">
        <v>4.4000000000000004</v>
      </c>
      <c r="BG785" s="87">
        <v>0</v>
      </c>
      <c r="BH785" s="87">
        <v>0</v>
      </c>
      <c r="BI785" s="87">
        <v>4</v>
      </c>
      <c r="BJ785" s="49">
        <v>20.3</v>
      </c>
      <c r="BK785" s="129">
        <v>10054</v>
      </c>
      <c r="BL785" s="129">
        <v>46792</v>
      </c>
      <c r="BM785" s="129">
        <v>52506</v>
      </c>
      <c r="BN785" s="129">
        <v>41847</v>
      </c>
      <c r="BO785" s="59">
        <v>0</v>
      </c>
      <c r="BP785" s="59">
        <v>0.39140000000000003</v>
      </c>
      <c r="BQ785" s="59">
        <v>0.29930000000000001</v>
      </c>
      <c r="BR785" s="59">
        <v>0</v>
      </c>
      <c r="BS785" s="59">
        <v>0</v>
      </c>
      <c r="BT785" s="49">
        <v>10.9</v>
      </c>
      <c r="BU785" s="59">
        <f t="shared" si="60"/>
        <v>0.69070000000000009</v>
      </c>
      <c r="BV785" s="59">
        <v>2.0299999999999999E-2</v>
      </c>
      <c r="BW785" s="59">
        <v>0</v>
      </c>
      <c r="BX785" s="59">
        <v>2.0299999999999999E-2</v>
      </c>
      <c r="BY785" s="59">
        <v>3.49E-2</v>
      </c>
      <c r="BZ785" s="59">
        <v>0</v>
      </c>
      <c r="CA785" s="49">
        <v>19.3</v>
      </c>
      <c r="CB785" s="59">
        <f t="shared" si="61"/>
        <v>7.5499999999999998E-2</v>
      </c>
      <c r="CC785" s="59">
        <v>0.21560000000000001</v>
      </c>
      <c r="CD785" s="59">
        <v>0.40889999999999999</v>
      </c>
      <c r="CE785" s="59">
        <v>0.34060000000000001</v>
      </c>
      <c r="CF785" s="59">
        <v>3.49E-2</v>
      </c>
      <c r="CG785" s="59">
        <v>0</v>
      </c>
      <c r="CH785" s="49">
        <v>11.8</v>
      </c>
      <c r="CI785" s="26" t="s">
        <v>253</v>
      </c>
      <c r="CJ785" s="18" t="s">
        <v>489</v>
      </c>
      <c r="CK785" s="20"/>
    </row>
    <row r="786" spans="1:89" x14ac:dyDescent="0.25">
      <c r="A786" s="18" t="s">
        <v>489</v>
      </c>
      <c r="B786" s="19" t="s">
        <v>252</v>
      </c>
      <c r="C786" s="26" t="s">
        <v>254</v>
      </c>
      <c r="D786" s="6">
        <v>0</v>
      </c>
      <c r="E786" s="40" t="s">
        <v>83</v>
      </c>
      <c r="F786" s="6">
        <v>0</v>
      </c>
      <c r="G786" s="162" t="s">
        <v>83</v>
      </c>
      <c r="H786" s="162" t="s">
        <v>83</v>
      </c>
      <c r="I786" s="162" t="s">
        <v>83</v>
      </c>
      <c r="J786" s="163">
        <v>0</v>
      </c>
      <c r="K786" s="163">
        <v>0</v>
      </c>
      <c r="L786" s="163">
        <v>0</v>
      </c>
      <c r="M786" s="163">
        <v>0</v>
      </c>
      <c r="N786" s="115">
        <v>0</v>
      </c>
      <c r="O786" s="115">
        <v>0</v>
      </c>
      <c r="P786" s="116" t="s">
        <v>83</v>
      </c>
      <c r="Q786" s="116" t="s">
        <v>83</v>
      </c>
      <c r="R786" s="116" t="s">
        <v>83</v>
      </c>
      <c r="S786" s="115">
        <v>0</v>
      </c>
      <c r="T786" s="115">
        <v>0</v>
      </c>
      <c r="U786" s="115">
        <v>0</v>
      </c>
      <c r="V786" s="115">
        <v>0</v>
      </c>
      <c r="W786" s="6">
        <v>210</v>
      </c>
      <c r="X786" s="40">
        <f t="shared" si="58"/>
        <v>210</v>
      </c>
      <c r="Y786" s="40">
        <f t="shared" si="59"/>
        <v>210</v>
      </c>
      <c r="Z786" s="59">
        <v>0.5</v>
      </c>
      <c r="AA786" s="59">
        <v>0.5</v>
      </c>
      <c r="AB786" s="61">
        <v>4.7619047619047623E-3</v>
      </c>
      <c r="AC786" s="61">
        <v>0</v>
      </c>
      <c r="AD786" s="61">
        <v>3.8095238095238099E-2</v>
      </c>
      <c r="AE786" s="61">
        <v>0</v>
      </c>
      <c r="AF786" s="61">
        <v>0</v>
      </c>
      <c r="AG786" s="61">
        <v>0.95714285714285718</v>
      </c>
      <c r="AH786" s="61">
        <v>0</v>
      </c>
      <c r="AI786" s="61">
        <v>4.2857142857142858E-2</v>
      </c>
      <c r="AJ786" s="59">
        <v>0.59</v>
      </c>
      <c r="AK786" s="59">
        <v>0</v>
      </c>
      <c r="AL786" s="3">
        <v>0</v>
      </c>
      <c r="AM786" s="3">
        <v>0</v>
      </c>
      <c r="AN786" s="3">
        <v>0</v>
      </c>
      <c r="AO786" s="3">
        <v>60</v>
      </c>
      <c r="AP786" s="3">
        <v>59</v>
      </c>
      <c r="AQ786" s="3">
        <v>52</v>
      </c>
      <c r="AR786" s="3">
        <v>39</v>
      </c>
      <c r="AS786" s="59">
        <v>0</v>
      </c>
      <c r="AT786" s="3">
        <v>9</v>
      </c>
      <c r="AU786" s="3">
        <v>6</v>
      </c>
      <c r="AV786" s="49">
        <v>81.081081081081095</v>
      </c>
      <c r="AW786" s="49">
        <v>16.2162162162162</v>
      </c>
      <c r="AX786" s="49">
        <v>2.7027027027027</v>
      </c>
      <c r="AY786" s="67">
        <v>0</v>
      </c>
      <c r="AZ786" s="62">
        <v>0.17499999999999999</v>
      </c>
      <c r="BA786" s="62">
        <v>0</v>
      </c>
      <c r="BB786" s="78">
        <v>91.544843935203502</v>
      </c>
      <c r="BC786" s="49">
        <v>37.9166666666667</v>
      </c>
      <c r="BD786" s="90" t="s">
        <v>83</v>
      </c>
      <c r="BE786" s="90" t="s">
        <v>83</v>
      </c>
      <c r="BF786" s="87">
        <v>3.2</v>
      </c>
      <c r="BG786" s="87">
        <v>0</v>
      </c>
      <c r="BH786" s="87">
        <v>1.9</v>
      </c>
      <c r="BI786" s="87">
        <v>0</v>
      </c>
      <c r="BJ786" s="49">
        <v>20.6</v>
      </c>
      <c r="BK786" s="129">
        <v>12383</v>
      </c>
      <c r="BL786" s="129">
        <v>49566</v>
      </c>
      <c r="BM786" s="129">
        <v>52355</v>
      </c>
      <c r="BN786" s="129">
        <v>42016</v>
      </c>
      <c r="BO786" s="59">
        <v>0</v>
      </c>
      <c r="BP786" s="59">
        <v>0.38679999999999998</v>
      </c>
      <c r="BQ786" s="59">
        <v>0.2344</v>
      </c>
      <c r="BR786" s="59">
        <v>0</v>
      </c>
      <c r="BS786" s="59">
        <v>0</v>
      </c>
      <c r="BT786" s="49">
        <v>15.4</v>
      </c>
      <c r="BU786" s="59">
        <f t="shared" si="60"/>
        <v>0.62119999999999997</v>
      </c>
      <c r="BV786" s="59">
        <v>2.0299999999999999E-2</v>
      </c>
      <c r="BW786" s="59">
        <v>0</v>
      </c>
      <c r="BX786" s="59">
        <v>7.0000000000000007E-2</v>
      </c>
      <c r="BY786" s="59">
        <v>0</v>
      </c>
      <c r="BZ786" s="59">
        <v>0</v>
      </c>
      <c r="CA786" s="49">
        <v>15</v>
      </c>
      <c r="CB786" s="59">
        <f t="shared" si="61"/>
        <v>9.0300000000000005E-2</v>
      </c>
      <c r="CC786" s="59">
        <v>0.28029999999999999</v>
      </c>
      <c r="CD786" s="59">
        <v>0.38679999999999998</v>
      </c>
      <c r="CE786" s="59">
        <v>0.33279999999999998</v>
      </c>
      <c r="CF786" s="59">
        <v>0</v>
      </c>
      <c r="CG786" s="59">
        <v>0</v>
      </c>
      <c r="CH786" s="49">
        <v>14.3</v>
      </c>
      <c r="CI786" s="26" t="s">
        <v>254</v>
      </c>
      <c r="CJ786" s="18" t="s">
        <v>489</v>
      </c>
      <c r="CK786" s="20"/>
    </row>
    <row r="787" spans="1:89" x14ac:dyDescent="0.25">
      <c r="A787" s="18" t="s">
        <v>489</v>
      </c>
      <c r="B787" s="19" t="s">
        <v>255</v>
      </c>
      <c r="C787" s="26" t="s">
        <v>257</v>
      </c>
      <c r="D787" s="6">
        <v>0</v>
      </c>
      <c r="E787" s="6">
        <v>0</v>
      </c>
      <c r="F787" s="6">
        <v>0</v>
      </c>
      <c r="G787" s="163">
        <v>0</v>
      </c>
      <c r="H787" s="163">
        <v>0</v>
      </c>
      <c r="I787" s="162" t="s">
        <v>83</v>
      </c>
      <c r="J787" s="163">
        <v>0</v>
      </c>
      <c r="K787" s="163">
        <v>0</v>
      </c>
      <c r="L787" s="163">
        <v>0</v>
      </c>
      <c r="M787" s="163">
        <v>0</v>
      </c>
      <c r="N787" s="115">
        <v>0</v>
      </c>
      <c r="O787" s="115">
        <v>0</v>
      </c>
      <c r="P787" s="115">
        <v>0</v>
      </c>
      <c r="Q787" s="115">
        <v>0</v>
      </c>
      <c r="R787" s="116" t="s">
        <v>83</v>
      </c>
      <c r="S787" s="115">
        <v>0</v>
      </c>
      <c r="T787" s="115">
        <v>0</v>
      </c>
      <c r="U787" s="115">
        <v>0</v>
      </c>
      <c r="V787" s="115">
        <v>0</v>
      </c>
      <c r="W787" s="6">
        <v>299</v>
      </c>
      <c r="X787" s="40">
        <f t="shared" si="58"/>
        <v>197</v>
      </c>
      <c r="Y787" s="40">
        <f t="shared" si="59"/>
        <v>299</v>
      </c>
      <c r="Z787" s="59">
        <v>0.4783</v>
      </c>
      <c r="AA787" s="59">
        <v>0.52170000000000005</v>
      </c>
      <c r="AB787" s="61">
        <v>3.3444816053511705E-3</v>
      </c>
      <c r="AC787" s="61">
        <v>0</v>
      </c>
      <c r="AD787" s="61">
        <v>9.6989966555183951E-2</v>
      </c>
      <c r="AE787" s="61">
        <v>3.3444816053511704E-2</v>
      </c>
      <c r="AF787" s="61">
        <v>0</v>
      </c>
      <c r="AG787" s="61">
        <v>0.86622073578595316</v>
      </c>
      <c r="AH787" s="61">
        <v>0</v>
      </c>
      <c r="AI787" s="61">
        <v>0.13377926421404682</v>
      </c>
      <c r="AJ787" s="59">
        <v>0.42099999999999999</v>
      </c>
      <c r="AK787" s="59">
        <v>3.3E-3</v>
      </c>
      <c r="AL787" s="3">
        <v>57</v>
      </c>
      <c r="AM787" s="3">
        <v>45</v>
      </c>
      <c r="AN787" s="3">
        <v>0</v>
      </c>
      <c r="AO787" s="3">
        <v>50</v>
      </c>
      <c r="AP787" s="3">
        <v>49</v>
      </c>
      <c r="AQ787" s="3">
        <v>48</v>
      </c>
      <c r="AR787" s="3">
        <v>50</v>
      </c>
      <c r="AS787" s="59">
        <v>0</v>
      </c>
      <c r="AT787" s="3">
        <v>7</v>
      </c>
      <c r="AU787" s="3">
        <v>6</v>
      </c>
      <c r="AV787" s="49">
        <v>93.7759336099585</v>
      </c>
      <c r="AW787" s="49">
        <v>5.3941908713692897</v>
      </c>
      <c r="AX787" s="49">
        <v>0.829875518672199</v>
      </c>
      <c r="AY787" s="67">
        <v>0</v>
      </c>
      <c r="AZ787" s="62">
        <v>0.12037037037037036</v>
      </c>
      <c r="BA787" s="62">
        <v>8.3333333333333329E-2</v>
      </c>
      <c r="BB787" s="77">
        <v>96.099088257490806</v>
      </c>
      <c r="BC787" s="49">
        <v>34.523809523809497</v>
      </c>
      <c r="BD787" s="87">
        <v>0</v>
      </c>
      <c r="BE787" s="87">
        <v>0</v>
      </c>
      <c r="BF787" s="87">
        <v>2</v>
      </c>
      <c r="BG787" s="87">
        <v>0</v>
      </c>
      <c r="BH787" s="87">
        <v>0</v>
      </c>
      <c r="BI787" s="87">
        <v>3.5</v>
      </c>
      <c r="BJ787" s="49">
        <v>20.7</v>
      </c>
      <c r="BK787" s="129">
        <v>14074</v>
      </c>
      <c r="BL787" s="129">
        <v>50622</v>
      </c>
      <c r="BM787" s="129">
        <v>51652</v>
      </c>
      <c r="BN787" s="129">
        <v>46205</v>
      </c>
      <c r="BO787" s="59">
        <v>0</v>
      </c>
      <c r="BP787" s="59">
        <v>0.2445</v>
      </c>
      <c r="BQ787" s="59">
        <v>0.43940000000000001</v>
      </c>
      <c r="BR787" s="59">
        <v>0</v>
      </c>
      <c r="BS787" s="59">
        <v>0</v>
      </c>
      <c r="BT787" s="49">
        <v>14.9</v>
      </c>
      <c r="BU787" s="59">
        <f t="shared" si="60"/>
        <v>0.68389999999999995</v>
      </c>
      <c r="BV787" s="59">
        <v>2.4400000000000002E-2</v>
      </c>
      <c r="BW787" s="59">
        <v>2.3E-2</v>
      </c>
      <c r="BX787" s="59">
        <v>4.8800000000000003E-2</v>
      </c>
      <c r="BY787" s="59">
        <v>0</v>
      </c>
      <c r="BZ787" s="59">
        <v>0</v>
      </c>
      <c r="CA787" s="49">
        <v>14.4</v>
      </c>
      <c r="CB787" s="59">
        <f t="shared" si="61"/>
        <v>9.6200000000000008E-2</v>
      </c>
      <c r="CC787" s="59">
        <v>0.17100000000000001</v>
      </c>
      <c r="CD787" s="59">
        <v>0.29189999999999999</v>
      </c>
      <c r="CE787" s="59">
        <v>0.53710000000000002</v>
      </c>
      <c r="CF787" s="59">
        <v>0</v>
      </c>
      <c r="CG787" s="59">
        <v>0</v>
      </c>
      <c r="CH787" s="49">
        <v>13.5</v>
      </c>
      <c r="CI787" s="26" t="s">
        <v>257</v>
      </c>
      <c r="CJ787" s="18" t="s">
        <v>489</v>
      </c>
      <c r="CK787" s="20"/>
    </row>
    <row r="788" spans="1:89" x14ac:dyDescent="0.25">
      <c r="A788" s="18" t="s">
        <v>489</v>
      </c>
      <c r="B788" s="19" t="s">
        <v>255</v>
      </c>
      <c r="C788" s="26" t="s">
        <v>258</v>
      </c>
      <c r="D788" s="6">
        <v>4</v>
      </c>
      <c r="E788" s="40" t="s">
        <v>83</v>
      </c>
      <c r="F788" s="6">
        <v>4</v>
      </c>
      <c r="G788" s="162" t="s">
        <v>83</v>
      </c>
      <c r="H788" s="162" t="s">
        <v>83</v>
      </c>
      <c r="I788" s="163">
        <v>0</v>
      </c>
      <c r="J788" s="163">
        <v>0</v>
      </c>
      <c r="K788" s="163">
        <v>0</v>
      </c>
      <c r="L788" s="163">
        <v>1</v>
      </c>
      <c r="M788" s="163">
        <v>3</v>
      </c>
      <c r="N788" s="115">
        <v>2.8901734104046198E-3</v>
      </c>
      <c r="O788" s="115">
        <v>2.8901734104046198E-3</v>
      </c>
      <c r="P788" s="116" t="s">
        <v>83</v>
      </c>
      <c r="Q788" s="116" t="s">
        <v>83</v>
      </c>
      <c r="R788" s="115">
        <v>0</v>
      </c>
      <c r="S788" s="115">
        <v>0</v>
      </c>
      <c r="T788" s="115">
        <v>0</v>
      </c>
      <c r="U788" s="115">
        <v>2.9498525073746299E-3</v>
      </c>
      <c r="V788" s="115">
        <v>9.93377483443709E-3</v>
      </c>
      <c r="W788" s="6">
        <v>1310</v>
      </c>
      <c r="X788" s="40">
        <f t="shared" si="58"/>
        <v>1310</v>
      </c>
      <c r="Y788" s="40">
        <f t="shared" si="59"/>
        <v>1310</v>
      </c>
      <c r="Z788" s="59">
        <v>0.51070000000000004</v>
      </c>
      <c r="AA788" s="59">
        <v>0.48930000000000001</v>
      </c>
      <c r="AB788" s="61">
        <v>2.2900763358778627E-3</v>
      </c>
      <c r="AC788" s="61">
        <v>5.3435114503816794E-3</v>
      </c>
      <c r="AD788" s="61">
        <v>0.49389312977099237</v>
      </c>
      <c r="AE788" s="61">
        <v>3.8931297709923665E-2</v>
      </c>
      <c r="AF788" s="61">
        <v>0</v>
      </c>
      <c r="AG788" s="61">
        <v>0.45114503816793894</v>
      </c>
      <c r="AH788" s="61">
        <v>8.3969465648854966E-3</v>
      </c>
      <c r="AI788" s="61">
        <v>0.54885496183206106</v>
      </c>
      <c r="AJ788" s="59">
        <v>0.56200000000000006</v>
      </c>
      <c r="AK788" s="59">
        <v>6.8999999999999999E-3</v>
      </c>
      <c r="AL788" s="3">
        <v>0</v>
      </c>
      <c r="AM788" s="3">
        <v>0</v>
      </c>
      <c r="AN788" s="3">
        <v>1</v>
      </c>
      <c r="AO788" s="3">
        <v>344</v>
      </c>
      <c r="AP788" s="3">
        <v>349</v>
      </c>
      <c r="AQ788" s="3">
        <v>323</v>
      </c>
      <c r="AR788" s="3">
        <v>293</v>
      </c>
      <c r="AS788" s="59">
        <v>2.8985507246376812E-3</v>
      </c>
      <c r="AT788" s="3">
        <v>9</v>
      </c>
      <c r="AU788" s="3">
        <v>6</v>
      </c>
      <c r="AV788" s="49">
        <v>72.714486638537295</v>
      </c>
      <c r="AW788" s="49">
        <v>23.347398030942301</v>
      </c>
      <c r="AX788" s="49">
        <v>2.9535864978902997</v>
      </c>
      <c r="AY788" s="67">
        <v>0.98452883263009905</v>
      </c>
      <c r="AZ788" s="62">
        <v>0.16075307748008688</v>
      </c>
      <c r="BA788" s="62">
        <v>0.1332367849384504</v>
      </c>
      <c r="BB788" s="78">
        <v>94.204017109912598</v>
      </c>
      <c r="BC788" s="49">
        <v>51.043916486681098</v>
      </c>
      <c r="BD788" s="90" t="s">
        <v>83</v>
      </c>
      <c r="BE788" s="90" t="s">
        <v>83</v>
      </c>
      <c r="BF788" s="87">
        <v>1.3</v>
      </c>
      <c r="BG788" s="87">
        <v>2.7</v>
      </c>
      <c r="BH788" s="87">
        <v>2.2999999999999998</v>
      </c>
      <c r="BI788" s="87">
        <v>1</v>
      </c>
      <c r="BJ788" s="49">
        <v>21.2</v>
      </c>
      <c r="BK788" s="129">
        <v>11863</v>
      </c>
      <c r="BL788" s="129">
        <v>49552</v>
      </c>
      <c r="BM788" s="129">
        <v>53067</v>
      </c>
      <c r="BN788" s="129">
        <v>46349</v>
      </c>
      <c r="BO788" s="59">
        <v>0</v>
      </c>
      <c r="BP788" s="59">
        <v>0.34760000000000002</v>
      </c>
      <c r="BQ788" s="59">
        <v>0.34289999999999998</v>
      </c>
      <c r="BR788" s="59">
        <v>0</v>
      </c>
      <c r="BS788" s="59">
        <v>1.47E-2</v>
      </c>
      <c r="BT788" s="49">
        <v>12.1</v>
      </c>
      <c r="BU788" s="59">
        <f t="shared" si="60"/>
        <v>0.70520000000000005</v>
      </c>
      <c r="BV788" s="59">
        <v>2.9499999999999998E-2</v>
      </c>
      <c r="BW788" s="59">
        <v>1.47E-2</v>
      </c>
      <c r="BX788" s="59">
        <v>2.9499999999999998E-2</v>
      </c>
      <c r="BY788" s="59">
        <v>7.4000000000000003E-3</v>
      </c>
      <c r="BZ788" s="59">
        <v>0</v>
      </c>
      <c r="CA788" s="49">
        <v>20.5</v>
      </c>
      <c r="CB788" s="59">
        <f t="shared" si="61"/>
        <v>8.1099999999999992E-2</v>
      </c>
      <c r="CC788" s="59">
        <v>0.151</v>
      </c>
      <c r="CD788" s="59">
        <v>0.3881</v>
      </c>
      <c r="CE788" s="59">
        <v>0.43869999999999998</v>
      </c>
      <c r="CF788" s="59">
        <v>7.4000000000000003E-3</v>
      </c>
      <c r="CG788" s="59">
        <v>1.47E-2</v>
      </c>
      <c r="CH788" s="49">
        <v>12.7</v>
      </c>
      <c r="CI788" s="26" t="s">
        <v>258</v>
      </c>
      <c r="CJ788" s="18" t="s">
        <v>489</v>
      </c>
      <c r="CK788" s="20"/>
    </row>
    <row r="789" spans="1:89" x14ac:dyDescent="0.25">
      <c r="A789" s="18" t="s">
        <v>489</v>
      </c>
      <c r="B789" s="19" t="s">
        <v>255</v>
      </c>
      <c r="C789" s="26" t="s">
        <v>259</v>
      </c>
      <c r="D789" s="6">
        <v>0</v>
      </c>
      <c r="E789" s="6">
        <v>0</v>
      </c>
      <c r="F789" s="6">
        <v>0</v>
      </c>
      <c r="G789" s="163">
        <v>0</v>
      </c>
      <c r="H789" s="163">
        <v>0</v>
      </c>
      <c r="I789" s="162" t="s">
        <v>83</v>
      </c>
      <c r="J789" s="163">
        <v>0</v>
      </c>
      <c r="K789" s="163">
        <v>0</v>
      </c>
      <c r="L789" s="163">
        <v>0</v>
      </c>
      <c r="M789" s="163">
        <v>0</v>
      </c>
      <c r="N789" s="115">
        <v>0</v>
      </c>
      <c r="O789" s="115">
        <v>0</v>
      </c>
      <c r="P789" s="115">
        <v>0</v>
      </c>
      <c r="Q789" s="115">
        <v>0</v>
      </c>
      <c r="R789" s="116" t="s">
        <v>83</v>
      </c>
      <c r="S789" s="115">
        <v>0</v>
      </c>
      <c r="T789" s="115">
        <v>0</v>
      </c>
      <c r="U789" s="115">
        <v>0</v>
      </c>
      <c r="V789" s="115">
        <v>0</v>
      </c>
      <c r="W789" s="6">
        <v>548</v>
      </c>
      <c r="X789" s="40">
        <f t="shared" si="58"/>
        <v>151</v>
      </c>
      <c r="Y789" s="40">
        <f t="shared" si="59"/>
        <v>239</v>
      </c>
      <c r="Z789" s="59">
        <v>0.51280000000000003</v>
      </c>
      <c r="AA789" s="59">
        <v>0.48720000000000002</v>
      </c>
      <c r="AB789" s="61">
        <v>9.1240875912408752E-3</v>
      </c>
      <c r="AC789" s="61">
        <v>0</v>
      </c>
      <c r="AD789" s="61">
        <v>0.43978102189781021</v>
      </c>
      <c r="AE789" s="61">
        <v>0.10583941605839416</v>
      </c>
      <c r="AF789" s="61">
        <v>0</v>
      </c>
      <c r="AG789" s="61">
        <v>0.43065693430656932</v>
      </c>
      <c r="AH789" s="61">
        <v>1.4598540145985401E-2</v>
      </c>
      <c r="AI789" s="61">
        <v>0.56934306569343063</v>
      </c>
      <c r="AJ789" s="59">
        <v>0.755</v>
      </c>
      <c r="AK789" s="59">
        <v>5.4699999999999999E-2</v>
      </c>
      <c r="AL789" s="3">
        <v>44</v>
      </c>
      <c r="AM789" s="3">
        <v>44</v>
      </c>
      <c r="AN789" s="3">
        <v>0</v>
      </c>
      <c r="AO789" s="3">
        <v>39</v>
      </c>
      <c r="AP789" s="3">
        <v>40</v>
      </c>
      <c r="AQ789" s="3">
        <v>43</v>
      </c>
      <c r="AR789" s="3">
        <v>29</v>
      </c>
      <c r="AS789" s="59">
        <v>0</v>
      </c>
      <c r="AT789" s="3">
        <v>1</v>
      </c>
      <c r="AU789" s="3">
        <v>6</v>
      </c>
      <c r="AV789" s="49">
        <v>80.158730158730194</v>
      </c>
      <c r="AW789" s="49">
        <v>18.253968253968299</v>
      </c>
      <c r="AX789" s="49">
        <v>1.5873015873015901</v>
      </c>
      <c r="AY789" s="67">
        <v>0</v>
      </c>
      <c r="AZ789" s="62">
        <v>0.13388429752066117</v>
      </c>
      <c r="BA789" s="62">
        <v>0.12892561983471074</v>
      </c>
      <c r="BB789" s="77">
        <v>94.950222035193406</v>
      </c>
      <c r="BC789" s="49">
        <v>49.674267100977197</v>
      </c>
      <c r="BD789" s="87">
        <v>2.2000000000000002</v>
      </c>
      <c r="BE789" s="87">
        <v>0</v>
      </c>
      <c r="BF789" s="87">
        <v>7.9</v>
      </c>
      <c r="BG789" s="87">
        <v>4.7</v>
      </c>
      <c r="BH789" s="87">
        <v>0</v>
      </c>
      <c r="BI789" s="87">
        <v>0</v>
      </c>
      <c r="BJ789" s="49">
        <v>18.2</v>
      </c>
      <c r="BK789" s="129">
        <v>12913</v>
      </c>
      <c r="BL789" s="129">
        <v>47515</v>
      </c>
      <c r="BM789" s="129">
        <v>56187</v>
      </c>
      <c r="BN789" s="129">
        <v>44060</v>
      </c>
      <c r="BO789" s="59">
        <v>0</v>
      </c>
      <c r="BP789" s="59">
        <v>0.37759999999999999</v>
      </c>
      <c r="BQ789" s="59">
        <v>0.27610000000000001</v>
      </c>
      <c r="BR789" s="59">
        <v>0</v>
      </c>
      <c r="BS789" s="59">
        <v>0</v>
      </c>
      <c r="BT789" s="49">
        <v>11.2</v>
      </c>
      <c r="BU789" s="59">
        <f t="shared" si="60"/>
        <v>0.65369999999999995</v>
      </c>
      <c r="BV789" s="59">
        <v>2.9100000000000001E-2</v>
      </c>
      <c r="BW789" s="59">
        <v>0</v>
      </c>
      <c r="BX789" s="59">
        <v>5.8099999999999999E-2</v>
      </c>
      <c r="BY789" s="59">
        <v>0</v>
      </c>
      <c r="BZ789" s="59">
        <v>0</v>
      </c>
      <c r="CA789" s="49">
        <v>15.8</v>
      </c>
      <c r="CB789" s="59">
        <f t="shared" si="61"/>
        <v>8.72E-2</v>
      </c>
      <c r="CC789" s="59">
        <v>0.15740000000000001</v>
      </c>
      <c r="CD789" s="59">
        <v>0.43569999999999998</v>
      </c>
      <c r="CE789" s="59">
        <v>0.39229999999999998</v>
      </c>
      <c r="CF789" s="59">
        <v>0</v>
      </c>
      <c r="CG789" s="59">
        <v>1.4500000000000001E-2</v>
      </c>
      <c r="CH789" s="49">
        <v>11</v>
      </c>
      <c r="CI789" s="26" t="s">
        <v>259</v>
      </c>
      <c r="CJ789" s="18" t="s">
        <v>489</v>
      </c>
      <c r="CK789" s="20"/>
    </row>
    <row r="790" spans="1:89" x14ac:dyDescent="0.25">
      <c r="A790" s="18" t="s">
        <v>489</v>
      </c>
      <c r="B790" s="19" t="s">
        <v>260</v>
      </c>
      <c r="C790" s="26" t="s">
        <v>261</v>
      </c>
      <c r="D790" s="6">
        <v>4</v>
      </c>
      <c r="E790" s="40" t="s">
        <v>83</v>
      </c>
      <c r="F790" s="6">
        <v>4</v>
      </c>
      <c r="G790" s="162" t="s">
        <v>83</v>
      </c>
      <c r="H790" s="162" t="s">
        <v>83</v>
      </c>
      <c r="I790" s="163">
        <v>0</v>
      </c>
      <c r="J790" s="163">
        <v>2</v>
      </c>
      <c r="K790" s="163">
        <v>1</v>
      </c>
      <c r="L790" s="163">
        <v>0</v>
      </c>
      <c r="M790" s="163">
        <v>1</v>
      </c>
      <c r="N790" s="115">
        <v>6.7340067340067302E-3</v>
      </c>
      <c r="O790" s="115">
        <v>6.7340067340067302E-3</v>
      </c>
      <c r="P790" s="116" t="s">
        <v>83</v>
      </c>
      <c r="Q790" s="116" t="s">
        <v>83</v>
      </c>
      <c r="R790" s="115">
        <v>0</v>
      </c>
      <c r="S790" s="115">
        <v>1.4285714285714299E-2</v>
      </c>
      <c r="T790" s="115">
        <v>6.2111801242236003E-3</v>
      </c>
      <c r="U790" s="115">
        <v>0</v>
      </c>
      <c r="V790" s="115">
        <v>6.8493150684931503E-3</v>
      </c>
      <c r="W790" s="6">
        <v>547</v>
      </c>
      <c r="X790" s="40">
        <f t="shared" si="58"/>
        <v>547</v>
      </c>
      <c r="Y790" s="40">
        <f t="shared" si="59"/>
        <v>547</v>
      </c>
      <c r="Z790" s="59">
        <v>0.44969999999999999</v>
      </c>
      <c r="AA790" s="59">
        <v>0.55030000000000001</v>
      </c>
      <c r="AB790" s="61">
        <v>1.8281535648994515E-3</v>
      </c>
      <c r="AC790" s="61">
        <v>1.8281535648994515E-3</v>
      </c>
      <c r="AD790" s="61">
        <v>0.11882998171846434</v>
      </c>
      <c r="AE790" s="61">
        <v>4.9360146252285193E-2</v>
      </c>
      <c r="AF790" s="61">
        <v>0</v>
      </c>
      <c r="AG790" s="61">
        <v>0.82815356489945158</v>
      </c>
      <c r="AH790" s="61">
        <v>0</v>
      </c>
      <c r="AI790" s="61">
        <v>0.17184643510054845</v>
      </c>
      <c r="AJ790" s="59">
        <v>0.81</v>
      </c>
      <c r="AK790" s="59">
        <v>1.8E-3</v>
      </c>
      <c r="AL790" s="3">
        <v>0</v>
      </c>
      <c r="AM790" s="3">
        <v>0</v>
      </c>
      <c r="AN790" s="3">
        <v>22</v>
      </c>
      <c r="AO790" s="3">
        <v>128</v>
      </c>
      <c r="AP790" s="3">
        <v>148</v>
      </c>
      <c r="AQ790" s="3">
        <v>113</v>
      </c>
      <c r="AR790" s="3">
        <v>136</v>
      </c>
      <c r="AS790" s="59">
        <v>0.14666666666666667</v>
      </c>
      <c r="AT790" s="3">
        <v>9</v>
      </c>
      <c r="AU790" s="3">
        <v>6</v>
      </c>
      <c r="AV790" s="49">
        <v>68.376068376068403</v>
      </c>
      <c r="AW790" s="49">
        <v>16.524216524216502</v>
      </c>
      <c r="AX790" s="49">
        <v>14.2450142450142</v>
      </c>
      <c r="AY790" s="67">
        <v>0.854700854700855</v>
      </c>
      <c r="AZ790" s="62">
        <v>0</v>
      </c>
      <c r="BA790" s="62">
        <v>0.15878378378378377</v>
      </c>
      <c r="BB790" s="78">
        <v>92.2960863204097</v>
      </c>
      <c r="BC790" s="49">
        <v>32.883642495784201</v>
      </c>
      <c r="BD790" s="90" t="s">
        <v>83</v>
      </c>
      <c r="BE790" s="90" t="s">
        <v>83</v>
      </c>
      <c r="BF790" s="87">
        <v>2.4</v>
      </c>
      <c r="BG790" s="87">
        <v>3.5</v>
      </c>
      <c r="BH790" s="87">
        <v>2.7</v>
      </c>
      <c r="BI790" s="87">
        <v>1.5</v>
      </c>
      <c r="BJ790" s="49">
        <v>19.100000000000001</v>
      </c>
      <c r="BK790" s="129">
        <v>10647</v>
      </c>
      <c r="BL790" s="129">
        <v>49560</v>
      </c>
      <c r="BM790" s="129">
        <v>53357</v>
      </c>
      <c r="BN790" s="129">
        <v>39469</v>
      </c>
      <c r="BO790" s="59">
        <v>1.6899999999999998E-2</v>
      </c>
      <c r="BP790" s="59">
        <v>0.3896</v>
      </c>
      <c r="BQ790" s="59">
        <v>0.13789999999999999</v>
      </c>
      <c r="BR790" s="59">
        <v>0</v>
      </c>
      <c r="BS790" s="59">
        <v>0</v>
      </c>
      <c r="BT790" s="49">
        <v>11.2</v>
      </c>
      <c r="BU790" s="59">
        <f t="shared" si="60"/>
        <v>0.5444</v>
      </c>
      <c r="BV790" s="59">
        <v>3.3799999999999997E-2</v>
      </c>
      <c r="BW790" s="59">
        <v>0</v>
      </c>
      <c r="BX790" s="59">
        <v>3.3700000000000001E-2</v>
      </c>
      <c r="BY790" s="59">
        <v>0</v>
      </c>
      <c r="BZ790" s="59">
        <v>0</v>
      </c>
      <c r="CA790" s="49">
        <v>25.5</v>
      </c>
      <c r="CB790" s="59">
        <f t="shared" si="61"/>
        <v>6.7500000000000004E-2</v>
      </c>
      <c r="CC790" s="59">
        <v>0.33760000000000001</v>
      </c>
      <c r="CD790" s="59">
        <v>0.45700000000000002</v>
      </c>
      <c r="CE790" s="59">
        <v>0.2054</v>
      </c>
      <c r="CF790" s="59">
        <v>0</v>
      </c>
      <c r="CG790" s="59">
        <v>0</v>
      </c>
      <c r="CH790" s="49">
        <v>10.7</v>
      </c>
      <c r="CI790" s="26" t="s">
        <v>261</v>
      </c>
      <c r="CJ790" s="18" t="s">
        <v>489</v>
      </c>
      <c r="CK790" s="20"/>
    </row>
    <row r="791" spans="1:89" x14ac:dyDescent="0.25">
      <c r="A791" s="18" t="s">
        <v>489</v>
      </c>
      <c r="B791" s="19" t="s">
        <v>260</v>
      </c>
      <c r="C791" s="26" t="s">
        <v>262</v>
      </c>
      <c r="D791" s="6">
        <v>47</v>
      </c>
      <c r="E791" s="40" t="s">
        <v>83</v>
      </c>
      <c r="F791" s="6">
        <v>47</v>
      </c>
      <c r="G791" s="162" t="s">
        <v>83</v>
      </c>
      <c r="H791" s="162" t="s">
        <v>83</v>
      </c>
      <c r="I791" s="163">
        <v>0</v>
      </c>
      <c r="J791" s="163">
        <v>18</v>
      </c>
      <c r="K791" s="163">
        <v>11</v>
      </c>
      <c r="L791" s="163">
        <v>10</v>
      </c>
      <c r="M791" s="163">
        <v>8</v>
      </c>
      <c r="N791" s="101">
        <f>47/2435</f>
        <v>1.9301848049281315E-2</v>
      </c>
      <c r="O791" s="101">
        <f>47/2435</f>
        <v>1.9301848049281315E-2</v>
      </c>
      <c r="P791" s="116" t="s">
        <v>83</v>
      </c>
      <c r="Q791" s="116" t="s">
        <v>83</v>
      </c>
      <c r="R791" s="115">
        <v>0</v>
      </c>
      <c r="S791" s="115">
        <v>2.7190332326284001E-2</v>
      </c>
      <c r="T791" s="115">
        <v>1.7080745341614901E-2</v>
      </c>
      <c r="U791" s="115">
        <v>1.77619893428064E-2</v>
      </c>
      <c r="V791" s="115">
        <v>1.5094339622641499E-2</v>
      </c>
      <c r="W791" s="6">
        <v>2121</v>
      </c>
      <c r="X791" s="40">
        <f t="shared" si="58"/>
        <v>2121</v>
      </c>
      <c r="Y791" s="40">
        <f t="shared" si="59"/>
        <v>2121</v>
      </c>
      <c r="Z791" s="59">
        <v>0.4926921263554927</v>
      </c>
      <c r="AA791" s="59">
        <v>0.50730787364450736</v>
      </c>
      <c r="AB791" s="61">
        <v>2.828854314002829E-3</v>
      </c>
      <c r="AC791" s="61">
        <v>1.1315417256011316E-2</v>
      </c>
      <c r="AD791" s="61">
        <v>0.10796793965110797</v>
      </c>
      <c r="AE791" s="61">
        <v>5.6105610561056105E-2</v>
      </c>
      <c r="AF791" s="61">
        <v>0</v>
      </c>
      <c r="AG791" s="61">
        <v>0.81942479962281944</v>
      </c>
      <c r="AH791" s="61">
        <v>2.3573785950023575E-3</v>
      </c>
      <c r="AI791" s="61">
        <v>0.18057520037718058</v>
      </c>
      <c r="AJ791" s="59">
        <v>0.67232437529467237</v>
      </c>
      <c r="AK791" s="59">
        <v>6.6006600660066007E-3</v>
      </c>
      <c r="AL791" s="3">
        <v>0</v>
      </c>
      <c r="AM791" s="3">
        <v>0</v>
      </c>
      <c r="AN791" s="3">
        <v>36</v>
      </c>
      <c r="AO791" s="3">
        <v>556</v>
      </c>
      <c r="AP791" s="3">
        <v>559</v>
      </c>
      <c r="AQ791" s="3">
        <v>491</v>
      </c>
      <c r="AR791" s="3">
        <v>479</v>
      </c>
      <c r="AS791" s="59">
        <v>6.0810810810810814E-2</v>
      </c>
      <c r="AT791" s="3">
        <v>9</v>
      </c>
      <c r="AU791" s="3">
        <v>6</v>
      </c>
      <c r="AV791" s="57">
        <v>57.975986277873069</v>
      </c>
      <c r="AW791" s="57">
        <v>32.332761578044597</v>
      </c>
      <c r="AX791" s="57">
        <v>9.1766723842195539</v>
      </c>
      <c r="AY791" s="73">
        <v>0.51457975986277882</v>
      </c>
      <c r="AZ791" s="62">
        <v>0</v>
      </c>
      <c r="BA791" s="61">
        <v>0.12776991984912778</v>
      </c>
      <c r="BB791" s="77">
        <v>93.016158207671893</v>
      </c>
      <c r="BC791" s="77">
        <v>30.589274390796302</v>
      </c>
      <c r="BD791" s="90" t="s">
        <v>83</v>
      </c>
      <c r="BE791" s="90" t="s">
        <v>83</v>
      </c>
      <c r="BF791" s="87">
        <v>4.0999999999999996</v>
      </c>
      <c r="BG791" s="87">
        <v>4.3</v>
      </c>
      <c r="BH791" s="87">
        <v>1.1000000000000001</v>
      </c>
      <c r="BI791" s="87">
        <v>2.1</v>
      </c>
      <c r="BJ791" s="49">
        <v>20.7</v>
      </c>
      <c r="BK791" s="129">
        <v>9690</v>
      </c>
      <c r="BL791" s="129">
        <v>50745</v>
      </c>
      <c r="BM791" s="129">
        <v>43055</v>
      </c>
      <c r="BN791" s="129">
        <v>37945</v>
      </c>
      <c r="BO791" s="59">
        <v>6.6E-3</v>
      </c>
      <c r="BP791" s="59">
        <v>0.33639999999999998</v>
      </c>
      <c r="BQ791" s="59">
        <v>0.18079999999999999</v>
      </c>
      <c r="BR791" s="59">
        <v>0</v>
      </c>
      <c r="BS791" s="59">
        <v>6.6E-3</v>
      </c>
      <c r="BT791" s="49">
        <v>13.6</v>
      </c>
      <c r="BU791" s="59">
        <f t="shared" si="60"/>
        <v>0.53039999999999998</v>
      </c>
      <c r="BV791" s="59">
        <v>1.9900000000000001E-2</v>
      </c>
      <c r="BW791" s="59">
        <v>1.3299999999999999E-2</v>
      </c>
      <c r="BX791" s="59">
        <v>2.3199999999999998E-2</v>
      </c>
      <c r="BY791" s="59">
        <v>0</v>
      </c>
      <c r="BZ791" s="59">
        <v>0</v>
      </c>
      <c r="CA791" s="49">
        <v>12.6</v>
      </c>
      <c r="CB791" s="59">
        <f t="shared" si="61"/>
        <v>5.6399999999999999E-2</v>
      </c>
      <c r="CC791" s="59">
        <v>0.4</v>
      </c>
      <c r="CD791" s="59">
        <v>0.3629</v>
      </c>
      <c r="CE791" s="59">
        <v>0.23050000000000001</v>
      </c>
      <c r="CF791" s="59">
        <v>0</v>
      </c>
      <c r="CG791" s="59">
        <v>6.6E-3</v>
      </c>
      <c r="CH791" s="49">
        <v>11.8</v>
      </c>
      <c r="CI791" s="26" t="s">
        <v>262</v>
      </c>
      <c r="CJ791" s="18" t="s">
        <v>489</v>
      </c>
      <c r="CK791" s="20"/>
    </row>
    <row r="792" spans="1:89" x14ac:dyDescent="0.25">
      <c r="A792" s="18" t="s">
        <v>489</v>
      </c>
      <c r="B792" s="19" t="s">
        <v>260</v>
      </c>
      <c r="C792" s="26" t="s">
        <v>263</v>
      </c>
      <c r="D792" s="6">
        <v>21</v>
      </c>
      <c r="E792" s="6">
        <v>2</v>
      </c>
      <c r="F792" s="6">
        <v>19</v>
      </c>
      <c r="G792" s="163">
        <v>2</v>
      </c>
      <c r="H792" s="163">
        <v>0</v>
      </c>
      <c r="I792" s="163">
        <v>1</v>
      </c>
      <c r="J792" s="163">
        <v>8</v>
      </c>
      <c r="K792" s="163">
        <v>4</v>
      </c>
      <c r="L792" s="163">
        <v>3</v>
      </c>
      <c r="M792" s="163">
        <v>3</v>
      </c>
      <c r="N792" s="115">
        <v>3.1914893617021302E-2</v>
      </c>
      <c r="O792" s="115">
        <v>4.1484716157205198E-2</v>
      </c>
      <c r="P792" s="115">
        <v>2.06185567010309E-2</v>
      </c>
      <c r="Q792" s="115">
        <v>0</v>
      </c>
      <c r="R792" s="115">
        <v>0.1</v>
      </c>
      <c r="S792" s="115">
        <v>7.69230769230769E-2</v>
      </c>
      <c r="T792" s="115">
        <v>3.3613445378151301E-2</v>
      </c>
      <c r="U792" s="115">
        <v>2.6086956521739101E-2</v>
      </c>
      <c r="V792" s="115">
        <v>2.7272727272727299E-2</v>
      </c>
      <c r="W792" s="6">
        <v>680</v>
      </c>
      <c r="X792" s="40">
        <f t="shared" si="58"/>
        <v>415</v>
      </c>
      <c r="Y792" s="40">
        <f t="shared" si="59"/>
        <v>598</v>
      </c>
      <c r="Z792" s="59">
        <v>0.48970000000000002</v>
      </c>
      <c r="AA792" s="59">
        <v>0.51029999999999998</v>
      </c>
      <c r="AB792" s="61">
        <v>0</v>
      </c>
      <c r="AC792" s="61">
        <v>1.4705882352941176E-3</v>
      </c>
      <c r="AD792" s="61">
        <v>3.6764705882352942E-2</v>
      </c>
      <c r="AE792" s="61">
        <v>2.2058823529411766E-2</v>
      </c>
      <c r="AF792" s="61">
        <v>1.4705882352941176E-3</v>
      </c>
      <c r="AG792" s="61">
        <v>0.93676470588235294</v>
      </c>
      <c r="AH792" s="61">
        <v>1.4705882352941176E-3</v>
      </c>
      <c r="AI792" s="61">
        <v>6.3235294117647056E-2</v>
      </c>
      <c r="AJ792" s="59">
        <v>0.65900000000000003</v>
      </c>
      <c r="AK792" s="59">
        <v>2.8999999999999998E-3</v>
      </c>
      <c r="AL792" s="3">
        <v>92</v>
      </c>
      <c r="AM792" s="3">
        <v>91</v>
      </c>
      <c r="AN792" s="3">
        <v>9</v>
      </c>
      <c r="AO792" s="3">
        <v>90</v>
      </c>
      <c r="AP792" s="3">
        <v>113</v>
      </c>
      <c r="AQ792" s="3">
        <v>100</v>
      </c>
      <c r="AR792" s="3">
        <v>103</v>
      </c>
      <c r="AS792" s="59">
        <v>9.0909090909090912E-2</v>
      </c>
      <c r="AT792" s="3">
        <v>6</v>
      </c>
      <c r="AU792" s="3">
        <v>6</v>
      </c>
      <c r="AV792" s="49">
        <v>61.792452830188708</v>
      </c>
      <c r="AW792" s="49">
        <v>22.641509433962302</v>
      </c>
      <c r="AX792" s="49">
        <v>13.679245283018901</v>
      </c>
      <c r="AY792" s="67">
        <v>1.88679245283019</v>
      </c>
      <c r="AZ792" s="62">
        <v>0</v>
      </c>
      <c r="BA792" s="62">
        <v>0.15853658536585366</v>
      </c>
      <c r="BB792" s="78">
        <v>93.906518651416604</v>
      </c>
      <c r="BC792" s="49">
        <v>18.573351278600299</v>
      </c>
      <c r="BD792" s="87">
        <v>2.4</v>
      </c>
      <c r="BE792" s="87">
        <v>8.6999999999999993</v>
      </c>
      <c r="BF792" s="87">
        <v>2.4</v>
      </c>
      <c r="BG792" s="87">
        <v>8</v>
      </c>
      <c r="BH792" s="87">
        <v>5.4</v>
      </c>
      <c r="BI792" s="87">
        <v>2</v>
      </c>
      <c r="BJ792" s="49">
        <v>19.8</v>
      </c>
      <c r="BK792" s="129">
        <v>9425</v>
      </c>
      <c r="BL792" s="129">
        <v>50626</v>
      </c>
      <c r="BM792" s="129">
        <v>49855</v>
      </c>
      <c r="BN792" s="129">
        <v>43597</v>
      </c>
      <c r="BO792" s="59">
        <v>0</v>
      </c>
      <c r="BP792" s="59">
        <v>0.4254</v>
      </c>
      <c r="BQ792" s="59">
        <v>0.20019999999999999</v>
      </c>
      <c r="BR792" s="59">
        <v>1.77E-2</v>
      </c>
      <c r="BS792" s="59">
        <v>6.4999999999999997E-3</v>
      </c>
      <c r="BT792" s="49">
        <v>14.6</v>
      </c>
      <c r="BU792" s="59">
        <f t="shared" si="60"/>
        <v>0.64979999999999993</v>
      </c>
      <c r="BV792" s="59">
        <v>3.5499999999999997E-2</v>
      </c>
      <c r="BW792" s="59">
        <v>0</v>
      </c>
      <c r="BX792" s="59">
        <v>3.9E-2</v>
      </c>
      <c r="BY792" s="59">
        <v>0</v>
      </c>
      <c r="BZ792" s="59">
        <v>0</v>
      </c>
      <c r="CA792" s="49">
        <v>16</v>
      </c>
      <c r="CB792" s="59">
        <f t="shared" si="61"/>
        <v>7.4499999999999997E-2</v>
      </c>
      <c r="CC792" s="59">
        <v>0.24279999999999999</v>
      </c>
      <c r="CD792" s="59">
        <v>0.46089999999999998</v>
      </c>
      <c r="CE792" s="59">
        <v>0.25430000000000003</v>
      </c>
      <c r="CF792" s="59">
        <v>3.5499999999999997E-2</v>
      </c>
      <c r="CG792" s="59">
        <v>6.4999999999999997E-3</v>
      </c>
      <c r="CH792" s="49">
        <v>14.3</v>
      </c>
      <c r="CI792" s="26" t="s">
        <v>263</v>
      </c>
      <c r="CJ792" s="18" t="s">
        <v>489</v>
      </c>
      <c r="CK792" s="20"/>
    </row>
    <row r="793" spans="1:89" x14ac:dyDescent="0.25">
      <c r="A793" s="18" t="s">
        <v>489</v>
      </c>
      <c r="B793" s="19" t="s">
        <v>260</v>
      </c>
      <c r="C793" s="26" t="s">
        <v>264</v>
      </c>
      <c r="D793" s="6">
        <v>6</v>
      </c>
      <c r="E793" s="6">
        <v>2</v>
      </c>
      <c r="F793" s="6">
        <v>4</v>
      </c>
      <c r="G793" s="163">
        <v>1</v>
      </c>
      <c r="H793" s="163">
        <v>1</v>
      </c>
      <c r="I793" s="162" t="s">
        <v>83</v>
      </c>
      <c r="J793" s="163">
        <v>0</v>
      </c>
      <c r="K793" s="163">
        <v>2</v>
      </c>
      <c r="L793" s="163">
        <v>1</v>
      </c>
      <c r="M793" s="163">
        <v>1</v>
      </c>
      <c r="N793" s="115">
        <v>1.36674259681093E-2</v>
      </c>
      <c r="O793" s="115">
        <v>1.2944983818770199E-2</v>
      </c>
      <c r="P793" s="115">
        <v>1.6666666666666701E-2</v>
      </c>
      <c r="Q793" s="115">
        <v>1.4285714285714299E-2</v>
      </c>
      <c r="R793" s="116" t="s">
        <v>83</v>
      </c>
      <c r="S793" s="115">
        <v>0</v>
      </c>
      <c r="T793" s="115">
        <v>0.02</v>
      </c>
      <c r="U793" s="115">
        <v>1.4285714285714299E-2</v>
      </c>
      <c r="V793" s="115">
        <v>1.72413793103448E-2</v>
      </c>
      <c r="W793" s="6">
        <v>401</v>
      </c>
      <c r="X793" s="40">
        <f t="shared" si="58"/>
        <v>283</v>
      </c>
      <c r="Y793" s="40">
        <f t="shared" si="59"/>
        <v>401</v>
      </c>
      <c r="Z793" s="59">
        <v>0.51119999999999999</v>
      </c>
      <c r="AA793" s="59">
        <v>0.48880000000000001</v>
      </c>
      <c r="AB793" s="61">
        <v>0</v>
      </c>
      <c r="AC793" s="61">
        <v>4.9875311720698253E-3</v>
      </c>
      <c r="AD793" s="61">
        <v>2.7431421446384038E-2</v>
      </c>
      <c r="AE793" s="61">
        <v>1.4962593516209476E-2</v>
      </c>
      <c r="AF793" s="61">
        <v>0</v>
      </c>
      <c r="AG793" s="61">
        <v>0.94264339152119703</v>
      </c>
      <c r="AH793" s="61">
        <v>9.9750623441396506E-3</v>
      </c>
      <c r="AI793" s="61">
        <v>5.7356608478802994E-2</v>
      </c>
      <c r="AJ793" s="59">
        <v>0.61299999999999999</v>
      </c>
      <c r="AK793" s="59">
        <v>2.5000000000000001E-3</v>
      </c>
      <c r="AL793" s="3">
        <v>56</v>
      </c>
      <c r="AM793" s="3">
        <v>62</v>
      </c>
      <c r="AN793" s="3">
        <v>0</v>
      </c>
      <c r="AO793" s="3">
        <v>70</v>
      </c>
      <c r="AP793" s="3">
        <v>87</v>
      </c>
      <c r="AQ793" s="3">
        <v>69</v>
      </c>
      <c r="AR793" s="3">
        <v>57</v>
      </c>
      <c r="AS793" s="59">
        <v>0</v>
      </c>
      <c r="AT793" s="3">
        <v>7</v>
      </c>
      <c r="AU793" s="3">
        <v>6</v>
      </c>
      <c r="AV793" s="49">
        <v>76.425855513308008</v>
      </c>
      <c r="AW793" s="49">
        <v>14.4486692015209</v>
      </c>
      <c r="AX793" s="49">
        <v>7.9847908745247205</v>
      </c>
      <c r="AY793" s="67">
        <v>1.14068441064639</v>
      </c>
      <c r="AZ793" s="62">
        <v>0</v>
      </c>
      <c r="BA793" s="62">
        <v>7.3563218390804597E-2</v>
      </c>
      <c r="BB793" s="77">
        <v>92.755974046526305</v>
      </c>
      <c r="BC793" s="49">
        <v>12.8440366972477</v>
      </c>
      <c r="BD793" s="87">
        <v>0</v>
      </c>
      <c r="BE793" s="87">
        <v>4.2</v>
      </c>
      <c r="BF793" s="87">
        <v>5.6</v>
      </c>
      <c r="BG793" s="87">
        <v>3.7</v>
      </c>
      <c r="BH793" s="87">
        <v>0</v>
      </c>
      <c r="BI793" s="87">
        <v>3.6</v>
      </c>
      <c r="BJ793" s="49">
        <v>20.8</v>
      </c>
      <c r="BK793" s="129">
        <v>12423</v>
      </c>
      <c r="BL793" s="129">
        <v>52379</v>
      </c>
      <c r="BM793" s="129">
        <v>53721</v>
      </c>
      <c r="BN793" s="129">
        <v>41176</v>
      </c>
      <c r="BO793" s="59">
        <v>0</v>
      </c>
      <c r="BP793" s="59">
        <v>0.42620000000000002</v>
      </c>
      <c r="BQ793" s="59">
        <v>9.6299999999999997E-2</v>
      </c>
      <c r="BR793" s="59">
        <v>0</v>
      </c>
      <c r="BS793" s="59">
        <v>0</v>
      </c>
      <c r="BT793" s="49">
        <v>17.100000000000001</v>
      </c>
      <c r="BU793" s="59">
        <f t="shared" si="60"/>
        <v>0.52249999999999996</v>
      </c>
      <c r="BV793" s="59">
        <v>3.8699999999999998E-2</v>
      </c>
      <c r="BW793" s="59">
        <v>0</v>
      </c>
      <c r="BX793" s="59">
        <v>5.5100000000000003E-2</v>
      </c>
      <c r="BY793" s="59">
        <v>0</v>
      </c>
      <c r="BZ793" s="59">
        <v>0</v>
      </c>
      <c r="CA793" s="49">
        <v>15</v>
      </c>
      <c r="CB793" s="59">
        <f t="shared" si="61"/>
        <v>9.3799999999999994E-2</v>
      </c>
      <c r="CC793" s="59">
        <v>0.34499999999999997</v>
      </c>
      <c r="CD793" s="59">
        <v>0.46489999999999998</v>
      </c>
      <c r="CE793" s="59">
        <v>0.19020000000000001</v>
      </c>
      <c r="CF793" s="59">
        <v>0</v>
      </c>
      <c r="CG793" s="59">
        <v>0</v>
      </c>
      <c r="CH793" s="49">
        <v>13.8</v>
      </c>
      <c r="CI793" s="26" t="s">
        <v>264</v>
      </c>
      <c r="CJ793" s="18" t="s">
        <v>489</v>
      </c>
      <c r="CK793" s="20"/>
    </row>
    <row r="794" spans="1:89" x14ac:dyDescent="0.25">
      <c r="A794" s="18" t="s">
        <v>489</v>
      </c>
      <c r="B794" s="19" t="s">
        <v>260</v>
      </c>
      <c r="C794" s="26" t="s">
        <v>265</v>
      </c>
      <c r="D794" s="6">
        <v>2</v>
      </c>
      <c r="E794" s="6">
        <v>0</v>
      </c>
      <c r="F794" s="6">
        <v>2</v>
      </c>
      <c r="G794" s="163">
        <v>0</v>
      </c>
      <c r="H794" s="163">
        <v>0</v>
      </c>
      <c r="I794" s="163">
        <v>0</v>
      </c>
      <c r="J794" s="163">
        <v>1</v>
      </c>
      <c r="K794" s="163">
        <v>0</v>
      </c>
      <c r="L794" s="163">
        <v>0</v>
      </c>
      <c r="M794" s="163">
        <v>1</v>
      </c>
      <c r="N794" s="115">
        <v>6.13496932515337E-3</v>
      </c>
      <c r="O794" s="115">
        <v>1.00502512562814E-2</v>
      </c>
      <c r="P794" s="115">
        <v>0</v>
      </c>
      <c r="Q794" s="115">
        <v>0</v>
      </c>
      <c r="R794" s="115">
        <v>0</v>
      </c>
      <c r="S794" s="115">
        <v>2.1276595744680899E-2</v>
      </c>
      <c r="T794" s="115">
        <v>0</v>
      </c>
      <c r="U794" s="115">
        <v>0</v>
      </c>
      <c r="V794" s="115">
        <v>2.2222222222222199E-2</v>
      </c>
      <c r="W794" s="6">
        <v>701</v>
      </c>
      <c r="X794" s="40">
        <f t="shared" si="58"/>
        <v>184</v>
      </c>
      <c r="Y794" s="40">
        <f t="shared" si="59"/>
        <v>297</v>
      </c>
      <c r="Z794" s="59">
        <v>0.49220000000000003</v>
      </c>
      <c r="AA794" s="59">
        <v>0.50780000000000003</v>
      </c>
      <c r="AB794" s="61">
        <v>0</v>
      </c>
      <c r="AC794" s="61">
        <v>0</v>
      </c>
      <c r="AD794" s="61">
        <v>7.1326676176890159E-3</v>
      </c>
      <c r="AE794" s="61">
        <v>6.7047075606276749E-2</v>
      </c>
      <c r="AF794" s="61">
        <v>0</v>
      </c>
      <c r="AG794" s="61">
        <v>0.91726105563480742</v>
      </c>
      <c r="AH794" s="61">
        <v>8.5592011412268191E-3</v>
      </c>
      <c r="AI794" s="61">
        <v>8.2738944365192579E-2</v>
      </c>
      <c r="AJ794" s="59">
        <v>0.79300000000000004</v>
      </c>
      <c r="AK794" s="59">
        <v>2.5700000000000001E-2</v>
      </c>
      <c r="AL794" s="3">
        <v>50</v>
      </c>
      <c r="AM794" s="3">
        <v>63</v>
      </c>
      <c r="AN794" s="3">
        <v>8</v>
      </c>
      <c r="AO794" s="3">
        <v>44</v>
      </c>
      <c r="AP794" s="3">
        <v>48</v>
      </c>
      <c r="AQ794" s="3">
        <v>43</v>
      </c>
      <c r="AR794" s="3">
        <v>41</v>
      </c>
      <c r="AS794" s="59">
        <v>0.15384615384615385</v>
      </c>
      <c r="AT794" s="3">
        <v>1</v>
      </c>
      <c r="AU794" s="3">
        <v>6</v>
      </c>
      <c r="AV794" s="49">
        <v>71.25</v>
      </c>
      <c r="AW794" s="49">
        <v>22.5</v>
      </c>
      <c r="AX794" s="49">
        <v>5.625</v>
      </c>
      <c r="AY794" s="67">
        <v>0.625</v>
      </c>
      <c r="AZ794" s="62">
        <v>0</v>
      </c>
      <c r="BA794" s="62">
        <v>7.8680203045685279E-2</v>
      </c>
      <c r="BB794" s="78">
        <v>93.561619324535897</v>
      </c>
      <c r="BC794" s="49">
        <v>32.2368421052632</v>
      </c>
      <c r="BD794" s="87">
        <v>0</v>
      </c>
      <c r="BE794" s="87">
        <v>9.1</v>
      </c>
      <c r="BF794" s="87">
        <v>0</v>
      </c>
      <c r="BG794" s="87">
        <v>2.4</v>
      </c>
      <c r="BH794" s="87">
        <v>2.4</v>
      </c>
      <c r="BI794" s="87">
        <v>2.4</v>
      </c>
      <c r="BJ794" s="49">
        <v>22.2</v>
      </c>
      <c r="BK794" s="129">
        <v>12200</v>
      </c>
      <c r="BL794" s="129">
        <v>50459</v>
      </c>
      <c r="BM794" s="129">
        <v>45775</v>
      </c>
      <c r="BN794" s="129">
        <v>37031</v>
      </c>
      <c r="BO794" s="59">
        <v>0</v>
      </c>
      <c r="BP794" s="59">
        <v>0.34160000000000001</v>
      </c>
      <c r="BQ794" s="59">
        <v>0.1358</v>
      </c>
      <c r="BR794" s="59">
        <v>0</v>
      </c>
      <c r="BS794" s="59">
        <v>1.9099999999999999E-2</v>
      </c>
      <c r="BT794" s="49">
        <v>13.3</v>
      </c>
      <c r="BU794" s="59">
        <f t="shared" si="60"/>
        <v>0.49650000000000005</v>
      </c>
      <c r="BV794" s="59">
        <v>2.0899999999999998E-2</v>
      </c>
      <c r="BW794" s="59">
        <v>1.04E-2</v>
      </c>
      <c r="BX794" s="59">
        <v>3.0800000000000001E-2</v>
      </c>
      <c r="BY794" s="59">
        <v>0</v>
      </c>
      <c r="BZ794" s="59">
        <v>0</v>
      </c>
      <c r="CA794" s="49">
        <v>15.5</v>
      </c>
      <c r="CB794" s="59">
        <f t="shared" si="61"/>
        <v>6.2099999999999995E-2</v>
      </c>
      <c r="CC794" s="59">
        <v>0.41049999999999998</v>
      </c>
      <c r="CD794" s="59">
        <v>0.38290000000000002</v>
      </c>
      <c r="CE794" s="59">
        <v>0.1875</v>
      </c>
      <c r="CF794" s="59">
        <v>0</v>
      </c>
      <c r="CG794" s="59">
        <v>1.9099999999999999E-2</v>
      </c>
      <c r="CH794" s="49">
        <v>12</v>
      </c>
      <c r="CI794" s="26" t="s">
        <v>265</v>
      </c>
      <c r="CJ794" s="18" t="s">
        <v>489</v>
      </c>
      <c r="CK794" s="20"/>
    </row>
    <row r="795" spans="1:89" x14ac:dyDescent="0.25">
      <c r="A795" s="18" t="s">
        <v>489</v>
      </c>
      <c r="B795" s="19" t="s">
        <v>260</v>
      </c>
      <c r="C795" s="26" t="s">
        <v>266</v>
      </c>
      <c r="D795" s="6">
        <v>11</v>
      </c>
      <c r="E795" s="40" t="s">
        <v>83</v>
      </c>
      <c r="F795" s="6">
        <v>11</v>
      </c>
      <c r="G795" s="162" t="s">
        <v>83</v>
      </c>
      <c r="H795" s="162" t="s">
        <v>83</v>
      </c>
      <c r="I795" s="163">
        <v>0</v>
      </c>
      <c r="J795" s="163">
        <v>1</v>
      </c>
      <c r="K795" s="163">
        <v>6</v>
      </c>
      <c r="L795" s="163">
        <v>0</v>
      </c>
      <c r="M795" s="163">
        <v>4</v>
      </c>
      <c r="N795" s="115">
        <v>7.9250720461095103E-3</v>
      </c>
      <c r="O795" s="115">
        <v>7.9250720461095103E-3</v>
      </c>
      <c r="P795" s="116" t="s">
        <v>83</v>
      </c>
      <c r="Q795" s="116" t="s">
        <v>83</v>
      </c>
      <c r="R795" s="115">
        <v>0</v>
      </c>
      <c r="S795" s="115">
        <v>3.0487804878048799E-3</v>
      </c>
      <c r="T795" s="115">
        <v>1.6129032258064498E-2</v>
      </c>
      <c r="U795" s="115">
        <v>0</v>
      </c>
      <c r="V795" s="115">
        <v>1.21212121212121E-2</v>
      </c>
      <c r="W795" s="6">
        <v>1321</v>
      </c>
      <c r="X795" s="40">
        <f t="shared" si="58"/>
        <v>1321</v>
      </c>
      <c r="Y795" s="40">
        <f t="shared" si="59"/>
        <v>1321</v>
      </c>
      <c r="Z795" s="59">
        <v>0.50490000000000002</v>
      </c>
      <c r="AA795" s="59">
        <v>0.49509999999999998</v>
      </c>
      <c r="AB795" s="61">
        <v>7.5700227100681302E-4</v>
      </c>
      <c r="AC795" s="61">
        <v>3.7850113550340651E-3</v>
      </c>
      <c r="AD795" s="61">
        <v>3.936411809235428E-2</v>
      </c>
      <c r="AE795" s="61">
        <v>2.5738077214231644E-2</v>
      </c>
      <c r="AF795" s="61">
        <v>0</v>
      </c>
      <c r="AG795" s="61">
        <v>0.92959878879636637</v>
      </c>
      <c r="AH795" s="61">
        <v>7.5700227100681302E-4</v>
      </c>
      <c r="AI795" s="61">
        <v>7.0401211203633615E-2</v>
      </c>
      <c r="AJ795" s="59">
        <v>0.46</v>
      </c>
      <c r="AK795" s="59">
        <v>1.5E-3</v>
      </c>
      <c r="AL795" s="3">
        <v>0</v>
      </c>
      <c r="AM795" s="3">
        <v>0</v>
      </c>
      <c r="AN795" s="3">
        <v>5</v>
      </c>
      <c r="AO795" s="3">
        <v>317</v>
      </c>
      <c r="AP795" s="3">
        <v>355</v>
      </c>
      <c r="AQ795" s="3">
        <v>333</v>
      </c>
      <c r="AR795" s="3">
        <v>311</v>
      </c>
      <c r="AS795" s="59">
        <v>1.5527950310559006E-2</v>
      </c>
      <c r="AT795" s="3">
        <v>9</v>
      </c>
      <c r="AU795" s="3">
        <v>6</v>
      </c>
      <c r="AV795" s="49">
        <v>55.5989583333333</v>
      </c>
      <c r="AW795" s="49">
        <v>21.875</v>
      </c>
      <c r="AX795" s="49">
        <v>22.0052083333333</v>
      </c>
      <c r="AY795" s="67">
        <v>0.52083333333333293</v>
      </c>
      <c r="AZ795" s="62">
        <v>0</v>
      </c>
      <c r="BA795" s="62">
        <v>7.230657989877079E-2</v>
      </c>
      <c r="BB795" s="77">
        <v>94.015061814800106</v>
      </c>
      <c r="BC795" s="49">
        <v>26.801152737752201</v>
      </c>
      <c r="BD795" s="90" t="s">
        <v>83</v>
      </c>
      <c r="BE795" s="90" t="s">
        <v>83</v>
      </c>
      <c r="BF795" s="87">
        <v>0</v>
      </c>
      <c r="BG795" s="87">
        <v>0.3</v>
      </c>
      <c r="BH795" s="87">
        <v>0</v>
      </c>
      <c r="BI795" s="87">
        <v>0</v>
      </c>
      <c r="BJ795" s="49">
        <v>21.2</v>
      </c>
      <c r="BK795" s="129">
        <v>10187</v>
      </c>
      <c r="BL795" s="129">
        <v>49318</v>
      </c>
      <c r="BM795" s="129">
        <v>38669</v>
      </c>
      <c r="BN795" s="129">
        <v>35199</v>
      </c>
      <c r="BO795" s="59">
        <v>6.7999999999999996E-3</v>
      </c>
      <c r="BP795" s="59">
        <v>0.34889999999999999</v>
      </c>
      <c r="BQ795" s="59">
        <v>0.1069</v>
      </c>
      <c r="BR795" s="59">
        <v>6.7999999999999996E-3</v>
      </c>
      <c r="BS795" s="59">
        <v>6.7999999999999996E-3</v>
      </c>
      <c r="BT795" s="49">
        <v>11.8</v>
      </c>
      <c r="BU795" s="59">
        <f t="shared" si="60"/>
        <v>0.4761999999999999</v>
      </c>
      <c r="BV795" s="59">
        <v>4.7399999999999998E-2</v>
      </c>
      <c r="BW795" s="59">
        <v>0</v>
      </c>
      <c r="BX795" s="59">
        <v>2.18E-2</v>
      </c>
      <c r="BY795" s="59">
        <v>0</v>
      </c>
      <c r="BZ795" s="59">
        <v>0</v>
      </c>
      <c r="CA795" s="49">
        <v>10.3</v>
      </c>
      <c r="CB795" s="59">
        <f t="shared" si="61"/>
        <v>6.9199999999999998E-2</v>
      </c>
      <c r="CC795" s="59">
        <v>0.46160000000000001</v>
      </c>
      <c r="CD795" s="59">
        <v>0.36919999999999997</v>
      </c>
      <c r="CE795" s="59">
        <v>0.15570000000000001</v>
      </c>
      <c r="CF795" s="59">
        <v>6.7999999999999996E-3</v>
      </c>
      <c r="CG795" s="59">
        <v>6.7999999999999996E-3</v>
      </c>
      <c r="CH795" s="49">
        <v>10.3</v>
      </c>
      <c r="CI795" s="26" t="s">
        <v>266</v>
      </c>
      <c r="CJ795" s="18" t="s">
        <v>489</v>
      </c>
      <c r="CK795" s="20"/>
    </row>
    <row r="796" spans="1:89" x14ac:dyDescent="0.25">
      <c r="A796" s="18" t="s">
        <v>489</v>
      </c>
      <c r="B796" s="19" t="s">
        <v>260</v>
      </c>
      <c r="C796" s="26" t="s">
        <v>267</v>
      </c>
      <c r="D796" s="6">
        <v>0</v>
      </c>
      <c r="E796" s="6">
        <v>0</v>
      </c>
      <c r="F796" s="6">
        <v>0</v>
      </c>
      <c r="G796" s="163">
        <v>0</v>
      </c>
      <c r="H796" s="163">
        <v>0</v>
      </c>
      <c r="I796" s="163">
        <v>0</v>
      </c>
      <c r="J796" s="163">
        <v>0</v>
      </c>
      <c r="K796" s="163">
        <v>0</v>
      </c>
      <c r="L796" s="163">
        <v>0</v>
      </c>
      <c r="M796" s="163">
        <v>0</v>
      </c>
      <c r="N796" s="115">
        <v>0</v>
      </c>
      <c r="O796" s="115">
        <v>0</v>
      </c>
      <c r="P796" s="115">
        <v>0</v>
      </c>
      <c r="Q796" s="115">
        <v>0</v>
      </c>
      <c r="R796" s="115">
        <v>0</v>
      </c>
      <c r="S796" s="115">
        <v>0</v>
      </c>
      <c r="T796" s="115">
        <v>0</v>
      </c>
      <c r="U796" s="115">
        <v>0</v>
      </c>
      <c r="V796" s="115">
        <v>0</v>
      </c>
      <c r="W796" s="6">
        <v>425</v>
      </c>
      <c r="X796" s="40">
        <f t="shared" si="58"/>
        <v>108</v>
      </c>
      <c r="Y796" s="40">
        <f t="shared" si="59"/>
        <v>176</v>
      </c>
      <c r="Z796" s="59">
        <v>0.50349999999999995</v>
      </c>
      <c r="AA796" s="59">
        <v>0.4965</v>
      </c>
      <c r="AB796" s="61">
        <v>0</v>
      </c>
      <c r="AC796" s="61">
        <v>0</v>
      </c>
      <c r="AD796" s="61">
        <v>9.4117647058823521E-3</v>
      </c>
      <c r="AE796" s="61">
        <v>2.1176470588235293E-2</v>
      </c>
      <c r="AF796" s="61">
        <v>0</v>
      </c>
      <c r="AG796" s="61">
        <v>0.96705882352941175</v>
      </c>
      <c r="AH796" s="61">
        <v>2.352941176470588E-3</v>
      </c>
      <c r="AI796" s="61">
        <v>3.2941176470588238E-2</v>
      </c>
      <c r="AJ796" s="59">
        <v>0.66600000000000004</v>
      </c>
      <c r="AK796" s="59">
        <v>9.4000000000000004E-3</v>
      </c>
      <c r="AL796" s="3">
        <v>36</v>
      </c>
      <c r="AM796" s="3">
        <v>32</v>
      </c>
      <c r="AN796" s="3">
        <v>2</v>
      </c>
      <c r="AO796" s="3">
        <v>32</v>
      </c>
      <c r="AP796" s="3">
        <v>34</v>
      </c>
      <c r="AQ796" s="3">
        <v>21</v>
      </c>
      <c r="AR796" s="3">
        <v>19</v>
      </c>
      <c r="AS796" s="59">
        <v>5.8823529411764705E-2</v>
      </c>
      <c r="AT796" s="3">
        <v>1</v>
      </c>
      <c r="AU796" s="3">
        <v>6</v>
      </c>
      <c r="AV796" s="49">
        <v>85.520361990950207</v>
      </c>
      <c r="AW796" s="49">
        <v>8.144796380090499</v>
      </c>
      <c r="AX796" s="49">
        <v>3.1674208144796401</v>
      </c>
      <c r="AY796" s="67">
        <v>3.1674208144796401</v>
      </c>
      <c r="AZ796" s="62">
        <v>0</v>
      </c>
      <c r="BA796" s="62">
        <v>0.11349036402569593</v>
      </c>
      <c r="BB796" s="78">
        <v>93.988539546105699</v>
      </c>
      <c r="BC796" s="49">
        <v>17.8571428571429</v>
      </c>
      <c r="BD796" s="87">
        <v>9.1</v>
      </c>
      <c r="BE796" s="87">
        <v>6.7</v>
      </c>
      <c r="BF796" s="87">
        <v>0</v>
      </c>
      <c r="BG796" s="87">
        <v>0</v>
      </c>
      <c r="BH796" s="87">
        <v>0</v>
      </c>
      <c r="BI796" s="87">
        <v>0</v>
      </c>
      <c r="BJ796" s="49">
        <v>19.5</v>
      </c>
      <c r="BK796" s="129">
        <v>13842</v>
      </c>
      <c r="BL796" s="129">
        <v>50076</v>
      </c>
      <c r="BM796" s="129">
        <v>53112</v>
      </c>
      <c r="BN796" s="129">
        <v>39398</v>
      </c>
      <c r="BO796" s="59">
        <v>0</v>
      </c>
      <c r="BP796" s="59">
        <v>0.3987</v>
      </c>
      <c r="BQ796" s="59">
        <v>0.1457</v>
      </c>
      <c r="BR796" s="59">
        <v>0</v>
      </c>
      <c r="BS796" s="59">
        <v>0</v>
      </c>
      <c r="BT796" s="49">
        <v>14.5</v>
      </c>
      <c r="BU796" s="59">
        <f t="shared" si="60"/>
        <v>0.5444</v>
      </c>
      <c r="BV796" s="59">
        <v>3.0700000000000002E-2</v>
      </c>
      <c r="BW796" s="59">
        <v>1.5299999999999999E-2</v>
      </c>
      <c r="BX796" s="59">
        <v>1.5299999999999999E-2</v>
      </c>
      <c r="BY796" s="59">
        <v>1.5299999999999999E-2</v>
      </c>
      <c r="BZ796" s="59">
        <v>0</v>
      </c>
      <c r="CA796" s="49">
        <v>25.8</v>
      </c>
      <c r="CB796" s="59">
        <f t="shared" si="61"/>
        <v>7.6600000000000001E-2</v>
      </c>
      <c r="CC796" s="59">
        <v>0.3483</v>
      </c>
      <c r="CD796" s="59">
        <v>0.44469999999999998</v>
      </c>
      <c r="CE796" s="59">
        <v>0.19170000000000001</v>
      </c>
      <c r="CF796" s="59">
        <v>1.5299999999999999E-2</v>
      </c>
      <c r="CG796" s="59">
        <v>0</v>
      </c>
      <c r="CH796" s="49">
        <v>14.4</v>
      </c>
      <c r="CI796" s="26" t="s">
        <v>267</v>
      </c>
      <c r="CJ796" s="18" t="s">
        <v>489</v>
      </c>
      <c r="CK796" s="20"/>
    </row>
    <row r="797" spans="1:89" x14ac:dyDescent="0.25">
      <c r="A797" s="18" t="s">
        <v>489</v>
      </c>
      <c r="B797" s="19" t="s">
        <v>260</v>
      </c>
      <c r="C797" s="26" t="s">
        <v>268</v>
      </c>
      <c r="D797" s="6">
        <v>3</v>
      </c>
      <c r="E797" s="40" t="s">
        <v>83</v>
      </c>
      <c r="F797" s="6">
        <v>3</v>
      </c>
      <c r="G797" s="162" t="s">
        <v>83</v>
      </c>
      <c r="H797" s="162" t="s">
        <v>83</v>
      </c>
      <c r="I797" s="163">
        <v>0</v>
      </c>
      <c r="J797" s="163">
        <v>0</v>
      </c>
      <c r="K797" s="163">
        <v>0</v>
      </c>
      <c r="L797" s="163">
        <v>0</v>
      </c>
      <c r="M797" s="163">
        <v>3</v>
      </c>
      <c r="N797" s="115">
        <v>7.1942446043165497E-3</v>
      </c>
      <c r="O797" s="115">
        <v>7.1942446043165497E-3</v>
      </c>
      <c r="P797" s="116" t="s">
        <v>83</v>
      </c>
      <c r="Q797" s="116" t="s">
        <v>83</v>
      </c>
      <c r="R797" s="115">
        <v>0</v>
      </c>
      <c r="S797" s="115">
        <v>0</v>
      </c>
      <c r="T797" s="115">
        <v>0</v>
      </c>
      <c r="U797" s="115">
        <v>0</v>
      </c>
      <c r="V797" s="115">
        <v>2.83018867924528E-2</v>
      </c>
      <c r="W797" s="6">
        <v>387</v>
      </c>
      <c r="X797" s="40">
        <f t="shared" si="58"/>
        <v>387</v>
      </c>
      <c r="Y797" s="40">
        <f t="shared" si="59"/>
        <v>387</v>
      </c>
      <c r="Z797" s="59">
        <v>0.44700000000000001</v>
      </c>
      <c r="AA797" s="59">
        <v>0.55300000000000005</v>
      </c>
      <c r="AB797" s="61">
        <v>0</v>
      </c>
      <c r="AC797" s="61">
        <v>2.5839793281653748E-3</v>
      </c>
      <c r="AD797" s="61">
        <v>0.13953488372093023</v>
      </c>
      <c r="AE797" s="61">
        <v>2.5839793281653745E-2</v>
      </c>
      <c r="AF797" s="61">
        <v>0</v>
      </c>
      <c r="AG797" s="61">
        <v>0.82687338501291985</v>
      </c>
      <c r="AH797" s="61">
        <v>5.1679586563307496E-3</v>
      </c>
      <c r="AI797" s="61">
        <v>0.1731266149870801</v>
      </c>
      <c r="AJ797" s="59">
        <v>0.71299999999999997</v>
      </c>
      <c r="AK797" s="59">
        <v>2.5999999999999999E-3</v>
      </c>
      <c r="AL797" s="3">
        <v>0</v>
      </c>
      <c r="AM797" s="3">
        <v>0</v>
      </c>
      <c r="AN797" s="3">
        <v>9</v>
      </c>
      <c r="AO797" s="3">
        <v>86</v>
      </c>
      <c r="AP797" s="3">
        <v>105</v>
      </c>
      <c r="AQ797" s="3">
        <v>89</v>
      </c>
      <c r="AR797" s="3">
        <v>98</v>
      </c>
      <c r="AS797" s="59">
        <v>9.4736842105263161E-2</v>
      </c>
      <c r="AT797" s="3">
        <v>9</v>
      </c>
      <c r="AU797" s="3">
        <v>6</v>
      </c>
      <c r="AV797" s="49">
        <v>68.932038834951499</v>
      </c>
      <c r="AW797" s="49">
        <v>20.873786407767</v>
      </c>
      <c r="AX797" s="49">
        <v>9.7087378640776691</v>
      </c>
      <c r="AY797" s="67">
        <v>0.485436893203883</v>
      </c>
      <c r="AZ797" s="62">
        <v>0</v>
      </c>
      <c r="BA797" s="62">
        <v>0.11566265060240964</v>
      </c>
      <c r="BB797" s="77">
        <v>91.671750061825094</v>
      </c>
      <c r="BC797" s="49">
        <v>48.687350835322199</v>
      </c>
      <c r="BD797" s="90" t="s">
        <v>83</v>
      </c>
      <c r="BE797" s="90" t="s">
        <v>83</v>
      </c>
      <c r="BF797" s="87">
        <v>2.2999999999999998</v>
      </c>
      <c r="BG797" s="87">
        <v>9.3000000000000007</v>
      </c>
      <c r="BH797" s="87">
        <v>1.2</v>
      </c>
      <c r="BI797" s="87">
        <v>1.1000000000000001</v>
      </c>
      <c r="BJ797" s="49">
        <v>20.5</v>
      </c>
      <c r="BK797" s="129">
        <v>12728</v>
      </c>
      <c r="BL797" s="129">
        <v>49542</v>
      </c>
      <c r="BM797" s="129">
        <v>47313</v>
      </c>
      <c r="BN797" s="129">
        <v>35881</v>
      </c>
      <c r="BO797" s="59">
        <v>0</v>
      </c>
      <c r="BP797" s="59">
        <v>0.2631</v>
      </c>
      <c r="BQ797" s="59">
        <v>0.18490000000000001</v>
      </c>
      <c r="BR797" s="59">
        <v>0</v>
      </c>
      <c r="BS797" s="59">
        <v>0</v>
      </c>
      <c r="BT797" s="49">
        <v>11.1</v>
      </c>
      <c r="BU797" s="59">
        <f t="shared" si="60"/>
        <v>0.44800000000000001</v>
      </c>
      <c r="BV797" s="59">
        <v>3.6999999999999998E-2</v>
      </c>
      <c r="BW797" s="59">
        <v>0</v>
      </c>
      <c r="BX797" s="59">
        <v>3.7199999999999997E-2</v>
      </c>
      <c r="BY797" s="59">
        <v>0</v>
      </c>
      <c r="BZ797" s="59">
        <v>0</v>
      </c>
      <c r="CA797" s="49">
        <v>14.4</v>
      </c>
      <c r="CB797" s="59">
        <f t="shared" si="61"/>
        <v>7.4199999999999988E-2</v>
      </c>
      <c r="CC797" s="59">
        <v>0.46160000000000001</v>
      </c>
      <c r="CD797" s="59">
        <v>0.29859999999999998</v>
      </c>
      <c r="CE797" s="59">
        <v>0.23980000000000001</v>
      </c>
      <c r="CF797" s="59">
        <v>0</v>
      </c>
      <c r="CG797" s="59">
        <v>0</v>
      </c>
      <c r="CH797" s="49">
        <v>10.8</v>
      </c>
      <c r="CI797" s="26" t="s">
        <v>268</v>
      </c>
      <c r="CJ797" s="18" t="s">
        <v>489</v>
      </c>
      <c r="CK797" s="20"/>
    </row>
    <row r="798" spans="1:89" x14ac:dyDescent="0.25">
      <c r="A798" s="18" t="s">
        <v>489</v>
      </c>
      <c r="B798" s="19" t="s">
        <v>260</v>
      </c>
      <c r="C798" s="26" t="s">
        <v>269</v>
      </c>
      <c r="D798" s="6">
        <v>49</v>
      </c>
      <c r="E798" s="40" t="s">
        <v>83</v>
      </c>
      <c r="F798" s="6">
        <v>49</v>
      </c>
      <c r="G798" s="162" t="s">
        <v>83</v>
      </c>
      <c r="H798" s="162" t="s">
        <v>83</v>
      </c>
      <c r="I798" s="163">
        <v>0</v>
      </c>
      <c r="J798" s="163">
        <v>12</v>
      </c>
      <c r="K798" s="163">
        <v>15</v>
      </c>
      <c r="L798" s="163">
        <v>6</v>
      </c>
      <c r="M798" s="163">
        <v>16</v>
      </c>
      <c r="N798" s="101">
        <f>49/1812</f>
        <v>2.7041942604856511E-2</v>
      </c>
      <c r="O798" s="101">
        <f>49/1812</f>
        <v>2.7041942604856511E-2</v>
      </c>
      <c r="P798" s="116" t="s">
        <v>83</v>
      </c>
      <c r="Q798" s="116" t="s">
        <v>83</v>
      </c>
      <c r="R798" s="115">
        <v>0</v>
      </c>
      <c r="S798" s="115">
        <v>2.5751072961373401E-2</v>
      </c>
      <c r="T798" s="115">
        <v>3.1446540880503103E-2</v>
      </c>
      <c r="U798" s="115">
        <v>1.3215859030837E-2</v>
      </c>
      <c r="V798" s="115">
        <v>4.0302267002518898E-2</v>
      </c>
      <c r="W798" s="6">
        <v>1676</v>
      </c>
      <c r="X798" s="40">
        <f t="shared" si="58"/>
        <v>1676</v>
      </c>
      <c r="Y798" s="40">
        <f t="shared" si="59"/>
        <v>1676</v>
      </c>
      <c r="Z798" s="59">
        <v>0.47076372315035797</v>
      </c>
      <c r="AA798" s="59">
        <v>0.52923627684964203</v>
      </c>
      <c r="AB798" s="61">
        <v>0</v>
      </c>
      <c r="AC798" s="61">
        <v>1.1933174224343675E-2</v>
      </c>
      <c r="AD798" s="61">
        <v>9.9642004773269691E-2</v>
      </c>
      <c r="AE798" s="61">
        <v>2.5656324582338901E-2</v>
      </c>
      <c r="AF798" s="61">
        <v>5.966587112171838E-4</v>
      </c>
      <c r="AG798" s="61">
        <v>0.85859188544152742</v>
      </c>
      <c r="AH798" s="61">
        <v>3.5799522673031028E-3</v>
      </c>
      <c r="AI798" s="61">
        <v>0.14140811455847255</v>
      </c>
      <c r="AJ798" s="59">
        <v>0.62708830548926009</v>
      </c>
      <c r="AK798" s="59">
        <v>4.7732696897374704E-3</v>
      </c>
      <c r="AL798" s="3">
        <v>0</v>
      </c>
      <c r="AM798" s="3">
        <v>0</v>
      </c>
      <c r="AN798" s="3">
        <v>18</v>
      </c>
      <c r="AO798" s="3">
        <v>430</v>
      </c>
      <c r="AP798" s="3">
        <v>432</v>
      </c>
      <c r="AQ798" s="3">
        <v>425</v>
      </c>
      <c r="AR798" s="3">
        <v>371</v>
      </c>
      <c r="AS798" s="59">
        <v>4.0178571428571432E-2</v>
      </c>
      <c r="AT798" s="3">
        <v>9</v>
      </c>
      <c r="AU798" s="3">
        <v>6</v>
      </c>
      <c r="AV798" s="57">
        <v>42.232277526395173</v>
      </c>
      <c r="AW798" s="57">
        <v>20.512820512820511</v>
      </c>
      <c r="AX798" s="57">
        <v>35.294117647058826</v>
      </c>
      <c r="AY798" s="73">
        <v>1.9607843137254901</v>
      </c>
      <c r="AZ798" s="62">
        <v>0</v>
      </c>
      <c r="BA798" s="61">
        <v>0.16766109785202865</v>
      </c>
      <c r="BB798" s="78">
        <v>92.815781988740994</v>
      </c>
      <c r="BC798" s="78">
        <v>24.559741800527675</v>
      </c>
      <c r="BD798" s="90" t="s">
        <v>83</v>
      </c>
      <c r="BE798" s="90" t="s">
        <v>83</v>
      </c>
      <c r="BF798" s="87">
        <v>8.1999999999999993</v>
      </c>
      <c r="BG798" s="87">
        <v>2.2000000000000002</v>
      </c>
      <c r="BH798" s="87">
        <v>1</v>
      </c>
      <c r="BI798" s="87">
        <v>4.3</v>
      </c>
      <c r="BJ798" s="49">
        <v>19.399999999999999</v>
      </c>
      <c r="BK798" s="129">
        <v>9453</v>
      </c>
      <c r="BL798" s="129">
        <v>49566</v>
      </c>
      <c r="BM798" s="129">
        <v>45364</v>
      </c>
      <c r="BN798" s="129">
        <v>39151</v>
      </c>
      <c r="BO798" s="59">
        <v>9.2999999999999992E-3</v>
      </c>
      <c r="BP798" s="59">
        <v>0.36220000000000002</v>
      </c>
      <c r="BQ798" s="59">
        <v>0.2019</v>
      </c>
      <c r="BR798" s="59">
        <v>0</v>
      </c>
      <c r="BS798" s="59">
        <v>9.2999999999999992E-3</v>
      </c>
      <c r="BT798" s="49">
        <v>11.6</v>
      </c>
      <c r="BU798" s="59">
        <f t="shared" si="60"/>
        <v>0.5827</v>
      </c>
      <c r="BV798" s="59">
        <v>3.7400000000000003E-2</v>
      </c>
      <c r="BW798" s="59">
        <v>9.2999999999999992E-3</v>
      </c>
      <c r="BX798" s="59">
        <v>1.8700000000000001E-2</v>
      </c>
      <c r="BY798" s="59">
        <v>0</v>
      </c>
      <c r="BZ798" s="59">
        <v>0</v>
      </c>
      <c r="CA798" s="49">
        <v>14.7</v>
      </c>
      <c r="CB798" s="59">
        <f t="shared" si="61"/>
        <v>6.5400000000000014E-2</v>
      </c>
      <c r="CC798" s="59">
        <v>0.36109999999999998</v>
      </c>
      <c r="CD798" s="59">
        <v>0.38090000000000002</v>
      </c>
      <c r="CE798" s="59">
        <v>0.24859999999999999</v>
      </c>
      <c r="CF798" s="59">
        <v>0</v>
      </c>
      <c r="CG798" s="59">
        <v>9.2999999999999992E-3</v>
      </c>
      <c r="CH798" s="49">
        <v>10.7</v>
      </c>
      <c r="CI798" s="26" t="s">
        <v>269</v>
      </c>
      <c r="CJ798" s="18" t="s">
        <v>489</v>
      </c>
      <c r="CK798" s="20"/>
    </row>
    <row r="799" spans="1:89" x14ac:dyDescent="0.25">
      <c r="A799" s="18" t="s">
        <v>489</v>
      </c>
      <c r="B799" s="19" t="s">
        <v>270</v>
      </c>
      <c r="C799" s="26" t="s">
        <v>271</v>
      </c>
      <c r="D799" s="6">
        <v>38</v>
      </c>
      <c r="E799" s="40" t="s">
        <v>83</v>
      </c>
      <c r="F799" s="6">
        <v>38</v>
      </c>
      <c r="G799" s="162" t="s">
        <v>83</v>
      </c>
      <c r="H799" s="162" t="s">
        <v>83</v>
      </c>
      <c r="I799" s="166">
        <v>1</v>
      </c>
      <c r="J799" s="166">
        <v>10</v>
      </c>
      <c r="K799" s="166">
        <v>8</v>
      </c>
      <c r="L799" s="166">
        <v>10</v>
      </c>
      <c r="M799" s="166">
        <v>9</v>
      </c>
      <c r="N799" s="119">
        <v>7.5999999999999998E-2</v>
      </c>
      <c r="O799" s="119">
        <v>7.5999999999999998E-2</v>
      </c>
      <c r="P799" s="116" t="s">
        <v>83</v>
      </c>
      <c r="Q799" s="116" t="s">
        <v>83</v>
      </c>
      <c r="R799" s="119">
        <v>0.25</v>
      </c>
      <c r="S799" s="119">
        <v>8.1967213114754106E-2</v>
      </c>
      <c r="T799" s="119">
        <v>5.5944055944055902E-2</v>
      </c>
      <c r="U799" s="119">
        <v>7.8740157480315001E-2</v>
      </c>
      <c r="V799" s="119">
        <v>8.6538461538461495E-2</v>
      </c>
      <c r="W799" s="6">
        <v>429</v>
      </c>
      <c r="X799" s="40">
        <f t="shared" si="58"/>
        <v>429</v>
      </c>
      <c r="Y799" s="40">
        <f t="shared" si="59"/>
        <v>429</v>
      </c>
      <c r="Z799" s="59">
        <v>0.50819999999999999</v>
      </c>
      <c r="AA799" s="59">
        <v>0.49180000000000001</v>
      </c>
      <c r="AB799" s="61">
        <v>0</v>
      </c>
      <c r="AC799" s="61">
        <v>6.993006993006993E-3</v>
      </c>
      <c r="AD799" s="61">
        <v>0.94871794871794868</v>
      </c>
      <c r="AE799" s="61">
        <v>4.662004662004662E-3</v>
      </c>
      <c r="AF799" s="61">
        <v>0</v>
      </c>
      <c r="AG799" s="61">
        <v>3.4965034965034968E-2</v>
      </c>
      <c r="AH799" s="61">
        <v>4.662004662004662E-3</v>
      </c>
      <c r="AI799" s="61">
        <v>0.965034965034965</v>
      </c>
      <c r="AJ799" s="59">
        <v>0.9</v>
      </c>
      <c r="AK799" s="59">
        <v>0</v>
      </c>
      <c r="AL799" s="3">
        <v>0</v>
      </c>
      <c r="AM799" s="3">
        <v>0</v>
      </c>
      <c r="AN799" s="3">
        <v>26</v>
      </c>
      <c r="AO799" s="3">
        <v>78</v>
      </c>
      <c r="AP799" s="3">
        <v>122</v>
      </c>
      <c r="AQ799" s="3">
        <v>114</v>
      </c>
      <c r="AR799" s="3">
        <v>89</v>
      </c>
      <c r="AS799" s="59">
        <v>0.25</v>
      </c>
      <c r="AT799" s="3">
        <v>9</v>
      </c>
      <c r="AU799" s="3">
        <v>6</v>
      </c>
      <c r="AV799" s="49">
        <v>65.671641791044806</v>
      </c>
      <c r="AW799" s="49">
        <v>18.905472636815901</v>
      </c>
      <c r="AX799" s="49">
        <v>12.437810945273601</v>
      </c>
      <c r="AY799" s="67">
        <v>2.98507462686567</v>
      </c>
      <c r="AZ799" s="62">
        <v>0.34232365145228216</v>
      </c>
      <c r="BA799" s="62">
        <v>0.18672199170124482</v>
      </c>
      <c r="BB799" s="78">
        <v>87.941762659189905</v>
      </c>
      <c r="BC799" s="49">
        <v>59.006211180124197</v>
      </c>
      <c r="BD799" s="90" t="s">
        <v>83</v>
      </c>
      <c r="BE799" s="90" t="s">
        <v>83</v>
      </c>
      <c r="BF799" s="87">
        <v>5.9</v>
      </c>
      <c r="BG799" s="87">
        <v>14.2</v>
      </c>
      <c r="BH799" s="87">
        <v>3.1</v>
      </c>
      <c r="BI799" s="87">
        <v>3.8</v>
      </c>
      <c r="BJ799" s="49">
        <v>16.8</v>
      </c>
      <c r="BK799" s="129">
        <v>12103</v>
      </c>
      <c r="BL799" s="129">
        <v>47310</v>
      </c>
      <c r="BM799" s="129">
        <v>36079</v>
      </c>
      <c r="BN799" s="129">
        <v>36155</v>
      </c>
      <c r="BO799" s="59">
        <v>0</v>
      </c>
      <c r="BP799" s="59">
        <v>0.24129999999999999</v>
      </c>
      <c r="BQ799" s="59">
        <v>0.25740000000000002</v>
      </c>
      <c r="BR799" s="59">
        <v>0</v>
      </c>
      <c r="BS799" s="59">
        <v>4.3900000000000002E-2</v>
      </c>
      <c r="BT799" s="49">
        <v>22.9</v>
      </c>
      <c r="BU799" s="59">
        <f t="shared" si="60"/>
        <v>0.54260000000000008</v>
      </c>
      <c r="BV799" s="59">
        <v>4.3900000000000002E-2</v>
      </c>
      <c r="BW799" s="59">
        <v>0</v>
      </c>
      <c r="BX799" s="59">
        <v>4.3900000000000002E-2</v>
      </c>
      <c r="BY799" s="59">
        <v>0</v>
      </c>
      <c r="BZ799" s="59">
        <v>0</v>
      </c>
      <c r="CA799" s="49">
        <v>20.3</v>
      </c>
      <c r="CB799" s="59">
        <f t="shared" si="61"/>
        <v>8.7800000000000003E-2</v>
      </c>
      <c r="CC799" s="59">
        <v>0.3478</v>
      </c>
      <c r="CD799" s="59">
        <v>0.24129999999999999</v>
      </c>
      <c r="CE799" s="59">
        <v>0.34510000000000002</v>
      </c>
      <c r="CF799" s="59">
        <v>0</v>
      </c>
      <c r="CG799" s="59">
        <v>6.5799999999999997E-2</v>
      </c>
      <c r="CH799" s="49">
        <v>19.100000000000001</v>
      </c>
      <c r="CI799" s="26" t="s">
        <v>271</v>
      </c>
      <c r="CJ799" s="18" t="s">
        <v>489</v>
      </c>
      <c r="CK799" s="20"/>
    </row>
    <row r="800" spans="1:89" x14ac:dyDescent="0.25">
      <c r="A800" s="18" t="s">
        <v>489</v>
      </c>
      <c r="B800" s="19" t="s">
        <v>272</v>
      </c>
      <c r="C800" s="26" t="s">
        <v>273</v>
      </c>
      <c r="D800" s="6">
        <v>77</v>
      </c>
      <c r="E800" s="6">
        <v>6</v>
      </c>
      <c r="F800" s="6">
        <v>71</v>
      </c>
      <c r="G800" s="162" t="s">
        <v>83</v>
      </c>
      <c r="H800" s="166">
        <v>6</v>
      </c>
      <c r="I800" s="162" t="s">
        <v>83</v>
      </c>
      <c r="J800" s="166">
        <v>14</v>
      </c>
      <c r="K800" s="166">
        <v>18</v>
      </c>
      <c r="L800" s="166">
        <v>25</v>
      </c>
      <c r="M800" s="166">
        <v>14</v>
      </c>
      <c r="N800" s="119">
        <v>7.3473282442748103E-2</v>
      </c>
      <c r="O800" s="119">
        <v>8.1422018348623906E-2</v>
      </c>
      <c r="P800" s="116" t="s">
        <v>83</v>
      </c>
      <c r="Q800" s="119">
        <v>3.4090909090909102E-2</v>
      </c>
      <c r="R800" s="116" t="s">
        <v>83</v>
      </c>
      <c r="S800" s="119">
        <v>5.0724637681159403E-2</v>
      </c>
      <c r="T800" s="119">
        <v>8.1447963800904993E-2</v>
      </c>
      <c r="U800" s="119">
        <v>0.13297872340425501</v>
      </c>
      <c r="V800" s="119">
        <v>7.4866310160427801E-2</v>
      </c>
      <c r="W800" s="6">
        <v>922</v>
      </c>
      <c r="X800" s="40">
        <f t="shared" si="58"/>
        <v>773</v>
      </c>
      <c r="Y800" s="40">
        <f t="shared" si="59"/>
        <v>922</v>
      </c>
      <c r="Z800" s="59">
        <v>0.49890000000000001</v>
      </c>
      <c r="AA800" s="59">
        <v>0.50109999999999999</v>
      </c>
      <c r="AB800" s="61">
        <v>0</v>
      </c>
      <c r="AC800" s="61">
        <v>3.2537960954446853E-3</v>
      </c>
      <c r="AD800" s="61">
        <v>0.89587852494577003</v>
      </c>
      <c r="AE800" s="61">
        <v>4.3383947939262474E-3</v>
      </c>
      <c r="AF800" s="61">
        <v>3.2537960954446853E-3</v>
      </c>
      <c r="AG800" s="61">
        <v>8.3514099783080262E-2</v>
      </c>
      <c r="AH800" s="61">
        <v>9.7613882863340565E-3</v>
      </c>
      <c r="AI800" s="61">
        <v>0.91648590021691978</v>
      </c>
      <c r="AJ800" s="59">
        <v>0.86799999999999999</v>
      </c>
      <c r="AK800" s="59">
        <v>2.2000000000000001E-3</v>
      </c>
      <c r="AL800" s="3">
        <v>0</v>
      </c>
      <c r="AM800" s="3">
        <v>149</v>
      </c>
      <c r="AN800" s="3">
        <v>0</v>
      </c>
      <c r="AO800" s="3">
        <v>247</v>
      </c>
      <c r="AP800" s="3">
        <v>188</v>
      </c>
      <c r="AQ800" s="3">
        <v>165</v>
      </c>
      <c r="AR800" s="3">
        <v>173</v>
      </c>
      <c r="AS800" s="59">
        <v>0</v>
      </c>
      <c r="AT800" s="3">
        <v>8</v>
      </c>
      <c r="AU800" s="3">
        <v>6</v>
      </c>
      <c r="AV800" s="49">
        <v>66.410748560460704</v>
      </c>
      <c r="AW800" s="49">
        <v>22.2648752399232</v>
      </c>
      <c r="AX800" s="49">
        <v>10.3646833013436</v>
      </c>
      <c r="AY800" s="67">
        <v>0.959692898272553</v>
      </c>
      <c r="AZ800" s="62">
        <v>0.25390625</v>
      </c>
      <c r="BA800" s="62">
        <v>0.16015625</v>
      </c>
      <c r="BB800" s="78">
        <v>91.277523985068598</v>
      </c>
      <c r="BC800" s="49">
        <v>50.290135396518401</v>
      </c>
      <c r="BD800" s="90" t="s">
        <v>83</v>
      </c>
      <c r="BE800" s="87">
        <v>6.8</v>
      </c>
      <c r="BF800" s="87">
        <v>3.5</v>
      </c>
      <c r="BG800" s="87">
        <v>3.5</v>
      </c>
      <c r="BH800" s="87">
        <v>1.3</v>
      </c>
      <c r="BI800" s="87">
        <v>3.1</v>
      </c>
      <c r="BJ800" s="49">
        <v>16.7</v>
      </c>
      <c r="BK800" s="129">
        <v>14227</v>
      </c>
      <c r="BL800" s="129">
        <v>51520</v>
      </c>
      <c r="BM800" s="129">
        <v>46730</v>
      </c>
      <c r="BN800" s="129">
        <v>43694</v>
      </c>
      <c r="BO800" s="59">
        <v>5.4000000000000003E-3</v>
      </c>
      <c r="BP800" s="59">
        <v>0.45379999999999998</v>
      </c>
      <c r="BQ800" s="59">
        <v>0.16250000000000001</v>
      </c>
      <c r="BR800" s="59">
        <v>0</v>
      </c>
      <c r="BS800" s="59">
        <v>0</v>
      </c>
      <c r="BT800" s="49">
        <v>15.9</v>
      </c>
      <c r="BU800" s="59">
        <f t="shared" si="60"/>
        <v>0.62170000000000003</v>
      </c>
      <c r="BV800" s="59">
        <v>3.9899999999999998E-2</v>
      </c>
      <c r="BW800" s="59">
        <v>0</v>
      </c>
      <c r="BX800" s="59">
        <v>3.3099999999999997E-2</v>
      </c>
      <c r="BY800" s="59">
        <v>0</v>
      </c>
      <c r="BZ800" s="59">
        <v>0.01</v>
      </c>
      <c r="CA800" s="49">
        <v>20.9</v>
      </c>
      <c r="CB800" s="59">
        <f t="shared" si="61"/>
        <v>8.299999999999999E-2</v>
      </c>
      <c r="CC800" s="59">
        <v>0.22259999999999999</v>
      </c>
      <c r="CD800" s="59">
        <v>0.50790000000000002</v>
      </c>
      <c r="CE800" s="59">
        <v>0.2485</v>
      </c>
      <c r="CF800" s="59">
        <v>0</v>
      </c>
      <c r="CG800" s="59">
        <v>2.1000000000000001E-2</v>
      </c>
      <c r="CH800" s="49">
        <v>15.4</v>
      </c>
      <c r="CI800" s="26" t="s">
        <v>273</v>
      </c>
      <c r="CJ800" s="18" t="s">
        <v>489</v>
      </c>
      <c r="CK800" s="20"/>
    </row>
    <row r="801" spans="1:89" x14ac:dyDescent="0.25">
      <c r="A801" s="18" t="s">
        <v>489</v>
      </c>
      <c r="B801" s="19" t="s">
        <v>272</v>
      </c>
      <c r="C801" s="26" t="s">
        <v>274</v>
      </c>
      <c r="D801" s="6">
        <v>14</v>
      </c>
      <c r="E801" s="6">
        <v>4</v>
      </c>
      <c r="F801" s="6">
        <v>10</v>
      </c>
      <c r="G801" s="166">
        <v>2</v>
      </c>
      <c r="H801" s="166">
        <v>2</v>
      </c>
      <c r="I801" s="162" t="s">
        <v>83</v>
      </c>
      <c r="J801" s="166">
        <v>3</v>
      </c>
      <c r="K801" s="166">
        <v>2</v>
      </c>
      <c r="L801" s="166">
        <v>5</v>
      </c>
      <c r="M801" s="166">
        <v>0</v>
      </c>
      <c r="N801" s="119">
        <v>2.4647887323943699E-2</v>
      </c>
      <c r="O801" s="119">
        <v>2.9239766081871298E-2</v>
      </c>
      <c r="P801" s="119">
        <v>1.7543859649122799E-2</v>
      </c>
      <c r="Q801" s="119">
        <v>1.7857142857142901E-2</v>
      </c>
      <c r="R801" s="116" t="s">
        <v>83</v>
      </c>
      <c r="S801" s="119">
        <v>2.7777777777777801E-2</v>
      </c>
      <c r="T801" s="119">
        <v>2.2222222222222199E-2</v>
      </c>
      <c r="U801" s="119">
        <v>5.95238095238095E-2</v>
      </c>
      <c r="V801" s="119">
        <v>0</v>
      </c>
      <c r="W801" s="6">
        <v>913</v>
      </c>
      <c r="X801" s="40">
        <f t="shared" si="58"/>
        <v>324</v>
      </c>
      <c r="Y801" s="40">
        <f t="shared" si="59"/>
        <v>539</v>
      </c>
      <c r="Z801" s="59">
        <v>0.50049999999999994</v>
      </c>
      <c r="AA801" s="59">
        <v>0.4995</v>
      </c>
      <c r="AB801" s="61">
        <v>2.1905805038335158E-3</v>
      </c>
      <c r="AC801" s="61">
        <v>0</v>
      </c>
      <c r="AD801" s="61">
        <v>0.13910186199342825</v>
      </c>
      <c r="AE801" s="61">
        <v>1.0952902519167579E-2</v>
      </c>
      <c r="AF801" s="61">
        <v>0</v>
      </c>
      <c r="AG801" s="61">
        <v>0.84118291347207008</v>
      </c>
      <c r="AH801" s="61">
        <v>6.5717415115005475E-3</v>
      </c>
      <c r="AI801" s="61">
        <v>0.15881708652792989</v>
      </c>
      <c r="AJ801" s="59">
        <v>0.64100000000000001</v>
      </c>
      <c r="AK801" s="59">
        <v>5.4999999999999997E-3</v>
      </c>
      <c r="AL801" s="3">
        <v>112</v>
      </c>
      <c r="AM801" s="3">
        <v>103</v>
      </c>
      <c r="AN801" s="3">
        <v>0</v>
      </c>
      <c r="AO801" s="3">
        <v>105</v>
      </c>
      <c r="AP801" s="3">
        <v>83</v>
      </c>
      <c r="AQ801" s="3">
        <v>80</v>
      </c>
      <c r="AR801" s="3">
        <v>56</v>
      </c>
      <c r="AS801" s="59">
        <v>0</v>
      </c>
      <c r="AT801" s="3">
        <v>1</v>
      </c>
      <c r="AU801" s="3">
        <v>3</v>
      </c>
      <c r="AV801" s="49">
        <v>74.555160142348797</v>
      </c>
      <c r="AW801" s="49">
        <v>24.021352313167299</v>
      </c>
      <c r="AX801" s="49">
        <v>0.17793594306049798</v>
      </c>
      <c r="AY801" s="67">
        <v>1.24555160142349</v>
      </c>
      <c r="AZ801" s="62">
        <v>5.7712486883525711E-2</v>
      </c>
      <c r="BA801" s="62">
        <v>2.8331584470094439E-2</v>
      </c>
      <c r="BB801" s="77">
        <v>93.179806008617504</v>
      </c>
      <c r="BC801" s="49">
        <v>69.312169312169303</v>
      </c>
      <c r="BD801" s="87">
        <v>5.7</v>
      </c>
      <c r="BE801" s="87">
        <v>3.1</v>
      </c>
      <c r="BF801" s="87">
        <v>6.5</v>
      </c>
      <c r="BG801" s="87">
        <v>6.5</v>
      </c>
      <c r="BH801" s="87">
        <v>2.7</v>
      </c>
      <c r="BI801" s="87">
        <v>0</v>
      </c>
      <c r="BJ801" s="49">
        <v>20.2</v>
      </c>
      <c r="BK801" s="129"/>
      <c r="BL801" s="129"/>
      <c r="BM801" s="129"/>
      <c r="BN801" s="129"/>
      <c r="BO801" s="59"/>
      <c r="BP801" s="59"/>
      <c r="BQ801" s="59"/>
      <c r="BR801" s="59"/>
      <c r="BS801" s="59"/>
      <c r="BT801" s="49"/>
      <c r="BU801" s="59"/>
      <c r="BV801" s="59"/>
      <c r="BW801" s="59"/>
      <c r="BX801" s="59"/>
      <c r="BY801" s="59"/>
      <c r="BZ801" s="59"/>
      <c r="CA801" s="49"/>
      <c r="CB801" s="59"/>
      <c r="CC801" s="59"/>
      <c r="CD801" s="59"/>
      <c r="CE801" s="59"/>
      <c r="CF801" s="59"/>
      <c r="CG801" s="59"/>
      <c r="CH801" s="49"/>
      <c r="CI801" s="26" t="s">
        <v>274</v>
      </c>
      <c r="CJ801" s="18" t="s">
        <v>489</v>
      </c>
      <c r="CK801" s="20"/>
    </row>
    <row r="802" spans="1:89" x14ac:dyDescent="0.25">
      <c r="A802" s="18" t="s">
        <v>489</v>
      </c>
      <c r="B802" s="19" t="s">
        <v>275</v>
      </c>
      <c r="C802" s="26" t="s">
        <v>276</v>
      </c>
      <c r="D802" s="6">
        <v>42</v>
      </c>
      <c r="E802" s="40" t="s">
        <v>83</v>
      </c>
      <c r="F802" s="6">
        <v>42</v>
      </c>
      <c r="G802" s="162" t="s">
        <v>83</v>
      </c>
      <c r="H802" s="162" t="s">
        <v>83</v>
      </c>
      <c r="I802" s="163">
        <v>0</v>
      </c>
      <c r="J802" s="166">
        <v>11</v>
      </c>
      <c r="K802" s="166">
        <v>10</v>
      </c>
      <c r="L802" s="166">
        <v>12</v>
      </c>
      <c r="M802" s="166">
        <v>9</v>
      </c>
      <c r="N802" s="119">
        <v>2.8340080971659899E-2</v>
      </c>
      <c r="O802" s="119">
        <v>2.8340080971659899E-2</v>
      </c>
      <c r="P802" s="116" t="s">
        <v>83</v>
      </c>
      <c r="Q802" s="116" t="s">
        <v>83</v>
      </c>
      <c r="R802" s="115">
        <v>0</v>
      </c>
      <c r="S802" s="119">
        <v>2.6315789473684199E-2</v>
      </c>
      <c r="T802" s="119">
        <v>2.5062656641604002E-2</v>
      </c>
      <c r="U802" s="119">
        <v>3.3898305084745797E-2</v>
      </c>
      <c r="V802" s="119">
        <v>2.9032258064516099E-2</v>
      </c>
      <c r="W802" s="6">
        <v>1361</v>
      </c>
      <c r="X802" s="40">
        <f t="shared" si="58"/>
        <v>1361</v>
      </c>
      <c r="Y802" s="40">
        <f t="shared" si="59"/>
        <v>1361</v>
      </c>
      <c r="Z802" s="59">
        <v>0.51580000000000004</v>
      </c>
      <c r="AA802" s="59">
        <v>0.48420000000000002</v>
      </c>
      <c r="AB802" s="61">
        <v>1.1756061719324026E-2</v>
      </c>
      <c r="AC802" s="61">
        <v>4.40852314474651E-3</v>
      </c>
      <c r="AD802" s="61">
        <v>0.57384276267450407</v>
      </c>
      <c r="AE802" s="61">
        <v>1.8368846436443792E-2</v>
      </c>
      <c r="AF802" s="61">
        <v>0</v>
      </c>
      <c r="AG802" s="61">
        <v>0.37766348273328437</v>
      </c>
      <c r="AH802" s="61">
        <v>1.3960323291697281E-2</v>
      </c>
      <c r="AI802" s="61">
        <v>0.62233651726671568</v>
      </c>
      <c r="AJ802" s="59">
        <v>0.67500000000000004</v>
      </c>
      <c r="AK802" s="59">
        <v>8.0999999999999996E-3</v>
      </c>
      <c r="AL802" s="3">
        <v>0</v>
      </c>
      <c r="AM802" s="3">
        <v>0</v>
      </c>
      <c r="AN802" s="3">
        <v>1</v>
      </c>
      <c r="AO802" s="3">
        <v>373</v>
      </c>
      <c r="AP802" s="3">
        <v>359</v>
      </c>
      <c r="AQ802" s="3">
        <v>336</v>
      </c>
      <c r="AR802" s="3">
        <v>292</v>
      </c>
      <c r="AS802" s="59">
        <v>2.6737967914438501E-3</v>
      </c>
      <c r="AT802" s="3">
        <v>9</v>
      </c>
      <c r="AU802" s="3">
        <v>6</v>
      </c>
      <c r="AV802" s="49">
        <v>56.927710843373504</v>
      </c>
      <c r="AW802" s="49">
        <v>29.518072289156599</v>
      </c>
      <c r="AX802" s="49">
        <v>12.1987951807229</v>
      </c>
      <c r="AY802" s="67">
        <v>1.3554216867469902</v>
      </c>
      <c r="AZ802" s="62">
        <v>0.37422892392049351</v>
      </c>
      <c r="BA802" s="62">
        <v>0.27210418094585331</v>
      </c>
      <c r="BB802" s="78">
        <v>93.129616270630905</v>
      </c>
      <c r="BC802" s="49">
        <v>22.176591375769998</v>
      </c>
      <c r="BD802" s="90" t="s">
        <v>83</v>
      </c>
      <c r="BE802" s="90" t="s">
        <v>83</v>
      </c>
      <c r="BF802" s="87">
        <v>7</v>
      </c>
      <c r="BG802" s="87">
        <v>9</v>
      </c>
      <c r="BH802" s="87">
        <v>5.6</v>
      </c>
      <c r="BI802" s="87">
        <v>2.1</v>
      </c>
      <c r="BJ802" s="49">
        <v>18.5</v>
      </c>
      <c r="BK802" s="129">
        <v>10459</v>
      </c>
      <c r="BL802" s="129">
        <v>52111</v>
      </c>
      <c r="BM802" s="129">
        <v>46253</v>
      </c>
      <c r="BN802" s="129">
        <v>46343</v>
      </c>
      <c r="BO802" s="59">
        <v>8.0999999999999996E-3</v>
      </c>
      <c r="BP802" s="59">
        <v>0.38550000000000001</v>
      </c>
      <c r="BQ802" s="59">
        <v>0.2586</v>
      </c>
      <c r="BR802" s="59">
        <v>0</v>
      </c>
      <c r="BS802" s="59">
        <v>1.6199999999999999E-2</v>
      </c>
      <c r="BT802" s="49">
        <v>12.7</v>
      </c>
      <c r="BU802" s="59">
        <f t="shared" si="60"/>
        <v>0.66839999999999999</v>
      </c>
      <c r="BV802" s="59">
        <v>2.4E-2</v>
      </c>
      <c r="BW802" s="59">
        <v>1.6199999999999999E-2</v>
      </c>
      <c r="BX802" s="59">
        <v>2.4199999999999999E-2</v>
      </c>
      <c r="BY802" s="59">
        <v>0</v>
      </c>
      <c r="BZ802" s="59">
        <v>0</v>
      </c>
      <c r="CA802" s="49">
        <v>18.7</v>
      </c>
      <c r="CB802" s="59">
        <f t="shared" si="61"/>
        <v>6.4399999999999999E-2</v>
      </c>
      <c r="CC802" s="59">
        <v>0.21110000000000001</v>
      </c>
      <c r="CD802" s="59">
        <v>0.4178</v>
      </c>
      <c r="CE802" s="59">
        <v>0.33879999999999999</v>
      </c>
      <c r="CF802" s="59">
        <v>1.6199999999999999E-2</v>
      </c>
      <c r="CG802" s="59">
        <v>1.6199999999999999E-2</v>
      </c>
      <c r="CH802" s="49">
        <v>13.9</v>
      </c>
      <c r="CI802" s="26" t="s">
        <v>276</v>
      </c>
      <c r="CJ802" s="18" t="s">
        <v>489</v>
      </c>
      <c r="CK802" s="20"/>
    </row>
    <row r="803" spans="1:89" x14ac:dyDescent="0.25">
      <c r="A803" s="18" t="s">
        <v>489</v>
      </c>
      <c r="B803" s="19" t="s">
        <v>275</v>
      </c>
      <c r="C803" s="26" t="s">
        <v>494</v>
      </c>
      <c r="D803" s="6">
        <v>12</v>
      </c>
      <c r="E803" s="6">
        <v>0</v>
      </c>
      <c r="F803" s="6">
        <v>12</v>
      </c>
      <c r="G803" s="163">
        <v>0</v>
      </c>
      <c r="H803" s="163">
        <v>0</v>
      </c>
      <c r="I803" s="162" t="s">
        <v>83</v>
      </c>
      <c r="J803" s="166">
        <v>4</v>
      </c>
      <c r="K803" s="166">
        <v>3</v>
      </c>
      <c r="L803" s="166">
        <v>1</v>
      </c>
      <c r="M803" s="166">
        <v>4</v>
      </c>
      <c r="N803" s="119">
        <v>2.4640657084188899E-2</v>
      </c>
      <c r="O803" s="119">
        <v>3.39943342776204E-2</v>
      </c>
      <c r="P803" s="115">
        <v>0</v>
      </c>
      <c r="Q803" s="115">
        <v>0</v>
      </c>
      <c r="R803" s="116" t="s">
        <v>83</v>
      </c>
      <c r="S803" s="119">
        <v>3.7383177570093497E-2</v>
      </c>
      <c r="T803" s="119">
        <v>4.1095890410958902E-2</v>
      </c>
      <c r="U803" s="119">
        <v>1.0416666666666701E-2</v>
      </c>
      <c r="V803" s="119">
        <v>5.2631578947368397E-2</v>
      </c>
      <c r="W803" s="6">
        <v>439</v>
      </c>
      <c r="X803" s="40">
        <f t="shared" si="58"/>
        <v>322</v>
      </c>
      <c r="Y803" s="40">
        <f t="shared" si="59"/>
        <v>439</v>
      </c>
      <c r="Z803" s="59">
        <v>0.47839999999999999</v>
      </c>
      <c r="AA803" s="59">
        <v>0.52159999999999995</v>
      </c>
      <c r="AB803" s="61">
        <v>0</v>
      </c>
      <c r="AC803" s="61">
        <v>2.2779043280182231E-3</v>
      </c>
      <c r="AD803" s="61">
        <v>0.54669703872437359</v>
      </c>
      <c r="AE803" s="61">
        <v>6.8337129840546698E-3</v>
      </c>
      <c r="AF803" s="61">
        <v>0</v>
      </c>
      <c r="AG803" s="61">
        <v>0.41230068337129838</v>
      </c>
      <c r="AH803" s="61">
        <v>3.1890660592255128E-2</v>
      </c>
      <c r="AI803" s="61">
        <v>0.58769931662870156</v>
      </c>
      <c r="AJ803" s="59">
        <v>0.77700000000000002</v>
      </c>
      <c r="AK803" s="59">
        <v>6.7999999999999996E-3</v>
      </c>
      <c r="AL803" s="3">
        <v>66</v>
      </c>
      <c r="AM803" s="3">
        <v>51</v>
      </c>
      <c r="AN803" s="3">
        <v>0</v>
      </c>
      <c r="AO803" s="3">
        <v>96</v>
      </c>
      <c r="AP803" s="3">
        <v>77</v>
      </c>
      <c r="AQ803" s="3">
        <v>83</v>
      </c>
      <c r="AR803" s="3">
        <v>66</v>
      </c>
      <c r="AS803" s="59">
        <v>0</v>
      </c>
      <c r="AT803" s="3">
        <v>7</v>
      </c>
      <c r="AU803" s="3">
        <v>6</v>
      </c>
      <c r="AV803" s="49">
        <v>84.457478005865099</v>
      </c>
      <c r="AW803" s="49">
        <v>14.076246334310898</v>
      </c>
      <c r="AX803" s="49">
        <v>0.87976539589442804</v>
      </c>
      <c r="AY803" s="67">
        <v>0.58651026392961902</v>
      </c>
      <c r="AZ803" s="62">
        <v>0.1799163179916318</v>
      </c>
      <c r="BA803" s="62">
        <v>0.20711297071129708</v>
      </c>
      <c r="BB803" s="77">
        <v>92.404656159968198</v>
      </c>
      <c r="BC803" s="49">
        <v>26.778242677824299</v>
      </c>
      <c r="BD803" s="87">
        <v>1.7</v>
      </c>
      <c r="BE803" s="87">
        <v>0</v>
      </c>
      <c r="BF803" s="87">
        <v>1.1000000000000001</v>
      </c>
      <c r="BG803" s="87">
        <v>1.7</v>
      </c>
      <c r="BH803" s="87">
        <v>1.2</v>
      </c>
      <c r="BI803" s="87">
        <v>0</v>
      </c>
      <c r="BJ803" s="49">
        <v>16.8</v>
      </c>
      <c r="BK803" s="129">
        <v>12391</v>
      </c>
      <c r="BL803" s="129">
        <v>49709</v>
      </c>
      <c r="BM803" s="129">
        <v>44355</v>
      </c>
      <c r="BN803" s="129">
        <v>42972</v>
      </c>
      <c r="BO803" s="59">
        <v>1.9E-2</v>
      </c>
      <c r="BP803" s="59">
        <v>0.35799999999999998</v>
      </c>
      <c r="BQ803" s="59">
        <v>0.2656</v>
      </c>
      <c r="BR803" s="59">
        <v>0</v>
      </c>
      <c r="BS803" s="59">
        <v>0</v>
      </c>
      <c r="BT803" s="49">
        <v>11.7</v>
      </c>
      <c r="BU803" s="59">
        <f t="shared" si="60"/>
        <v>0.64260000000000006</v>
      </c>
      <c r="BV803" s="59">
        <v>5.7099999999999998E-2</v>
      </c>
      <c r="BW803" s="59">
        <v>0</v>
      </c>
      <c r="BX803" s="59">
        <v>5.7099999999999998E-2</v>
      </c>
      <c r="BY803" s="59">
        <v>0</v>
      </c>
      <c r="BZ803" s="59">
        <v>0</v>
      </c>
      <c r="CA803" s="49">
        <v>15</v>
      </c>
      <c r="CB803" s="59">
        <f t="shared" si="61"/>
        <v>0.1142</v>
      </c>
      <c r="CC803" s="59">
        <v>0.26779999999999998</v>
      </c>
      <c r="CD803" s="59">
        <v>0.39050000000000001</v>
      </c>
      <c r="CE803" s="59">
        <v>0.3417</v>
      </c>
      <c r="CF803" s="59">
        <v>0</v>
      </c>
      <c r="CG803" s="59">
        <v>0</v>
      </c>
      <c r="CH803" s="49">
        <v>13.8</v>
      </c>
      <c r="CI803" s="26" t="s">
        <v>494</v>
      </c>
      <c r="CJ803" s="18" t="s">
        <v>489</v>
      </c>
      <c r="CK803" s="20"/>
    </row>
    <row r="804" spans="1:89" x14ac:dyDescent="0.25">
      <c r="A804" s="18" t="s">
        <v>489</v>
      </c>
      <c r="B804" s="19" t="s">
        <v>278</v>
      </c>
      <c r="C804" s="26" t="s">
        <v>279</v>
      </c>
      <c r="D804" s="6">
        <v>3</v>
      </c>
      <c r="E804" s="40" t="s">
        <v>83</v>
      </c>
      <c r="F804" s="6">
        <v>3</v>
      </c>
      <c r="G804" s="162" t="s">
        <v>83</v>
      </c>
      <c r="H804" s="162" t="s">
        <v>83</v>
      </c>
      <c r="I804" s="163">
        <v>0</v>
      </c>
      <c r="J804" s="166">
        <v>2</v>
      </c>
      <c r="K804" s="166">
        <v>0</v>
      </c>
      <c r="L804" s="166">
        <v>0</v>
      </c>
      <c r="M804" s="166">
        <v>1</v>
      </c>
      <c r="N804" s="119">
        <v>2.9126213592233002E-3</v>
      </c>
      <c r="O804" s="119">
        <v>2.9126213592233002E-3</v>
      </c>
      <c r="P804" s="116" t="s">
        <v>83</v>
      </c>
      <c r="Q804" s="116" t="s">
        <v>83</v>
      </c>
      <c r="R804" s="115">
        <v>0</v>
      </c>
      <c r="S804" s="119">
        <v>7.6923076923076901E-3</v>
      </c>
      <c r="T804" s="119">
        <v>0</v>
      </c>
      <c r="U804" s="119">
        <v>0</v>
      </c>
      <c r="V804" s="119">
        <v>3.9525691699604697E-3</v>
      </c>
      <c r="W804" s="6">
        <v>1007</v>
      </c>
      <c r="X804" s="40">
        <f t="shared" si="58"/>
        <v>1007</v>
      </c>
      <c r="Y804" s="40">
        <f t="shared" si="59"/>
        <v>1007</v>
      </c>
      <c r="Z804" s="59">
        <v>0.56410000000000005</v>
      </c>
      <c r="AA804" s="59">
        <v>0.43590000000000001</v>
      </c>
      <c r="AB804" s="61">
        <v>0</v>
      </c>
      <c r="AC804" s="61">
        <v>9.930486593843098E-4</v>
      </c>
      <c r="AD804" s="61">
        <v>0.96921549155908637</v>
      </c>
      <c r="AE804" s="61">
        <v>2.2840119165839126E-2</v>
      </c>
      <c r="AF804" s="61">
        <v>0</v>
      </c>
      <c r="AG804" s="61">
        <v>2.9791459781529296E-3</v>
      </c>
      <c r="AH804" s="61">
        <v>3.9721946375372392E-3</v>
      </c>
      <c r="AI804" s="61">
        <v>0.99702085402184704</v>
      </c>
      <c r="AJ804" s="59">
        <v>0.82199999999999995</v>
      </c>
      <c r="AK804" s="59">
        <v>2.3800000000000002E-2</v>
      </c>
      <c r="AL804" s="3">
        <v>0</v>
      </c>
      <c r="AM804" s="3">
        <v>0</v>
      </c>
      <c r="AN804" s="3">
        <v>3</v>
      </c>
      <c r="AO804" s="3">
        <v>251</v>
      </c>
      <c r="AP804" s="3">
        <v>253</v>
      </c>
      <c r="AQ804" s="3">
        <v>250</v>
      </c>
      <c r="AR804" s="3">
        <v>250</v>
      </c>
      <c r="AS804" s="59">
        <v>1.1811023622047244E-2</v>
      </c>
      <c r="AT804" s="3">
        <v>9</v>
      </c>
      <c r="AU804" s="3">
        <v>3</v>
      </c>
      <c r="AV804" s="49">
        <v>50.718685831622203</v>
      </c>
      <c r="AW804" s="49">
        <v>28.542094455852201</v>
      </c>
      <c r="AX804" s="49">
        <v>19.096509240246402</v>
      </c>
      <c r="AY804" s="67">
        <v>1.6427104722792603</v>
      </c>
      <c r="AZ804" s="62">
        <v>1.556420233463035E-2</v>
      </c>
      <c r="BA804" s="62">
        <v>9.3385214007782102E-2</v>
      </c>
      <c r="BB804" s="78">
        <v>94.439043584936201</v>
      </c>
      <c r="BC804" s="49">
        <v>9.7276264591439704E-2</v>
      </c>
      <c r="BD804" s="90" t="s">
        <v>83</v>
      </c>
      <c r="BE804" s="90" t="s">
        <v>83</v>
      </c>
      <c r="BF804" s="87">
        <v>1.2</v>
      </c>
      <c r="BG804" s="87">
        <v>0.8</v>
      </c>
      <c r="BH804" s="87">
        <v>0.8</v>
      </c>
      <c r="BI804" s="87">
        <v>0.4</v>
      </c>
      <c r="BJ804" s="49">
        <v>18.399999999999999</v>
      </c>
      <c r="BK804" s="129">
        <v>11701</v>
      </c>
      <c r="BL804" s="129">
        <v>50926</v>
      </c>
      <c r="BM804" s="129">
        <v>68028</v>
      </c>
      <c r="BN804" s="129">
        <v>48935</v>
      </c>
      <c r="BO804" s="59">
        <v>0</v>
      </c>
      <c r="BP804" s="59">
        <v>0.26400000000000001</v>
      </c>
      <c r="BQ804" s="59">
        <v>0.29699999999999999</v>
      </c>
      <c r="BR804" s="59">
        <v>0</v>
      </c>
      <c r="BS804" s="59">
        <v>0</v>
      </c>
      <c r="BT804" s="49">
        <v>15.2</v>
      </c>
      <c r="BU804" s="59">
        <f t="shared" si="60"/>
        <v>0.56099999999999994</v>
      </c>
      <c r="BV804" s="59">
        <v>9.7999999999999997E-3</v>
      </c>
      <c r="BW804" s="59">
        <v>2.81E-2</v>
      </c>
      <c r="BX804" s="59">
        <v>2.93E-2</v>
      </c>
      <c r="BY804" s="59">
        <v>0</v>
      </c>
      <c r="BZ804" s="59">
        <v>0</v>
      </c>
      <c r="CA804" s="49">
        <v>23.5</v>
      </c>
      <c r="CB804" s="59">
        <f t="shared" si="61"/>
        <v>6.720000000000001E-2</v>
      </c>
      <c r="CC804" s="59">
        <v>0.17169999999999999</v>
      </c>
      <c r="CD804" s="59">
        <v>0.38979999999999998</v>
      </c>
      <c r="CE804" s="59">
        <v>0.4385</v>
      </c>
      <c r="CF804" s="59">
        <v>0</v>
      </c>
      <c r="CG804" s="59">
        <v>0</v>
      </c>
      <c r="CH804" s="49">
        <v>15.8</v>
      </c>
      <c r="CI804" s="26" t="s">
        <v>279</v>
      </c>
      <c r="CJ804" s="18" t="s">
        <v>489</v>
      </c>
      <c r="CK804" s="20"/>
    </row>
    <row r="805" spans="1:89" x14ac:dyDescent="0.25">
      <c r="A805" s="18" t="s">
        <v>489</v>
      </c>
      <c r="B805" s="19" t="s">
        <v>278</v>
      </c>
      <c r="C805" s="26" t="s">
        <v>280</v>
      </c>
      <c r="D805" s="6">
        <v>10</v>
      </c>
      <c r="E805" s="40" t="s">
        <v>83</v>
      </c>
      <c r="F805" s="6">
        <v>10</v>
      </c>
      <c r="G805" s="162" t="s">
        <v>83</v>
      </c>
      <c r="H805" s="162" t="s">
        <v>83</v>
      </c>
      <c r="I805" s="162" t="s">
        <v>83</v>
      </c>
      <c r="J805" s="166">
        <v>8</v>
      </c>
      <c r="K805" s="166">
        <v>1</v>
      </c>
      <c r="L805" s="166">
        <v>1</v>
      </c>
      <c r="M805" s="166">
        <v>0</v>
      </c>
      <c r="N805" s="119">
        <v>1.05263157894737E-2</v>
      </c>
      <c r="O805" s="119">
        <v>1.05263157894737E-2</v>
      </c>
      <c r="P805" s="116" t="s">
        <v>83</v>
      </c>
      <c r="Q805" s="116" t="s">
        <v>83</v>
      </c>
      <c r="R805" s="116" t="s">
        <v>83</v>
      </c>
      <c r="S805" s="119">
        <v>3.03030303030303E-2</v>
      </c>
      <c r="T805" s="119">
        <v>3.9370078740157497E-3</v>
      </c>
      <c r="U805" s="119">
        <v>5.0761421319797002E-3</v>
      </c>
      <c r="V805" s="119">
        <v>0</v>
      </c>
      <c r="W805" s="6">
        <v>945</v>
      </c>
      <c r="X805" s="40">
        <f t="shared" si="58"/>
        <v>945</v>
      </c>
      <c r="Y805" s="40">
        <f t="shared" si="59"/>
        <v>945</v>
      </c>
      <c r="Z805" s="59">
        <v>0.57779999999999998</v>
      </c>
      <c r="AA805" s="59">
        <v>0.42220000000000002</v>
      </c>
      <c r="AB805" s="61">
        <v>3.1746031746031746E-3</v>
      </c>
      <c r="AC805" s="61">
        <v>0.16190476190476191</v>
      </c>
      <c r="AD805" s="61">
        <v>0.31216931216931215</v>
      </c>
      <c r="AE805" s="61">
        <v>6.9841269841269843E-2</v>
      </c>
      <c r="AF805" s="61">
        <v>0</v>
      </c>
      <c r="AG805" s="61">
        <v>0.39576719576719577</v>
      </c>
      <c r="AH805" s="61">
        <v>5.7142857142857141E-2</v>
      </c>
      <c r="AI805" s="61">
        <v>0.60423280423280423</v>
      </c>
      <c r="AJ805" s="59">
        <v>0.32300000000000001</v>
      </c>
      <c r="AK805" s="59">
        <v>1.1000000000000001E-3</v>
      </c>
      <c r="AL805" s="3">
        <v>0</v>
      </c>
      <c r="AM805" s="3">
        <v>0</v>
      </c>
      <c r="AN805" s="3">
        <v>0</v>
      </c>
      <c r="AO805" s="3">
        <v>260</v>
      </c>
      <c r="AP805" s="3">
        <v>253</v>
      </c>
      <c r="AQ805" s="3">
        <v>197</v>
      </c>
      <c r="AR805" s="3">
        <v>235</v>
      </c>
      <c r="AS805" s="59">
        <v>0</v>
      </c>
      <c r="AT805" s="3">
        <v>9</v>
      </c>
      <c r="AU805" s="3">
        <v>9</v>
      </c>
      <c r="AV805" s="49">
        <v>38.441558441558399</v>
      </c>
      <c r="AW805" s="49">
        <v>47.012987012987004</v>
      </c>
      <c r="AX805" s="49">
        <v>8.8311688311688297</v>
      </c>
      <c r="AY805" s="67">
        <v>5.71428571428571</v>
      </c>
      <c r="AZ805" s="62">
        <v>1.053740779768177E-3</v>
      </c>
      <c r="BA805" s="62">
        <v>6.3224446786090622E-3</v>
      </c>
      <c r="BB805" s="77">
        <v>97.182492545635299</v>
      </c>
      <c r="BC805" s="49">
        <v>0.94836670179135896</v>
      </c>
      <c r="BD805" s="90" t="s">
        <v>83</v>
      </c>
      <c r="BE805" s="90" t="s">
        <v>83</v>
      </c>
      <c r="BF805" s="87">
        <v>0.4</v>
      </c>
      <c r="BG805" s="87">
        <v>0.8</v>
      </c>
      <c r="BH805" s="87">
        <v>0</v>
      </c>
      <c r="BI805" s="87">
        <v>0</v>
      </c>
      <c r="BJ805" s="49">
        <v>28.8</v>
      </c>
      <c r="BK805" s="129">
        <v>11978</v>
      </c>
      <c r="BL805" s="129">
        <v>58784</v>
      </c>
      <c r="BM805" s="129">
        <v>98193</v>
      </c>
      <c r="BN805" s="129">
        <v>59020</v>
      </c>
      <c r="BO805" s="59">
        <v>0</v>
      </c>
      <c r="BP805" s="59">
        <v>0.1206</v>
      </c>
      <c r="BQ805" s="59">
        <v>0.38529999999999998</v>
      </c>
      <c r="BR805" s="59">
        <v>0</v>
      </c>
      <c r="BS805" s="59">
        <v>7.9299999999999995E-2</v>
      </c>
      <c r="BT805" s="49">
        <v>16.8</v>
      </c>
      <c r="BU805" s="59">
        <f t="shared" si="60"/>
        <v>0.58520000000000005</v>
      </c>
      <c r="BV805" s="59">
        <v>0</v>
      </c>
      <c r="BW805" s="59">
        <v>1.77E-2</v>
      </c>
      <c r="BX805" s="59">
        <v>3.5400000000000001E-2</v>
      </c>
      <c r="BY805" s="59">
        <v>0</v>
      </c>
      <c r="BZ805" s="59">
        <v>1.18E-2</v>
      </c>
      <c r="CA805" s="49">
        <v>18.2</v>
      </c>
      <c r="CB805" s="59">
        <f t="shared" si="61"/>
        <v>6.4899999999999999E-2</v>
      </c>
      <c r="CC805" s="59">
        <v>0.11119999999999999</v>
      </c>
      <c r="CD805" s="59">
        <v>0.23569999999999999</v>
      </c>
      <c r="CE805" s="59">
        <v>0.55479999999999996</v>
      </c>
      <c r="CF805" s="59">
        <v>0</v>
      </c>
      <c r="CG805" s="59">
        <v>9.8199999999999996E-2</v>
      </c>
      <c r="CH805" s="49">
        <v>14.5</v>
      </c>
      <c r="CI805" s="26" t="s">
        <v>280</v>
      </c>
      <c r="CJ805" s="18" t="s">
        <v>489</v>
      </c>
      <c r="CK805" s="20"/>
    </row>
    <row r="806" spans="1:89" x14ac:dyDescent="0.25">
      <c r="A806" s="18" t="s">
        <v>489</v>
      </c>
      <c r="B806" s="19" t="s">
        <v>278</v>
      </c>
      <c r="C806" s="26" t="s">
        <v>281</v>
      </c>
      <c r="D806" s="6">
        <v>20</v>
      </c>
      <c r="E806" s="40" t="s">
        <v>83</v>
      </c>
      <c r="F806" s="6">
        <v>20</v>
      </c>
      <c r="G806" s="162" t="s">
        <v>83</v>
      </c>
      <c r="H806" s="162" t="s">
        <v>83</v>
      </c>
      <c r="I806" s="162" t="s">
        <v>83</v>
      </c>
      <c r="J806" s="166">
        <v>9</v>
      </c>
      <c r="K806" s="166">
        <v>3</v>
      </c>
      <c r="L806" s="166">
        <v>7</v>
      </c>
      <c r="M806" s="166">
        <v>1</v>
      </c>
      <c r="N806" s="119">
        <v>1.7406440382941701E-2</v>
      </c>
      <c r="O806" s="119">
        <v>1.7406440382941701E-2</v>
      </c>
      <c r="P806" s="116" t="s">
        <v>83</v>
      </c>
      <c r="Q806" s="116" t="s">
        <v>83</v>
      </c>
      <c r="R806" s="116" t="s">
        <v>83</v>
      </c>
      <c r="S806" s="119">
        <v>2.9605263157894701E-2</v>
      </c>
      <c r="T806" s="119">
        <v>1.02389078498294E-2</v>
      </c>
      <c r="U806" s="119">
        <v>2.4647887323943699E-2</v>
      </c>
      <c r="V806" s="119">
        <v>3.7313432835820899E-3</v>
      </c>
      <c r="W806" s="6">
        <v>1098</v>
      </c>
      <c r="X806" s="40">
        <f t="shared" si="58"/>
        <v>1098</v>
      </c>
      <c r="Y806" s="40">
        <f t="shared" si="59"/>
        <v>1098</v>
      </c>
      <c r="Z806" s="59">
        <v>0.49730000000000002</v>
      </c>
      <c r="AA806" s="59">
        <v>0.50270000000000004</v>
      </c>
      <c r="AB806" s="61">
        <v>3.6429872495446266E-3</v>
      </c>
      <c r="AC806" s="61">
        <v>1.6393442622950821E-2</v>
      </c>
      <c r="AD806" s="61">
        <v>0.93806921675774135</v>
      </c>
      <c r="AE806" s="61">
        <v>1.7304189435336976E-2</v>
      </c>
      <c r="AF806" s="61">
        <v>0</v>
      </c>
      <c r="AG806" s="61">
        <v>1.1839708561020037E-2</v>
      </c>
      <c r="AH806" s="61">
        <v>1.2750455373406194E-2</v>
      </c>
      <c r="AI806" s="61">
        <v>0.98816029143897999</v>
      </c>
      <c r="AJ806" s="59">
        <v>0.80700000000000005</v>
      </c>
      <c r="AK806" s="59">
        <v>1.18E-2</v>
      </c>
      <c r="AL806" s="3">
        <v>0</v>
      </c>
      <c r="AM806" s="3">
        <v>0</v>
      </c>
      <c r="AN806" s="3">
        <v>0</v>
      </c>
      <c r="AO806" s="3">
        <v>277</v>
      </c>
      <c r="AP806" s="3">
        <v>285</v>
      </c>
      <c r="AQ806" s="3">
        <v>275</v>
      </c>
      <c r="AR806" s="3">
        <v>261</v>
      </c>
      <c r="AS806" s="59">
        <v>0</v>
      </c>
      <c r="AT806" s="3">
        <v>9</v>
      </c>
      <c r="AU806" s="3">
        <v>3</v>
      </c>
      <c r="AV806" s="49">
        <v>34.401709401709404</v>
      </c>
      <c r="AW806" s="49">
        <v>26.068376068376097</v>
      </c>
      <c r="AX806" s="49">
        <v>39.316239316239297</v>
      </c>
      <c r="AY806" s="67">
        <v>0.213675213675214</v>
      </c>
      <c r="AZ806" s="62">
        <v>0</v>
      </c>
      <c r="BA806" s="62">
        <v>0.13199300699300701</v>
      </c>
      <c r="BB806" s="78">
        <v>94.387878592290207</v>
      </c>
      <c r="BC806" s="49">
        <v>7.6721883173496099</v>
      </c>
      <c r="BD806" s="90" t="s">
        <v>83</v>
      </c>
      <c r="BE806" s="90" t="s">
        <v>83</v>
      </c>
      <c r="BF806" s="87">
        <v>5.7</v>
      </c>
      <c r="BG806" s="87">
        <v>2.6</v>
      </c>
      <c r="BH806" s="87">
        <v>1.1000000000000001</v>
      </c>
      <c r="BI806" s="87">
        <v>0.8</v>
      </c>
      <c r="BJ806" s="49">
        <v>18.3</v>
      </c>
      <c r="BK806" s="129">
        <v>12509</v>
      </c>
      <c r="BL806" s="129">
        <v>54435</v>
      </c>
      <c r="BM806" s="129">
        <v>60027</v>
      </c>
      <c r="BN806" s="129">
        <v>53163</v>
      </c>
      <c r="BO806" s="59">
        <v>0</v>
      </c>
      <c r="BP806" s="59">
        <v>0.36330000000000001</v>
      </c>
      <c r="BQ806" s="59">
        <v>0.18379999999999999</v>
      </c>
      <c r="BR806" s="59">
        <v>0</v>
      </c>
      <c r="BS806" s="59">
        <v>8.8000000000000005E-3</v>
      </c>
      <c r="BT806" s="49">
        <v>8.1999999999999993</v>
      </c>
      <c r="BU806" s="59">
        <f t="shared" si="60"/>
        <v>0.55590000000000006</v>
      </c>
      <c r="BV806" s="59">
        <v>2.23E-2</v>
      </c>
      <c r="BW806" s="59">
        <v>7.0400000000000004E-2</v>
      </c>
      <c r="BX806" s="59">
        <v>3.5200000000000002E-2</v>
      </c>
      <c r="BY806" s="59">
        <v>0</v>
      </c>
      <c r="BZ806" s="59">
        <v>0</v>
      </c>
      <c r="CA806" s="49">
        <v>17.100000000000001</v>
      </c>
      <c r="CB806" s="59">
        <f t="shared" si="61"/>
        <v>0.12790000000000001</v>
      </c>
      <c r="CC806" s="59">
        <v>0.1278</v>
      </c>
      <c r="CD806" s="59">
        <v>0.56530000000000002</v>
      </c>
      <c r="CE806" s="59">
        <v>0.2893</v>
      </c>
      <c r="CF806" s="59">
        <v>0</v>
      </c>
      <c r="CG806" s="59">
        <v>1.7600000000000001E-2</v>
      </c>
      <c r="CH806" s="49">
        <v>10.6</v>
      </c>
      <c r="CI806" s="26" t="s">
        <v>281</v>
      </c>
      <c r="CJ806" s="18" t="s">
        <v>489</v>
      </c>
      <c r="CK806" s="20"/>
    </row>
    <row r="807" spans="1:89" x14ac:dyDescent="0.25">
      <c r="A807" s="18" t="s">
        <v>489</v>
      </c>
      <c r="B807" s="19" t="s">
        <v>278</v>
      </c>
      <c r="C807" s="26" t="s">
        <v>282</v>
      </c>
      <c r="D807" s="6">
        <v>0</v>
      </c>
      <c r="E807" s="6">
        <v>0</v>
      </c>
      <c r="F807" s="6">
        <v>0</v>
      </c>
      <c r="G807" s="163">
        <v>0</v>
      </c>
      <c r="H807" s="163">
        <v>0</v>
      </c>
      <c r="I807" s="162" t="s">
        <v>83</v>
      </c>
      <c r="J807" s="163">
        <v>0</v>
      </c>
      <c r="K807" s="163">
        <v>0</v>
      </c>
      <c r="L807" s="163">
        <v>0</v>
      </c>
      <c r="M807" s="163">
        <v>0</v>
      </c>
      <c r="N807" s="115">
        <v>0</v>
      </c>
      <c r="O807" s="115">
        <v>0</v>
      </c>
      <c r="P807" s="115">
        <v>0</v>
      </c>
      <c r="Q807" s="115">
        <v>0</v>
      </c>
      <c r="R807" s="116" t="s">
        <v>83</v>
      </c>
      <c r="S807" s="115">
        <v>0</v>
      </c>
      <c r="T807" s="115">
        <v>0</v>
      </c>
      <c r="U807" s="115">
        <v>0</v>
      </c>
      <c r="V807" s="115">
        <v>0</v>
      </c>
      <c r="W807" s="6">
        <v>1740</v>
      </c>
      <c r="X807" s="40">
        <f t="shared" si="58"/>
        <v>571</v>
      </c>
      <c r="Y807" s="40">
        <f t="shared" si="59"/>
        <v>914</v>
      </c>
      <c r="Z807" s="59">
        <v>0.52529999999999999</v>
      </c>
      <c r="AA807" s="59">
        <v>0.47470000000000001</v>
      </c>
      <c r="AB807" s="61">
        <v>1.1494252873563218E-3</v>
      </c>
      <c r="AC807" s="61">
        <v>3.5632183908045977E-2</v>
      </c>
      <c r="AD807" s="61">
        <v>0.26091954022988506</v>
      </c>
      <c r="AE807" s="61">
        <v>7.988505747126437E-2</v>
      </c>
      <c r="AF807" s="61">
        <v>1.1494252873563218E-3</v>
      </c>
      <c r="AG807" s="61">
        <v>0.55804597701149428</v>
      </c>
      <c r="AH807" s="61">
        <v>6.3218390804597707E-2</v>
      </c>
      <c r="AI807" s="61">
        <v>0.44195402298850572</v>
      </c>
      <c r="AJ807" s="59">
        <v>0.20300000000000001</v>
      </c>
      <c r="AK807" s="59">
        <v>1.49E-2</v>
      </c>
      <c r="AL807" s="3">
        <v>155</v>
      </c>
      <c r="AM807" s="3">
        <v>188</v>
      </c>
      <c r="AN807" s="3">
        <v>0</v>
      </c>
      <c r="AO807" s="3">
        <v>159</v>
      </c>
      <c r="AP807" s="3">
        <v>159</v>
      </c>
      <c r="AQ807" s="3">
        <v>136</v>
      </c>
      <c r="AR807" s="3">
        <v>117</v>
      </c>
      <c r="AS807" s="59">
        <v>0</v>
      </c>
      <c r="AT807" s="3">
        <v>1</v>
      </c>
      <c r="AU807" s="3">
        <v>3</v>
      </c>
      <c r="AV807" s="49">
        <v>70.637785800240707</v>
      </c>
      <c r="AW807" s="49">
        <v>22.382671480144399</v>
      </c>
      <c r="AX807" s="49">
        <v>6.1371841155234703</v>
      </c>
      <c r="AY807" s="67">
        <v>0.84235860409145602</v>
      </c>
      <c r="AZ807" s="62">
        <v>3.4364261168384879E-3</v>
      </c>
      <c r="BA807" s="62">
        <v>5.6128293241695305E-2</v>
      </c>
      <c r="BB807" s="77">
        <v>96.994638060388695</v>
      </c>
      <c r="BC807" s="49"/>
      <c r="BD807" s="87">
        <v>0</v>
      </c>
      <c r="BE807" s="87">
        <v>0</v>
      </c>
      <c r="BF807" s="87">
        <v>0</v>
      </c>
      <c r="BG807" s="87">
        <v>0.7</v>
      </c>
      <c r="BH807" s="87">
        <v>0</v>
      </c>
      <c r="BI807" s="87">
        <v>0</v>
      </c>
      <c r="BJ807" s="49">
        <v>26.9</v>
      </c>
      <c r="BK807" s="129">
        <v>12211</v>
      </c>
      <c r="BL807" s="129">
        <v>50243</v>
      </c>
      <c r="BM807" s="129">
        <v>71881</v>
      </c>
      <c r="BN807" s="129">
        <v>50126</v>
      </c>
      <c r="BO807" s="59">
        <v>0</v>
      </c>
      <c r="BP807" s="59">
        <v>0.27</v>
      </c>
      <c r="BQ807" s="59">
        <v>0.318</v>
      </c>
      <c r="BR807" s="59">
        <v>5.4999999999999997E-3</v>
      </c>
      <c r="BS807" s="59">
        <v>3.2800000000000003E-2</v>
      </c>
      <c r="BT807" s="49">
        <v>12.2</v>
      </c>
      <c r="BU807" s="59">
        <f t="shared" si="60"/>
        <v>0.62630000000000008</v>
      </c>
      <c r="BV807" s="59">
        <v>0</v>
      </c>
      <c r="BW807" s="59">
        <v>2.3099999999999999E-2</v>
      </c>
      <c r="BX807" s="59">
        <v>5.45E-2</v>
      </c>
      <c r="BY807" s="59">
        <v>0</v>
      </c>
      <c r="BZ807" s="59">
        <v>0</v>
      </c>
      <c r="CA807" s="49">
        <v>21.8</v>
      </c>
      <c r="CB807" s="59">
        <f t="shared" si="61"/>
        <v>7.7600000000000002E-2</v>
      </c>
      <c r="CC807" s="59">
        <v>9.2700000000000005E-2</v>
      </c>
      <c r="CD807" s="59">
        <v>0.39069999999999999</v>
      </c>
      <c r="CE807" s="59">
        <v>0.47839999999999999</v>
      </c>
      <c r="CF807" s="59">
        <v>5.4999999999999997E-3</v>
      </c>
      <c r="CG807" s="59">
        <v>3.2800000000000003E-2</v>
      </c>
      <c r="CH807" s="49">
        <v>12.5</v>
      </c>
      <c r="CI807" s="26" t="s">
        <v>282</v>
      </c>
      <c r="CJ807" s="18" t="s">
        <v>489</v>
      </c>
      <c r="CK807" s="20"/>
    </row>
    <row r="808" spans="1:89" x14ac:dyDescent="0.25">
      <c r="A808" s="18" t="s">
        <v>489</v>
      </c>
      <c r="B808" s="19" t="s">
        <v>278</v>
      </c>
      <c r="C808" s="26" t="s">
        <v>283</v>
      </c>
      <c r="D808" s="6">
        <v>39</v>
      </c>
      <c r="E808" s="40" t="s">
        <v>83</v>
      </c>
      <c r="F808" s="6">
        <v>39</v>
      </c>
      <c r="G808" s="162" t="s">
        <v>83</v>
      </c>
      <c r="H808" s="162" t="s">
        <v>83</v>
      </c>
      <c r="I808" s="162" t="s">
        <v>83</v>
      </c>
      <c r="J808" s="166">
        <v>8</v>
      </c>
      <c r="K808" s="166">
        <v>10</v>
      </c>
      <c r="L808" s="166">
        <v>7</v>
      </c>
      <c r="M808" s="166">
        <v>14</v>
      </c>
      <c r="N808" s="119">
        <v>4.0837696335078499E-2</v>
      </c>
      <c r="O808" s="119">
        <v>4.0837696335078499E-2</v>
      </c>
      <c r="P808" s="116" t="s">
        <v>83</v>
      </c>
      <c r="Q808" s="116" t="s">
        <v>83</v>
      </c>
      <c r="R808" s="116" t="s">
        <v>83</v>
      </c>
      <c r="S808" s="119">
        <v>4.7904191616766498E-2</v>
      </c>
      <c r="T808" s="119">
        <v>3.32225913621262E-2</v>
      </c>
      <c r="U808" s="119">
        <v>2.3489932885905999E-2</v>
      </c>
      <c r="V808" s="119">
        <v>7.4074074074074098E-2</v>
      </c>
      <c r="W808" s="6">
        <v>842</v>
      </c>
      <c r="X808" s="40">
        <f t="shared" si="58"/>
        <v>842</v>
      </c>
      <c r="Y808" s="40">
        <f t="shared" si="59"/>
        <v>842</v>
      </c>
      <c r="Z808" s="59">
        <v>0.46079999999999999</v>
      </c>
      <c r="AA808" s="59">
        <v>0.53920000000000001</v>
      </c>
      <c r="AB808" s="61">
        <v>0</v>
      </c>
      <c r="AC808" s="61">
        <v>2.3752969121140144E-3</v>
      </c>
      <c r="AD808" s="61">
        <v>0.99168646080760092</v>
      </c>
      <c r="AE808" s="61">
        <v>4.7505938242280287E-3</v>
      </c>
      <c r="AF808" s="61">
        <v>0</v>
      </c>
      <c r="AG808" s="61">
        <v>1.1876484560570072E-3</v>
      </c>
      <c r="AH808" s="61">
        <v>0</v>
      </c>
      <c r="AI808" s="61">
        <v>0.99881235154394299</v>
      </c>
      <c r="AJ808" s="59">
        <v>0.93200000000000005</v>
      </c>
      <c r="AK808" s="59">
        <v>5.8999999999999999E-3</v>
      </c>
      <c r="AL808" s="3">
        <v>0</v>
      </c>
      <c r="AM808" s="3">
        <v>0</v>
      </c>
      <c r="AN808" s="3">
        <v>0</v>
      </c>
      <c r="AO808" s="3">
        <v>133</v>
      </c>
      <c r="AP808" s="3">
        <v>264</v>
      </c>
      <c r="AQ808" s="3">
        <v>278</v>
      </c>
      <c r="AR808" s="3">
        <v>167</v>
      </c>
      <c r="AS808" s="59">
        <v>0</v>
      </c>
      <c r="AT808" s="3">
        <v>9</v>
      </c>
      <c r="AU808" s="3">
        <v>3</v>
      </c>
      <c r="AV808" s="49">
        <v>49.329758713136698</v>
      </c>
      <c r="AW808" s="49">
        <v>30.563002680965102</v>
      </c>
      <c r="AX808" s="49">
        <v>17.426273458444999</v>
      </c>
      <c r="AY808" s="67">
        <v>2.68096514745308</v>
      </c>
      <c r="AZ808" s="62">
        <v>4.2417815482502655E-3</v>
      </c>
      <c r="BA808" s="62">
        <v>0.29374337221633084</v>
      </c>
      <c r="BB808" s="78">
        <v>88.346671037347903</v>
      </c>
      <c r="BC808" s="49"/>
      <c r="BD808" s="90" t="s">
        <v>83</v>
      </c>
      <c r="BE808" s="90" t="s">
        <v>83</v>
      </c>
      <c r="BF808" s="87">
        <v>2</v>
      </c>
      <c r="BG808" s="87">
        <v>1.6</v>
      </c>
      <c r="BH808" s="87">
        <v>1.6</v>
      </c>
      <c r="BI808" s="87">
        <v>1.7</v>
      </c>
      <c r="BJ808" s="49">
        <v>16.5</v>
      </c>
      <c r="BK808" s="129">
        <v>11651</v>
      </c>
      <c r="BL808" s="129">
        <v>49418</v>
      </c>
      <c r="BM808" s="129">
        <v>52729</v>
      </c>
      <c r="BN808" s="129">
        <v>42755</v>
      </c>
      <c r="BO808" s="59">
        <v>2.0799999999999999E-2</v>
      </c>
      <c r="BP808" s="59">
        <v>0.2767</v>
      </c>
      <c r="BQ808" s="59">
        <v>0.26469999999999999</v>
      </c>
      <c r="BR808" s="59">
        <v>0</v>
      </c>
      <c r="BS808" s="59">
        <v>1.0500000000000001E-2</v>
      </c>
      <c r="BT808" s="49">
        <v>14.8</v>
      </c>
      <c r="BU808" s="59">
        <f t="shared" si="60"/>
        <v>0.57269999999999999</v>
      </c>
      <c r="BV808" s="59">
        <v>2.1000000000000001E-2</v>
      </c>
      <c r="BW808" s="59">
        <v>1.95E-2</v>
      </c>
      <c r="BX808" s="59">
        <v>2.0199999999999999E-2</v>
      </c>
      <c r="BY808" s="59">
        <v>0</v>
      </c>
      <c r="BZ808" s="59">
        <v>9.5999999999999992E-3</v>
      </c>
      <c r="CA808" s="49">
        <v>9.1</v>
      </c>
      <c r="CB808" s="59">
        <f t="shared" si="61"/>
        <v>7.0300000000000001E-2</v>
      </c>
      <c r="CC808" s="59">
        <v>0.28320000000000001</v>
      </c>
      <c r="CD808" s="59">
        <v>0.3488</v>
      </c>
      <c r="CE808" s="59">
        <v>0.32690000000000002</v>
      </c>
      <c r="CF808" s="59">
        <v>1.0500000000000001E-2</v>
      </c>
      <c r="CG808" s="59">
        <v>3.0599999999999999E-2</v>
      </c>
      <c r="CH808" s="49">
        <v>11.9</v>
      </c>
      <c r="CI808" s="26" t="s">
        <v>283</v>
      </c>
      <c r="CJ808" s="18" t="s">
        <v>489</v>
      </c>
      <c r="CK808" s="20"/>
    </row>
    <row r="809" spans="1:89" x14ac:dyDescent="0.25">
      <c r="A809" s="18" t="s">
        <v>489</v>
      </c>
      <c r="B809" s="19" t="s">
        <v>278</v>
      </c>
      <c r="C809" s="26" t="s">
        <v>284</v>
      </c>
      <c r="D809" s="6">
        <v>31</v>
      </c>
      <c r="E809" s="6">
        <v>3</v>
      </c>
      <c r="F809" s="6">
        <v>28</v>
      </c>
      <c r="G809" s="163">
        <v>0</v>
      </c>
      <c r="H809" s="166">
        <v>3</v>
      </c>
      <c r="I809" s="162" t="s">
        <v>83</v>
      </c>
      <c r="J809" s="166">
        <v>11</v>
      </c>
      <c r="K809" s="166">
        <v>7</v>
      </c>
      <c r="L809" s="166">
        <v>5</v>
      </c>
      <c r="M809" s="166">
        <v>5</v>
      </c>
      <c r="N809" s="119">
        <v>3.4521158129175902E-2</v>
      </c>
      <c r="O809" s="119">
        <v>3.8043478260869602E-2</v>
      </c>
      <c r="P809" s="115">
        <v>0</v>
      </c>
      <c r="Q809" s="119">
        <v>2.8571428571428598E-2</v>
      </c>
      <c r="R809" s="116" t="s">
        <v>83</v>
      </c>
      <c r="S809" s="119">
        <v>5.5837563451776699E-2</v>
      </c>
      <c r="T809" s="119">
        <v>3.8043478260869602E-2</v>
      </c>
      <c r="U809" s="119">
        <v>2.7932960893854698E-2</v>
      </c>
      <c r="V809" s="119">
        <v>2.8409090909090901E-2</v>
      </c>
      <c r="W809" s="6">
        <v>851</v>
      </c>
      <c r="X809" s="40">
        <f t="shared" si="58"/>
        <v>695</v>
      </c>
      <c r="Y809" s="40">
        <f t="shared" si="59"/>
        <v>851</v>
      </c>
      <c r="Z809" s="59">
        <v>0.58750000000000002</v>
      </c>
      <c r="AA809" s="59">
        <v>0.41249999999999998</v>
      </c>
      <c r="AB809" s="61">
        <v>0</v>
      </c>
      <c r="AC809" s="61">
        <v>2.4676850763807285E-2</v>
      </c>
      <c r="AD809" s="61">
        <v>0.95064629847238546</v>
      </c>
      <c r="AE809" s="61">
        <v>2.1151586368977675E-2</v>
      </c>
      <c r="AF809" s="61">
        <v>0</v>
      </c>
      <c r="AG809" s="61">
        <v>3.5252643948296123E-3</v>
      </c>
      <c r="AH809" s="61">
        <v>0</v>
      </c>
      <c r="AI809" s="61">
        <v>0.99647473560517041</v>
      </c>
      <c r="AJ809" s="59">
        <v>0.89</v>
      </c>
      <c r="AK809" s="59">
        <v>0.02</v>
      </c>
      <c r="AL809" s="3">
        <v>54</v>
      </c>
      <c r="AM809" s="3">
        <v>102</v>
      </c>
      <c r="AN809" s="3">
        <v>0</v>
      </c>
      <c r="AO809" s="3">
        <v>188</v>
      </c>
      <c r="AP809" s="3">
        <v>169</v>
      </c>
      <c r="AQ809" s="3">
        <v>163</v>
      </c>
      <c r="AR809" s="3">
        <v>175</v>
      </c>
      <c r="AS809" s="59">
        <v>0</v>
      </c>
      <c r="AT809" s="3">
        <v>7</v>
      </c>
      <c r="AU809" s="3">
        <v>3</v>
      </c>
      <c r="AV809" s="49">
        <v>45.9317585301837</v>
      </c>
      <c r="AW809" s="49">
        <v>16.272965879265101</v>
      </c>
      <c r="AX809" s="49">
        <v>27.0341207349081</v>
      </c>
      <c r="AY809" s="67">
        <v>10.761154855642999</v>
      </c>
      <c r="AZ809" s="62">
        <v>8.866442199775533E-2</v>
      </c>
      <c r="BA809" s="62">
        <v>0.2772166105499439</v>
      </c>
      <c r="BB809" s="77">
        <v>93.228874404684802</v>
      </c>
      <c r="BC809" s="49">
        <v>8.4257206208425703</v>
      </c>
      <c r="BD809" s="87">
        <v>0</v>
      </c>
      <c r="BE809" s="87">
        <v>1</v>
      </c>
      <c r="BF809" s="87">
        <v>0.6</v>
      </c>
      <c r="BG809" s="87">
        <v>1.3</v>
      </c>
      <c r="BH809" s="87">
        <v>0</v>
      </c>
      <c r="BI809" s="87">
        <v>5.8</v>
      </c>
      <c r="BJ809" s="49">
        <v>18.2</v>
      </c>
      <c r="BK809" s="129">
        <v>12062</v>
      </c>
      <c r="BL809" s="129">
        <v>49512</v>
      </c>
      <c r="BM809" s="129">
        <v>54840</v>
      </c>
      <c r="BN809" s="129">
        <v>45533</v>
      </c>
      <c r="BO809" s="59">
        <v>1.0800000000000001E-2</v>
      </c>
      <c r="BP809" s="59">
        <v>0.27479999999999999</v>
      </c>
      <c r="BQ809" s="59">
        <v>0.27379999999999999</v>
      </c>
      <c r="BR809" s="59">
        <v>0</v>
      </c>
      <c r="BS809" s="59">
        <v>1.06E-2</v>
      </c>
      <c r="BT809" s="49">
        <v>13.2</v>
      </c>
      <c r="BU809" s="59">
        <f t="shared" si="60"/>
        <v>0.56999999999999995</v>
      </c>
      <c r="BV809" s="59">
        <v>3.2399999999999998E-2</v>
      </c>
      <c r="BW809" s="59">
        <v>2.5100000000000001E-2</v>
      </c>
      <c r="BX809" s="59">
        <v>2.1600000000000001E-2</v>
      </c>
      <c r="BY809" s="59">
        <v>1.0500000000000001E-2</v>
      </c>
      <c r="BZ809" s="59">
        <v>6.0000000000000001E-3</v>
      </c>
      <c r="CA809" s="49">
        <v>11.1</v>
      </c>
      <c r="CB809" s="59">
        <f t="shared" si="61"/>
        <v>9.5600000000000004E-2</v>
      </c>
      <c r="CC809" s="59">
        <v>0.20380000000000001</v>
      </c>
      <c r="CD809" s="59">
        <v>0.36420000000000002</v>
      </c>
      <c r="CE809" s="59">
        <v>0.39410000000000001</v>
      </c>
      <c r="CF809" s="59">
        <v>2.1299999999999999E-2</v>
      </c>
      <c r="CG809" s="59">
        <v>1.66E-2</v>
      </c>
      <c r="CH809" s="49">
        <v>12.5</v>
      </c>
      <c r="CI809" s="26" t="s">
        <v>284</v>
      </c>
      <c r="CJ809" s="18" t="s">
        <v>489</v>
      </c>
      <c r="CK809" s="20"/>
    </row>
    <row r="810" spans="1:89" x14ac:dyDescent="0.25">
      <c r="A810" s="18" t="s">
        <v>489</v>
      </c>
      <c r="B810" s="19" t="s">
        <v>278</v>
      </c>
      <c r="C810" s="26" t="s">
        <v>285</v>
      </c>
      <c r="D810" s="6">
        <v>12</v>
      </c>
      <c r="E810" s="40" t="s">
        <v>83</v>
      </c>
      <c r="F810" s="6">
        <v>12</v>
      </c>
      <c r="G810" s="162" t="s">
        <v>83</v>
      </c>
      <c r="H810" s="162" t="s">
        <v>83</v>
      </c>
      <c r="I810" s="163">
        <v>0</v>
      </c>
      <c r="J810" s="166">
        <v>5</v>
      </c>
      <c r="K810" s="166">
        <v>4</v>
      </c>
      <c r="L810" s="166">
        <v>1</v>
      </c>
      <c r="M810" s="166">
        <v>2</v>
      </c>
      <c r="N810" s="119">
        <v>2.4691358024691398E-2</v>
      </c>
      <c r="O810" s="119">
        <v>2.4691358024691398E-2</v>
      </c>
      <c r="P810" s="116" t="s">
        <v>83</v>
      </c>
      <c r="Q810" s="116" t="s">
        <v>83</v>
      </c>
      <c r="R810" s="115">
        <v>0</v>
      </c>
      <c r="S810" s="119">
        <v>3.54609929078014E-2</v>
      </c>
      <c r="T810" s="119">
        <v>3.1746031746031703E-2</v>
      </c>
      <c r="U810" s="119">
        <v>8.9285714285714298E-3</v>
      </c>
      <c r="V810" s="119">
        <v>1.9607843137254902E-2</v>
      </c>
      <c r="W810" s="6">
        <v>454</v>
      </c>
      <c r="X810" s="40">
        <f t="shared" si="58"/>
        <v>454</v>
      </c>
      <c r="Y810" s="40">
        <f t="shared" si="59"/>
        <v>454</v>
      </c>
      <c r="Z810" s="59">
        <v>0.51980000000000004</v>
      </c>
      <c r="AA810" s="59">
        <v>0.48020000000000002</v>
      </c>
      <c r="AB810" s="61">
        <v>4.4052863436123352E-3</v>
      </c>
      <c r="AC810" s="61">
        <v>1.7621145374449341E-2</v>
      </c>
      <c r="AD810" s="61">
        <v>0.82819383259911894</v>
      </c>
      <c r="AE810" s="61">
        <v>4.405286343612335E-2</v>
      </c>
      <c r="AF810" s="61">
        <v>0</v>
      </c>
      <c r="AG810" s="61">
        <v>7.7092511013215861E-2</v>
      </c>
      <c r="AH810" s="61">
        <v>2.8634361233480177E-2</v>
      </c>
      <c r="AI810" s="61">
        <v>0.9229074889867841</v>
      </c>
      <c r="AJ810" s="59">
        <v>0.75800000000000001</v>
      </c>
      <c r="AK810" s="59">
        <v>6.6E-3</v>
      </c>
      <c r="AL810" s="3">
        <v>0</v>
      </c>
      <c r="AM810" s="3">
        <v>0</v>
      </c>
      <c r="AN810" s="3">
        <v>5</v>
      </c>
      <c r="AO810" s="3">
        <v>132</v>
      </c>
      <c r="AP810" s="3">
        <v>109</v>
      </c>
      <c r="AQ810" s="3">
        <v>107</v>
      </c>
      <c r="AR810" s="3">
        <v>101</v>
      </c>
      <c r="AS810" s="59">
        <v>3.6496350364963501E-2</v>
      </c>
      <c r="AT810" s="3">
        <v>9</v>
      </c>
      <c r="AU810" s="3">
        <v>3</v>
      </c>
      <c r="AV810" s="49">
        <v>59.778597785977908</v>
      </c>
      <c r="AW810" s="49">
        <v>30.6273062730627</v>
      </c>
      <c r="AX810" s="49">
        <v>8.1180811808118101</v>
      </c>
      <c r="AY810" s="67">
        <v>1.4760147601476001</v>
      </c>
      <c r="AZ810" s="62">
        <v>0.13900414937759337</v>
      </c>
      <c r="BA810" s="62">
        <v>0.14522821576763487</v>
      </c>
      <c r="BB810" s="77">
        <v>95.3629679058606</v>
      </c>
      <c r="BC810" s="49">
        <v>8.9463220675944299</v>
      </c>
      <c r="BD810" s="90" t="s">
        <v>83</v>
      </c>
      <c r="BE810" s="90" t="s">
        <v>83</v>
      </c>
      <c r="BF810" s="87">
        <v>4.3</v>
      </c>
      <c r="BG810" s="87">
        <v>4.3</v>
      </c>
      <c r="BH810" s="87">
        <v>5.4</v>
      </c>
      <c r="BI810" s="87">
        <v>1</v>
      </c>
      <c r="BJ810" s="49">
        <v>20</v>
      </c>
      <c r="BK810" s="129">
        <v>14359</v>
      </c>
      <c r="BL810" s="129">
        <v>49199</v>
      </c>
      <c r="BM810" s="129">
        <v>56750</v>
      </c>
      <c r="BN810" s="129">
        <v>47061</v>
      </c>
      <c r="BO810" s="59">
        <v>1.4500000000000001E-2</v>
      </c>
      <c r="BP810" s="59">
        <v>0.34129999999999999</v>
      </c>
      <c r="BQ810" s="59">
        <v>0.1988</v>
      </c>
      <c r="BR810" s="59">
        <v>0</v>
      </c>
      <c r="BS810" s="59">
        <v>1.4500000000000001E-2</v>
      </c>
      <c r="BT810" s="49">
        <v>7.4</v>
      </c>
      <c r="BU810" s="59">
        <f t="shared" si="60"/>
        <v>0.56909999999999994</v>
      </c>
      <c r="BV810" s="59">
        <v>1.49E-2</v>
      </c>
      <c r="BW810" s="59">
        <v>0</v>
      </c>
      <c r="BX810" s="59">
        <v>1.49E-2</v>
      </c>
      <c r="BY810" s="59">
        <v>0</v>
      </c>
      <c r="BZ810" s="59">
        <v>0</v>
      </c>
      <c r="CA810" s="49">
        <v>7</v>
      </c>
      <c r="CB810" s="59">
        <f t="shared" si="61"/>
        <v>2.98E-2</v>
      </c>
      <c r="CC810" s="59">
        <v>0.1837</v>
      </c>
      <c r="CD810" s="59">
        <v>0.47489999999999999</v>
      </c>
      <c r="CE810" s="59">
        <v>0.31209999999999999</v>
      </c>
      <c r="CF810" s="59">
        <v>0</v>
      </c>
      <c r="CG810" s="59">
        <v>2.93E-2</v>
      </c>
      <c r="CH810" s="49">
        <v>8.6999999999999993</v>
      </c>
      <c r="CI810" s="26" t="s">
        <v>285</v>
      </c>
      <c r="CJ810" s="18" t="s">
        <v>489</v>
      </c>
      <c r="CK810" s="20"/>
    </row>
    <row r="811" spans="1:89" x14ac:dyDescent="0.25">
      <c r="A811" s="18" t="s">
        <v>489</v>
      </c>
      <c r="B811" s="19" t="s">
        <v>278</v>
      </c>
      <c r="C811" s="26" t="s">
        <v>495</v>
      </c>
      <c r="D811" s="6">
        <v>5</v>
      </c>
      <c r="E811" s="40" t="s">
        <v>83</v>
      </c>
      <c r="F811" s="6">
        <v>5</v>
      </c>
      <c r="G811" s="162" t="s">
        <v>83</v>
      </c>
      <c r="H811" s="162" t="s">
        <v>83</v>
      </c>
      <c r="I811" s="162" t="s">
        <v>83</v>
      </c>
      <c r="J811" s="166">
        <v>5</v>
      </c>
      <c r="K811" s="162" t="s">
        <v>83</v>
      </c>
      <c r="L811" s="162" t="s">
        <v>83</v>
      </c>
      <c r="M811" s="162" t="s">
        <v>83</v>
      </c>
      <c r="N811" s="119">
        <v>5.5555555555555601E-2</v>
      </c>
      <c r="O811" s="119">
        <v>5.5555555555555601E-2</v>
      </c>
      <c r="P811" s="116" t="s">
        <v>83</v>
      </c>
      <c r="Q811" s="116" t="s">
        <v>83</v>
      </c>
      <c r="R811" s="116" t="s">
        <v>83</v>
      </c>
      <c r="S811" s="119">
        <v>5.5555555555555601E-2</v>
      </c>
      <c r="T811" s="116" t="s">
        <v>83</v>
      </c>
      <c r="U811" s="116" t="s">
        <v>83</v>
      </c>
      <c r="V811" s="116" t="s">
        <v>83</v>
      </c>
      <c r="W811" s="6">
        <v>78</v>
      </c>
      <c r="X811" s="40">
        <f>SUM(AN811:AR811)</f>
        <v>78</v>
      </c>
      <c r="Y811" s="40">
        <f>SUM(AL811:AR811)</f>
        <v>78</v>
      </c>
      <c r="Z811" s="61">
        <v>0.46153846153846201</v>
      </c>
      <c r="AA811" s="61">
        <v>0.53846153846153799</v>
      </c>
      <c r="AB811" s="59">
        <v>0</v>
      </c>
      <c r="AC811" s="59">
        <v>0.15384615384615385</v>
      </c>
      <c r="AD811" s="59">
        <v>0.5641025641025641</v>
      </c>
      <c r="AE811" s="59">
        <v>0.24358974358974358</v>
      </c>
      <c r="AF811" s="59">
        <v>1.282051282051282E-2</v>
      </c>
      <c r="AG811" s="59">
        <v>2.564102564102564E-2</v>
      </c>
      <c r="AH811" s="59">
        <v>0</v>
      </c>
      <c r="AI811" s="59">
        <v>0.97435897435897434</v>
      </c>
      <c r="AJ811" s="61">
        <v>0.87179487179487181</v>
      </c>
      <c r="AK811" s="61">
        <v>0.29487179487179499</v>
      </c>
      <c r="AL811" s="3">
        <v>0</v>
      </c>
      <c r="AM811" s="3">
        <v>0</v>
      </c>
      <c r="AN811" s="3">
        <v>0</v>
      </c>
      <c r="AO811" s="3">
        <v>78</v>
      </c>
      <c r="AP811" s="3">
        <v>0</v>
      </c>
      <c r="AQ811" s="3">
        <v>0</v>
      </c>
      <c r="AR811" s="3">
        <v>0</v>
      </c>
      <c r="AS811" s="59">
        <v>0</v>
      </c>
      <c r="AT811" s="3">
        <v>9</v>
      </c>
      <c r="AU811" s="1">
        <v>1</v>
      </c>
      <c r="AV811" s="49">
        <v>80</v>
      </c>
      <c r="AW811" s="49">
        <v>16.923076923076898</v>
      </c>
      <c r="AX811" s="49">
        <v>3.0769230769230798</v>
      </c>
      <c r="AY811" s="67">
        <v>0</v>
      </c>
      <c r="AZ811" s="62">
        <v>0.10465116279069768</v>
      </c>
      <c r="BA811" s="62">
        <v>0.2558139534883721</v>
      </c>
      <c r="BB811" s="78">
        <v>93.436985025435305</v>
      </c>
      <c r="BC811" s="49"/>
      <c r="BD811" s="90" t="s">
        <v>83</v>
      </c>
      <c r="BE811" s="90" t="s">
        <v>83</v>
      </c>
      <c r="BF811" s="87">
        <v>1.2</v>
      </c>
      <c r="BG811" s="90" t="s">
        <v>83</v>
      </c>
      <c r="BH811" s="90" t="s">
        <v>83</v>
      </c>
      <c r="BI811" s="90" t="s">
        <v>83</v>
      </c>
      <c r="BJ811" s="3"/>
      <c r="BK811" s="129">
        <v>17105</v>
      </c>
      <c r="BL811" s="129">
        <v>42422</v>
      </c>
      <c r="BM811" s="129">
        <v>79532</v>
      </c>
      <c r="BN811" s="129">
        <v>46761</v>
      </c>
      <c r="BO811" s="59">
        <v>0</v>
      </c>
      <c r="BP811" s="59">
        <v>0.55720000000000003</v>
      </c>
      <c r="BQ811" s="59">
        <v>0.13930000000000001</v>
      </c>
      <c r="BR811" s="59">
        <v>0</v>
      </c>
      <c r="BS811" s="59">
        <v>0</v>
      </c>
      <c r="BT811" s="3">
        <v>6.9</v>
      </c>
      <c r="BU811" s="59">
        <f t="shared" si="60"/>
        <v>0.69650000000000001</v>
      </c>
      <c r="BV811" s="59">
        <v>6.9699999999999998E-2</v>
      </c>
      <c r="BW811" s="59">
        <v>0</v>
      </c>
      <c r="BX811" s="59">
        <v>5.5800000000000002E-2</v>
      </c>
      <c r="BY811" s="59">
        <v>0</v>
      </c>
      <c r="BZ811" s="59">
        <v>0</v>
      </c>
      <c r="CA811" s="3">
        <v>9.9</v>
      </c>
      <c r="CB811" s="59">
        <f t="shared" si="61"/>
        <v>0.1255</v>
      </c>
      <c r="CC811" s="59">
        <v>9.7900000000000001E-2</v>
      </c>
      <c r="CD811" s="59">
        <v>0.62690000000000001</v>
      </c>
      <c r="CE811" s="59">
        <v>0.20549999999999999</v>
      </c>
      <c r="CF811" s="59">
        <v>0</v>
      </c>
      <c r="CG811" s="59">
        <v>6.9699999999999998E-2</v>
      </c>
      <c r="CH811" s="3">
        <v>9.3000000000000007</v>
      </c>
      <c r="CI811" s="26" t="s">
        <v>495</v>
      </c>
      <c r="CJ811" s="18" t="s">
        <v>489</v>
      </c>
      <c r="CK811" s="20"/>
    </row>
    <row r="812" spans="1:89" x14ac:dyDescent="0.25">
      <c r="A812" s="18" t="s">
        <v>489</v>
      </c>
      <c r="B812" s="19" t="s">
        <v>286</v>
      </c>
      <c r="C812" s="26" t="s">
        <v>287</v>
      </c>
      <c r="D812" s="6">
        <v>33</v>
      </c>
      <c r="E812" s="40" t="s">
        <v>83</v>
      </c>
      <c r="F812" s="6">
        <v>33</v>
      </c>
      <c r="G812" s="162" t="s">
        <v>83</v>
      </c>
      <c r="H812" s="162" t="s">
        <v>83</v>
      </c>
      <c r="I812" s="163">
        <v>0</v>
      </c>
      <c r="J812" s="166">
        <v>6</v>
      </c>
      <c r="K812" s="166">
        <v>9</v>
      </c>
      <c r="L812" s="166">
        <v>7</v>
      </c>
      <c r="M812" s="166">
        <v>11</v>
      </c>
      <c r="N812" s="119">
        <v>2.4105186267348401E-2</v>
      </c>
      <c r="O812" s="119">
        <v>2.41228070175439E-2</v>
      </c>
      <c r="P812" s="116" t="s">
        <v>83</v>
      </c>
      <c r="Q812" s="116" t="s">
        <v>83</v>
      </c>
      <c r="R812" s="115">
        <v>0</v>
      </c>
      <c r="S812" s="119">
        <v>1.63934426229508E-2</v>
      </c>
      <c r="T812" s="119">
        <v>2.5568181818181799E-2</v>
      </c>
      <c r="U812" s="119">
        <v>2.1341463414634099E-2</v>
      </c>
      <c r="V812" s="119">
        <v>3.4267912772585701E-2</v>
      </c>
      <c r="W812" s="6">
        <v>1246</v>
      </c>
      <c r="X812" s="40">
        <f t="shared" si="58"/>
        <v>1246</v>
      </c>
      <c r="Y812" s="40">
        <f t="shared" si="59"/>
        <v>1246</v>
      </c>
      <c r="Z812" s="59">
        <v>0.52969999999999995</v>
      </c>
      <c r="AA812" s="59">
        <v>0.4703</v>
      </c>
      <c r="AB812" s="61">
        <v>8.0256821829855537E-4</v>
      </c>
      <c r="AC812" s="61">
        <v>7.2231139646869984E-3</v>
      </c>
      <c r="AD812" s="61">
        <v>0.6637239165329053</v>
      </c>
      <c r="AE812" s="61">
        <v>1.2038523274478331E-2</v>
      </c>
      <c r="AF812" s="61">
        <v>8.0256821829855537E-4</v>
      </c>
      <c r="AG812" s="61">
        <v>0.3041733547351525</v>
      </c>
      <c r="AH812" s="61">
        <v>1.1235955056179775E-2</v>
      </c>
      <c r="AI812" s="61">
        <v>0.6958266452648475</v>
      </c>
      <c r="AJ812" s="59">
        <v>0.65700000000000003</v>
      </c>
      <c r="AK812" s="59">
        <v>4.7999999999999996E-3</v>
      </c>
      <c r="AL812" s="3">
        <v>0</v>
      </c>
      <c r="AM812" s="3">
        <v>0</v>
      </c>
      <c r="AN812" s="3">
        <v>1</v>
      </c>
      <c r="AO812" s="3">
        <v>327</v>
      </c>
      <c r="AP812" s="3">
        <v>318</v>
      </c>
      <c r="AQ812" s="3">
        <v>294</v>
      </c>
      <c r="AR812" s="3">
        <v>306</v>
      </c>
      <c r="AS812" s="59">
        <v>3.0487804878048782E-3</v>
      </c>
      <c r="AT812" s="3">
        <v>9</v>
      </c>
      <c r="AU812" s="3">
        <v>6</v>
      </c>
      <c r="AV812" s="49">
        <v>69.838709677419402</v>
      </c>
      <c r="AW812" s="49">
        <v>22.580645161290299</v>
      </c>
      <c r="AX812" s="49">
        <v>6.9354838709677402</v>
      </c>
      <c r="AY812" s="67">
        <v>0.64516129032258096</v>
      </c>
      <c r="AZ812" s="62">
        <v>3.9852398523985241E-2</v>
      </c>
      <c r="BA812" s="62">
        <v>0.12767527675276752</v>
      </c>
      <c r="BB812" s="77">
        <v>90.922914546523501</v>
      </c>
      <c r="BC812" s="49">
        <v>48.075526506899102</v>
      </c>
      <c r="BD812" s="90" t="s">
        <v>83</v>
      </c>
      <c r="BE812" s="90" t="s">
        <v>83</v>
      </c>
      <c r="BF812" s="87">
        <v>3.7</v>
      </c>
      <c r="BG812" s="87">
        <v>1</v>
      </c>
      <c r="BH812" s="87">
        <v>0.7</v>
      </c>
      <c r="BI812" s="87">
        <v>1.7</v>
      </c>
      <c r="BJ812" s="49">
        <v>18.899999999999999</v>
      </c>
      <c r="BK812" s="129">
        <v>10459</v>
      </c>
      <c r="BL812" s="129">
        <v>52833</v>
      </c>
      <c r="BM812" s="129">
        <v>58921</v>
      </c>
      <c r="BN812" s="129">
        <v>41441</v>
      </c>
      <c r="BO812" s="59">
        <v>0</v>
      </c>
      <c r="BP812" s="59">
        <v>0.2387</v>
      </c>
      <c r="BQ812" s="59">
        <v>0.2636</v>
      </c>
      <c r="BR812" s="59">
        <v>0</v>
      </c>
      <c r="BS812" s="59">
        <v>6.1999999999999998E-3</v>
      </c>
      <c r="BT812" s="49">
        <v>12.1</v>
      </c>
      <c r="BU812" s="59">
        <f t="shared" si="60"/>
        <v>0.50849999999999995</v>
      </c>
      <c r="BV812" s="59">
        <v>3.09E-2</v>
      </c>
      <c r="BW812" s="59">
        <v>0</v>
      </c>
      <c r="BX812" s="59">
        <v>5.16E-2</v>
      </c>
      <c r="BY812" s="59">
        <v>0</v>
      </c>
      <c r="BZ812" s="59">
        <v>0</v>
      </c>
      <c r="CA812" s="49">
        <v>16.2</v>
      </c>
      <c r="CB812" s="59">
        <f t="shared" si="61"/>
        <v>8.2500000000000004E-2</v>
      </c>
      <c r="CC812" s="59">
        <v>0.37619999999999998</v>
      </c>
      <c r="CD812" s="59">
        <v>0.2586</v>
      </c>
      <c r="CE812" s="59">
        <v>0.35799999999999998</v>
      </c>
      <c r="CF812" s="59">
        <v>1E-3</v>
      </c>
      <c r="CG812" s="59">
        <v>6.1999999999999998E-3</v>
      </c>
      <c r="CH812" s="49">
        <v>10.9</v>
      </c>
      <c r="CI812" s="26" t="s">
        <v>287</v>
      </c>
      <c r="CJ812" s="18" t="s">
        <v>489</v>
      </c>
      <c r="CK812" s="20"/>
    </row>
    <row r="813" spans="1:89" x14ac:dyDescent="0.25">
      <c r="A813" s="18" t="s">
        <v>489</v>
      </c>
      <c r="B813" s="19" t="s">
        <v>286</v>
      </c>
      <c r="C813" s="26" t="s">
        <v>288</v>
      </c>
      <c r="D813" s="6">
        <v>8</v>
      </c>
      <c r="E813" s="40" t="s">
        <v>83</v>
      </c>
      <c r="F813" s="6">
        <v>8</v>
      </c>
      <c r="G813" s="162" t="s">
        <v>83</v>
      </c>
      <c r="H813" s="162" t="s">
        <v>83</v>
      </c>
      <c r="I813" s="162" t="s">
        <v>83</v>
      </c>
      <c r="J813" s="166">
        <v>0</v>
      </c>
      <c r="K813" s="166">
        <v>2</v>
      </c>
      <c r="L813" s="166">
        <v>3</v>
      </c>
      <c r="M813" s="166">
        <v>3</v>
      </c>
      <c r="N813" s="119">
        <v>1.5748031496062999E-2</v>
      </c>
      <c r="O813" s="119">
        <v>1.5748031496062999E-2</v>
      </c>
      <c r="P813" s="116" t="s">
        <v>83</v>
      </c>
      <c r="Q813" s="116" t="s">
        <v>83</v>
      </c>
      <c r="R813" s="116" t="s">
        <v>83</v>
      </c>
      <c r="S813" s="119">
        <v>0</v>
      </c>
      <c r="T813" s="119">
        <v>1.48148148148148E-2</v>
      </c>
      <c r="U813" s="119">
        <v>2.3622047244094498E-2</v>
      </c>
      <c r="V813" s="119">
        <v>2.5641025641025599E-2</v>
      </c>
      <c r="W813" s="6">
        <v>477</v>
      </c>
      <c r="X813" s="40">
        <f t="shared" si="58"/>
        <v>477</v>
      </c>
      <c r="Y813" s="40">
        <f t="shared" si="59"/>
        <v>477</v>
      </c>
      <c r="Z813" s="59">
        <v>0.47799999999999998</v>
      </c>
      <c r="AA813" s="59">
        <v>0.52200000000000002</v>
      </c>
      <c r="AB813" s="61">
        <v>0</v>
      </c>
      <c r="AC813" s="61">
        <v>2.5157232704402517E-2</v>
      </c>
      <c r="AD813" s="61">
        <v>0.1278825995807128</v>
      </c>
      <c r="AE813" s="61">
        <v>1.2578616352201259E-2</v>
      </c>
      <c r="AF813" s="61">
        <v>0</v>
      </c>
      <c r="AG813" s="61">
        <v>0.83228511530398319</v>
      </c>
      <c r="AH813" s="61">
        <v>2.0964360587002098E-3</v>
      </c>
      <c r="AI813" s="61">
        <v>0.16771488469601678</v>
      </c>
      <c r="AJ813" s="59">
        <v>0.36699999999999999</v>
      </c>
      <c r="AK813" s="59">
        <v>2.0999999999999999E-3</v>
      </c>
      <c r="AL813" s="3">
        <v>0</v>
      </c>
      <c r="AM813" s="3">
        <v>0</v>
      </c>
      <c r="AN813" s="3">
        <v>0</v>
      </c>
      <c r="AO813" s="3">
        <v>120</v>
      </c>
      <c r="AP813" s="3">
        <v>125</v>
      </c>
      <c r="AQ813" s="3">
        <v>119</v>
      </c>
      <c r="AR813" s="3">
        <v>113</v>
      </c>
      <c r="AS813" s="59">
        <v>0</v>
      </c>
      <c r="AT813" s="3">
        <v>9</v>
      </c>
      <c r="AU813" s="3">
        <v>6</v>
      </c>
      <c r="AV813" s="49">
        <v>81.619937694704007</v>
      </c>
      <c r="AW813" s="49">
        <v>10.5919003115265</v>
      </c>
      <c r="AX813" s="49">
        <v>7.4766355140186898</v>
      </c>
      <c r="AY813" s="67">
        <v>0.31152647975077896</v>
      </c>
      <c r="AZ813" s="62">
        <v>4.5634920634920632E-2</v>
      </c>
      <c r="BA813" s="62">
        <v>4.7619047619047616E-2</v>
      </c>
      <c r="BB813" s="78">
        <v>94.228775074792296</v>
      </c>
      <c r="BC813" s="49">
        <v>24.950495049505001</v>
      </c>
      <c r="BD813" s="90" t="s">
        <v>83</v>
      </c>
      <c r="BE813" s="90" t="s">
        <v>83</v>
      </c>
      <c r="BF813" s="87">
        <v>3.2</v>
      </c>
      <c r="BG813" s="87">
        <v>0</v>
      </c>
      <c r="BH813" s="87">
        <v>0.9</v>
      </c>
      <c r="BI813" s="87">
        <v>0</v>
      </c>
      <c r="BJ813" s="49">
        <v>20.8</v>
      </c>
      <c r="BK813" s="129">
        <v>11935</v>
      </c>
      <c r="BL813" s="129">
        <v>55660</v>
      </c>
      <c r="BM813" s="129">
        <v>59823</v>
      </c>
      <c r="BN813" s="129">
        <v>46048</v>
      </c>
      <c r="BO813" s="59">
        <v>0</v>
      </c>
      <c r="BP813" s="59">
        <v>0.26919999999999999</v>
      </c>
      <c r="BQ813" s="59">
        <v>0.2467</v>
      </c>
      <c r="BR813" s="59">
        <v>0</v>
      </c>
      <c r="BS813" s="59">
        <v>0</v>
      </c>
      <c r="BT813" s="49">
        <v>15.8</v>
      </c>
      <c r="BU813" s="59">
        <f t="shared" si="60"/>
        <v>0.51590000000000003</v>
      </c>
      <c r="BV813" s="59">
        <v>4.4999999999999998E-2</v>
      </c>
      <c r="BW813" s="59">
        <v>1.4999999999999999E-2</v>
      </c>
      <c r="BX813" s="59">
        <v>4.4999999999999998E-2</v>
      </c>
      <c r="BY813" s="59">
        <v>0</v>
      </c>
      <c r="BZ813" s="59">
        <v>0</v>
      </c>
      <c r="CA813" s="49">
        <v>18.7</v>
      </c>
      <c r="CB813" s="59">
        <f t="shared" si="61"/>
        <v>0.105</v>
      </c>
      <c r="CC813" s="59">
        <v>0.3296</v>
      </c>
      <c r="CD813" s="59">
        <v>0.29160000000000003</v>
      </c>
      <c r="CE813" s="59">
        <v>0.372</v>
      </c>
      <c r="CF813" s="59">
        <v>6.7000000000000002E-3</v>
      </c>
      <c r="CG813" s="59">
        <v>0</v>
      </c>
      <c r="CH813" s="49">
        <v>14.9</v>
      </c>
      <c r="CI813" s="26" t="s">
        <v>288</v>
      </c>
      <c r="CJ813" s="18" t="s">
        <v>489</v>
      </c>
      <c r="CK813" s="20"/>
    </row>
    <row r="814" spans="1:89" x14ac:dyDescent="0.25">
      <c r="A814" s="18" t="s">
        <v>489</v>
      </c>
      <c r="B814" s="19" t="s">
        <v>286</v>
      </c>
      <c r="C814" s="26" t="s">
        <v>289</v>
      </c>
      <c r="D814" s="6">
        <v>86</v>
      </c>
      <c r="E814" s="40" t="s">
        <v>83</v>
      </c>
      <c r="F814" s="6">
        <v>86</v>
      </c>
      <c r="G814" s="162" t="s">
        <v>83</v>
      </c>
      <c r="H814" s="162" t="s">
        <v>83</v>
      </c>
      <c r="I814" s="162" t="s">
        <v>83</v>
      </c>
      <c r="J814" s="166">
        <v>26</v>
      </c>
      <c r="K814" s="166">
        <v>27</v>
      </c>
      <c r="L814" s="166">
        <v>14</v>
      </c>
      <c r="M814" s="166">
        <v>19</v>
      </c>
      <c r="N814" s="119">
        <v>3.5714285714285698E-2</v>
      </c>
      <c r="O814" s="119">
        <v>3.5714285714285698E-2</v>
      </c>
      <c r="P814" s="116" t="s">
        <v>83</v>
      </c>
      <c r="Q814" s="116" t="s">
        <v>83</v>
      </c>
      <c r="R814" s="116" t="s">
        <v>83</v>
      </c>
      <c r="S814" s="119">
        <v>3.81231671554252E-2</v>
      </c>
      <c r="T814" s="119">
        <v>4.2654028436019002E-2</v>
      </c>
      <c r="U814" s="119">
        <v>2.53164556962025E-2</v>
      </c>
      <c r="V814" s="119">
        <v>3.54477611940298E-2</v>
      </c>
      <c r="W814" s="6">
        <v>2218</v>
      </c>
      <c r="X814" s="40">
        <f t="shared" si="58"/>
        <v>2218</v>
      </c>
      <c r="Y814" s="40">
        <f t="shared" si="59"/>
        <v>2218</v>
      </c>
      <c r="Z814" s="59">
        <v>0.4955</v>
      </c>
      <c r="AA814" s="59">
        <v>0.50449999999999995</v>
      </c>
      <c r="AB814" s="61">
        <v>9.0171325518485117E-4</v>
      </c>
      <c r="AC814" s="61">
        <v>1.3074842200180343E-2</v>
      </c>
      <c r="AD814" s="61">
        <v>0.22272317403065825</v>
      </c>
      <c r="AE814" s="61">
        <v>3.7421100090171328E-2</v>
      </c>
      <c r="AF814" s="61">
        <v>4.5085662759242559E-4</v>
      </c>
      <c r="AG814" s="61">
        <v>0.71776375112714152</v>
      </c>
      <c r="AH814" s="61">
        <v>7.6645626690712357E-3</v>
      </c>
      <c r="AI814" s="61">
        <v>0.28223624887285842</v>
      </c>
      <c r="AJ814" s="59">
        <v>0.51900000000000002</v>
      </c>
      <c r="AK814" s="59">
        <v>1.26E-2</v>
      </c>
      <c r="AL814" s="3">
        <v>0</v>
      </c>
      <c r="AM814" s="3">
        <v>0</v>
      </c>
      <c r="AN814" s="3">
        <v>0</v>
      </c>
      <c r="AO814" s="3">
        <v>623</v>
      </c>
      <c r="AP814" s="3">
        <v>568</v>
      </c>
      <c r="AQ814" s="3">
        <v>527</v>
      </c>
      <c r="AR814" s="3">
        <v>500</v>
      </c>
      <c r="AS814" s="59">
        <v>0</v>
      </c>
      <c r="AT814" s="3">
        <v>9</v>
      </c>
      <c r="AU814" s="3">
        <v>6</v>
      </c>
      <c r="AV814" s="49">
        <v>56.841046277665995</v>
      </c>
      <c r="AW814" s="49">
        <v>31.388329979879298</v>
      </c>
      <c r="AX814" s="49">
        <v>10.865191146881301</v>
      </c>
      <c r="AY814" s="67">
        <v>0.90543259557344102</v>
      </c>
      <c r="AZ814" s="62">
        <v>3.6487059821807381E-2</v>
      </c>
      <c r="BA814" s="62">
        <v>0.10733983877810777</v>
      </c>
      <c r="BB814" s="77">
        <v>91.414862379061802</v>
      </c>
      <c r="BC814" s="49">
        <v>48.974466303892797</v>
      </c>
      <c r="BD814" s="90" t="s">
        <v>83</v>
      </c>
      <c r="BE814" s="90" t="s">
        <v>83</v>
      </c>
      <c r="BF814" s="87">
        <v>2.9</v>
      </c>
      <c r="BG814" s="87">
        <v>1.3</v>
      </c>
      <c r="BH814" s="87">
        <v>0.8</v>
      </c>
      <c r="BI814" s="87">
        <v>1.8</v>
      </c>
      <c r="BJ814" s="49">
        <v>20.8</v>
      </c>
      <c r="BK814" s="129">
        <v>8817</v>
      </c>
      <c r="BL814" s="129">
        <v>53707</v>
      </c>
      <c r="BM814" s="129">
        <v>60225</v>
      </c>
      <c r="BN814" s="129">
        <v>43683</v>
      </c>
      <c r="BO814" s="59">
        <v>0</v>
      </c>
      <c r="BP814" s="59">
        <v>0.252</v>
      </c>
      <c r="BQ814" s="59">
        <v>0.29709999999999998</v>
      </c>
      <c r="BR814" s="59">
        <v>0</v>
      </c>
      <c r="BS814" s="59">
        <v>9.2999999999999992E-3</v>
      </c>
      <c r="BT814" s="49">
        <v>15.6</v>
      </c>
      <c r="BU814" s="59">
        <f t="shared" si="60"/>
        <v>0.5583999999999999</v>
      </c>
      <c r="BV814" s="59">
        <v>3.2599999999999997E-2</v>
      </c>
      <c r="BW814" s="59">
        <v>0</v>
      </c>
      <c r="BX814" s="59">
        <v>4.6600000000000003E-2</v>
      </c>
      <c r="BY814" s="59">
        <v>0</v>
      </c>
      <c r="BZ814" s="59">
        <v>0</v>
      </c>
      <c r="CA814" s="49">
        <v>20.8</v>
      </c>
      <c r="CB814" s="59">
        <f t="shared" si="61"/>
        <v>7.9199999999999993E-2</v>
      </c>
      <c r="CC814" s="59">
        <v>0.33479999999999999</v>
      </c>
      <c r="CD814" s="59">
        <v>0.26829999999999998</v>
      </c>
      <c r="CE814" s="59">
        <v>0.38169999999999998</v>
      </c>
      <c r="CF814" s="59">
        <v>5.7999999999999996E-3</v>
      </c>
      <c r="CG814" s="59">
        <v>9.2999999999999992E-3</v>
      </c>
      <c r="CH814" s="49">
        <v>14.2</v>
      </c>
      <c r="CI814" s="26" t="s">
        <v>289</v>
      </c>
      <c r="CJ814" s="18" t="s">
        <v>489</v>
      </c>
      <c r="CK814" s="20"/>
    </row>
    <row r="815" spans="1:89" x14ac:dyDescent="0.25">
      <c r="A815" s="18" t="s">
        <v>489</v>
      </c>
      <c r="B815" s="19" t="s">
        <v>286</v>
      </c>
      <c r="C815" s="26" t="s">
        <v>290</v>
      </c>
      <c r="D815" s="6">
        <v>26</v>
      </c>
      <c r="E815" s="40" t="s">
        <v>83</v>
      </c>
      <c r="F815" s="6">
        <v>26</v>
      </c>
      <c r="G815" s="162" t="s">
        <v>83</v>
      </c>
      <c r="H815" s="162" t="s">
        <v>83</v>
      </c>
      <c r="I815" s="162" t="s">
        <v>83</v>
      </c>
      <c r="J815" s="166">
        <v>5</v>
      </c>
      <c r="K815" s="166">
        <v>7</v>
      </c>
      <c r="L815" s="166">
        <v>10</v>
      </c>
      <c r="M815" s="166">
        <v>4</v>
      </c>
      <c r="N815" s="119">
        <v>2.12940212940213E-2</v>
      </c>
      <c r="O815" s="119">
        <v>2.12940212940213E-2</v>
      </c>
      <c r="P815" s="116" t="s">
        <v>83</v>
      </c>
      <c r="Q815" s="116" t="s">
        <v>83</v>
      </c>
      <c r="R815" s="116" t="s">
        <v>83</v>
      </c>
      <c r="S815" s="119">
        <v>1.5384615384615399E-2</v>
      </c>
      <c r="T815" s="119">
        <v>1.9886363636363601E-2</v>
      </c>
      <c r="U815" s="119">
        <v>3.7878787878787901E-2</v>
      </c>
      <c r="V815" s="119">
        <v>1.4336917562724E-2</v>
      </c>
      <c r="W815" s="6">
        <v>1163</v>
      </c>
      <c r="X815" s="40">
        <f t="shared" si="58"/>
        <v>1163</v>
      </c>
      <c r="Y815" s="40">
        <f t="shared" si="59"/>
        <v>1163</v>
      </c>
      <c r="Z815" s="59">
        <v>0.503</v>
      </c>
      <c r="AA815" s="59">
        <v>0.497</v>
      </c>
      <c r="AB815" s="61">
        <v>0</v>
      </c>
      <c r="AC815" s="61">
        <v>4.2992261392949269E-3</v>
      </c>
      <c r="AD815" s="61">
        <v>3.0094582975064489E-2</v>
      </c>
      <c r="AE815" s="61">
        <v>1.2037833190025795E-2</v>
      </c>
      <c r="AF815" s="61">
        <v>0</v>
      </c>
      <c r="AG815" s="61">
        <v>0.94840928632846089</v>
      </c>
      <c r="AH815" s="61">
        <v>5.1590713671539126E-3</v>
      </c>
      <c r="AI815" s="61">
        <v>5.1590713671539126E-2</v>
      </c>
      <c r="AJ815" s="59">
        <v>0.51400000000000001</v>
      </c>
      <c r="AK815" s="59">
        <v>0</v>
      </c>
      <c r="AL815" s="3">
        <v>0</v>
      </c>
      <c r="AM815" s="3">
        <v>0</v>
      </c>
      <c r="AN815" s="3">
        <v>0</v>
      </c>
      <c r="AO815" s="3">
        <v>313</v>
      </c>
      <c r="AP815" s="3">
        <v>334</v>
      </c>
      <c r="AQ815" s="3">
        <v>249</v>
      </c>
      <c r="AR815" s="3">
        <v>267</v>
      </c>
      <c r="AS815" s="59">
        <v>0</v>
      </c>
      <c r="AT815" s="3">
        <v>9</v>
      </c>
      <c r="AU815" s="3">
        <v>6</v>
      </c>
      <c r="AV815" s="49">
        <v>72.2002635046113</v>
      </c>
      <c r="AW815" s="49">
        <v>24.110671936758902</v>
      </c>
      <c r="AX815" s="49">
        <v>3.2938076416337303</v>
      </c>
      <c r="AY815" s="67">
        <v>0.39525691699604698</v>
      </c>
      <c r="AZ815" s="62">
        <v>0.17691029900332225</v>
      </c>
      <c r="BA815" s="62">
        <v>0.10132890365448505</v>
      </c>
      <c r="BB815" s="78">
        <v>94.147783594765698</v>
      </c>
      <c r="BC815" s="49">
        <v>19.4375516956162</v>
      </c>
      <c r="BD815" s="90" t="s">
        <v>83</v>
      </c>
      <c r="BE815" s="90" t="s">
        <v>83</v>
      </c>
      <c r="BF815" s="87">
        <v>3.4</v>
      </c>
      <c r="BG815" s="87">
        <v>2.8</v>
      </c>
      <c r="BH815" s="87">
        <v>2.1</v>
      </c>
      <c r="BI815" s="87">
        <v>1.9</v>
      </c>
      <c r="BJ815" s="49">
        <v>19.899999999999999</v>
      </c>
      <c r="BK815" s="129">
        <v>10346</v>
      </c>
      <c r="BL815" s="129">
        <v>53367</v>
      </c>
      <c r="BM815" s="129">
        <v>56481</v>
      </c>
      <c r="BN815" s="129">
        <v>41343</v>
      </c>
      <c r="BO815" s="59">
        <v>6.7999999999999996E-3</v>
      </c>
      <c r="BP815" s="59">
        <v>0.27639999999999998</v>
      </c>
      <c r="BQ815" s="59">
        <v>0.2341</v>
      </c>
      <c r="BR815" s="59">
        <v>0</v>
      </c>
      <c r="BS815" s="59">
        <v>0</v>
      </c>
      <c r="BT815" s="49">
        <v>14.2</v>
      </c>
      <c r="BU815" s="59">
        <f t="shared" si="60"/>
        <v>0.51729999999999998</v>
      </c>
      <c r="BV815" s="59">
        <v>3.5499999999999997E-2</v>
      </c>
      <c r="BW815" s="59">
        <v>0</v>
      </c>
      <c r="BX815" s="59">
        <v>3.4700000000000002E-2</v>
      </c>
      <c r="BY815" s="59">
        <v>0</v>
      </c>
      <c r="BZ815" s="59">
        <v>0</v>
      </c>
      <c r="CA815" s="49">
        <v>18.600000000000001</v>
      </c>
      <c r="CB815" s="59">
        <f t="shared" si="61"/>
        <v>7.0199999999999999E-2</v>
      </c>
      <c r="CC815" s="59">
        <v>0.40239999999999998</v>
      </c>
      <c r="CD815" s="59">
        <v>0.28439999999999999</v>
      </c>
      <c r="CE815" s="59">
        <v>0.31319999999999998</v>
      </c>
      <c r="CF815" s="59">
        <v>0</v>
      </c>
      <c r="CG815" s="59">
        <v>0</v>
      </c>
      <c r="CH815" s="49">
        <v>12.9</v>
      </c>
      <c r="CI815" s="26" t="s">
        <v>290</v>
      </c>
      <c r="CJ815" s="18" t="s">
        <v>489</v>
      </c>
      <c r="CK815" s="20"/>
    </row>
    <row r="816" spans="1:89" x14ac:dyDescent="0.25">
      <c r="A816" s="18" t="s">
        <v>489</v>
      </c>
      <c r="B816" s="19" t="s">
        <v>286</v>
      </c>
      <c r="C816" s="26" t="s">
        <v>291</v>
      </c>
      <c r="D816" s="6">
        <v>32</v>
      </c>
      <c r="E816" s="40" t="s">
        <v>83</v>
      </c>
      <c r="F816" s="6">
        <v>32</v>
      </c>
      <c r="G816" s="162" t="s">
        <v>83</v>
      </c>
      <c r="H816" s="162" t="s">
        <v>83</v>
      </c>
      <c r="I816" s="162" t="s">
        <v>83</v>
      </c>
      <c r="J816" s="166">
        <v>7</v>
      </c>
      <c r="K816" s="166">
        <v>8</v>
      </c>
      <c r="L816" s="166">
        <v>7</v>
      </c>
      <c r="M816" s="166">
        <v>10</v>
      </c>
      <c r="N816" s="119">
        <v>4.9844236760124602E-2</v>
      </c>
      <c r="O816" s="119">
        <v>4.9844236760124602E-2</v>
      </c>
      <c r="P816" s="116" t="s">
        <v>83</v>
      </c>
      <c r="Q816" s="116" t="s">
        <v>83</v>
      </c>
      <c r="R816" s="116" t="s">
        <v>83</v>
      </c>
      <c r="S816" s="119">
        <v>4.1916167664670698E-2</v>
      </c>
      <c r="T816" s="119">
        <v>4.3478260869565202E-2</v>
      </c>
      <c r="U816" s="119">
        <v>4.8611111111111098E-2</v>
      </c>
      <c r="V816" s="119">
        <v>6.8027210884353706E-2</v>
      </c>
      <c r="W816" s="6">
        <v>553</v>
      </c>
      <c r="X816" s="40">
        <f t="shared" si="58"/>
        <v>553</v>
      </c>
      <c r="Y816" s="40">
        <f t="shared" si="59"/>
        <v>553</v>
      </c>
      <c r="Z816" s="59">
        <v>0.50270000000000004</v>
      </c>
      <c r="AA816" s="59">
        <v>0.49730000000000002</v>
      </c>
      <c r="AB816" s="61">
        <v>0</v>
      </c>
      <c r="AC816" s="61">
        <v>0</v>
      </c>
      <c r="AD816" s="61">
        <v>0.98734177215189878</v>
      </c>
      <c r="AE816" s="61">
        <v>1.8083182640144665E-3</v>
      </c>
      <c r="AF816" s="61">
        <v>0</v>
      </c>
      <c r="AG816" s="61">
        <v>1.0849909584086799E-2</v>
      </c>
      <c r="AH816" s="61">
        <v>0</v>
      </c>
      <c r="AI816" s="61">
        <v>0.98915009041591317</v>
      </c>
      <c r="AJ816" s="59">
        <v>0.88200000000000001</v>
      </c>
      <c r="AK816" s="59">
        <v>0</v>
      </c>
      <c r="AL816" s="3">
        <v>0</v>
      </c>
      <c r="AM816" s="3">
        <v>0</v>
      </c>
      <c r="AN816" s="3">
        <v>0</v>
      </c>
      <c r="AO816" s="3">
        <v>138</v>
      </c>
      <c r="AP816" s="3">
        <v>155</v>
      </c>
      <c r="AQ816" s="3">
        <v>128</v>
      </c>
      <c r="AR816" s="3">
        <v>132</v>
      </c>
      <c r="AS816" s="59">
        <v>0</v>
      </c>
      <c r="AT816" s="3">
        <v>9</v>
      </c>
      <c r="AU816" s="3">
        <v>6</v>
      </c>
      <c r="AV816" s="49">
        <v>86.920980926430502</v>
      </c>
      <c r="AW816" s="49">
        <v>11.171662125340601</v>
      </c>
      <c r="AX816" s="49">
        <v>1.9073569482288801</v>
      </c>
      <c r="AY816" s="67">
        <v>0</v>
      </c>
      <c r="AZ816" s="62">
        <v>0.33547351524879615</v>
      </c>
      <c r="BA816" s="62">
        <v>0.3258426966292135</v>
      </c>
      <c r="BB816" s="77">
        <v>88.646903557569999</v>
      </c>
      <c r="BC816" s="49">
        <v>48.28125</v>
      </c>
      <c r="BD816" s="90" t="s">
        <v>83</v>
      </c>
      <c r="BE816" s="90" t="s">
        <v>83</v>
      </c>
      <c r="BF816" s="87">
        <v>2.1</v>
      </c>
      <c r="BG816" s="87">
        <v>1.3</v>
      </c>
      <c r="BH816" s="87">
        <v>3.1</v>
      </c>
      <c r="BI816" s="87">
        <v>0</v>
      </c>
      <c r="BJ816" s="49">
        <v>17.399999999999999</v>
      </c>
      <c r="BK816" s="129">
        <v>13849</v>
      </c>
      <c r="BL816" s="129">
        <v>53290</v>
      </c>
      <c r="BM816" s="129">
        <v>50798</v>
      </c>
      <c r="BN816" s="129">
        <v>38718</v>
      </c>
      <c r="BO816" s="59">
        <v>0</v>
      </c>
      <c r="BP816" s="59">
        <v>0.1668</v>
      </c>
      <c r="BQ816" s="59">
        <v>0.21129999999999999</v>
      </c>
      <c r="BR816" s="59">
        <v>1.8599999999999998E-2</v>
      </c>
      <c r="BS816" s="59">
        <v>5.1999999999999998E-3</v>
      </c>
      <c r="BT816" s="49">
        <v>12.4</v>
      </c>
      <c r="BU816" s="59">
        <f t="shared" si="60"/>
        <v>0.40189999999999998</v>
      </c>
      <c r="BV816" s="59">
        <v>5.57E-2</v>
      </c>
      <c r="BW816" s="59">
        <v>9.2999999999999992E-3</v>
      </c>
      <c r="BX816" s="59">
        <v>3.7199999999999997E-2</v>
      </c>
      <c r="BY816" s="59">
        <v>0</v>
      </c>
      <c r="BZ816" s="59">
        <v>9.2999999999999992E-3</v>
      </c>
      <c r="CA816" s="49">
        <v>14.6</v>
      </c>
      <c r="CB816" s="59">
        <f t="shared" si="61"/>
        <v>0.1115</v>
      </c>
      <c r="CC816" s="59">
        <v>0.47870000000000001</v>
      </c>
      <c r="CD816" s="59">
        <v>0.1822</v>
      </c>
      <c r="CE816" s="59">
        <v>0.30420000000000003</v>
      </c>
      <c r="CF816" s="59">
        <v>2.0400000000000001E-2</v>
      </c>
      <c r="CG816" s="59">
        <v>1.4500000000000001E-2</v>
      </c>
      <c r="CH816" s="49">
        <v>10.9</v>
      </c>
      <c r="CI816" s="26" t="s">
        <v>291</v>
      </c>
      <c r="CJ816" s="18" t="s">
        <v>489</v>
      </c>
      <c r="CK816" s="20"/>
    </row>
    <row r="817" spans="1:99" x14ac:dyDescent="0.25">
      <c r="A817" s="18" t="s">
        <v>489</v>
      </c>
      <c r="B817" s="19" t="s">
        <v>292</v>
      </c>
      <c r="C817" s="26" t="s">
        <v>293</v>
      </c>
      <c r="D817" s="6">
        <v>4</v>
      </c>
      <c r="E817" s="40" t="s">
        <v>83</v>
      </c>
      <c r="F817" s="6">
        <v>4</v>
      </c>
      <c r="G817" s="162" t="s">
        <v>83</v>
      </c>
      <c r="H817" s="162" t="s">
        <v>83</v>
      </c>
      <c r="I817" s="163">
        <v>0</v>
      </c>
      <c r="J817" s="166">
        <v>1</v>
      </c>
      <c r="K817" s="166">
        <v>1</v>
      </c>
      <c r="L817" s="166">
        <v>1</v>
      </c>
      <c r="M817" s="166">
        <v>1</v>
      </c>
      <c r="N817" s="119">
        <v>4.1536863966770499E-3</v>
      </c>
      <c r="O817" s="119">
        <v>4.1536863966770499E-3</v>
      </c>
      <c r="P817" s="116" t="s">
        <v>83</v>
      </c>
      <c r="Q817" s="116" t="s">
        <v>83</v>
      </c>
      <c r="R817" s="115">
        <v>0</v>
      </c>
      <c r="S817" s="119">
        <v>3.9370078740157497E-3</v>
      </c>
      <c r="T817" s="119">
        <v>3.7037037037036999E-3</v>
      </c>
      <c r="U817" s="119">
        <v>4.7619047619047597E-3</v>
      </c>
      <c r="V817" s="119">
        <v>4.4843049327354303E-3</v>
      </c>
      <c r="W817" s="6">
        <v>903</v>
      </c>
      <c r="X817" s="40">
        <f t="shared" si="58"/>
        <v>903</v>
      </c>
      <c r="Y817" s="40">
        <f t="shared" si="59"/>
        <v>903</v>
      </c>
      <c r="Z817" s="59">
        <v>0.49719999999999998</v>
      </c>
      <c r="AA817" s="59">
        <v>0.50280000000000002</v>
      </c>
      <c r="AB817" s="61">
        <v>7.7519379844961239E-3</v>
      </c>
      <c r="AC817" s="61">
        <v>2.4363233665559248E-2</v>
      </c>
      <c r="AD817" s="61">
        <v>0.20598006644518271</v>
      </c>
      <c r="AE817" s="61">
        <v>7.6411960132890366E-2</v>
      </c>
      <c r="AF817" s="61">
        <v>4.4296788482834993E-3</v>
      </c>
      <c r="AG817" s="61">
        <v>0.65005537098560351</v>
      </c>
      <c r="AH817" s="61">
        <v>3.1007751937984496E-2</v>
      </c>
      <c r="AI817" s="61">
        <v>0.34994462901439644</v>
      </c>
      <c r="AJ817" s="59">
        <v>0.432</v>
      </c>
      <c r="AK817" s="59">
        <v>1.44E-2</v>
      </c>
      <c r="AL817" s="3">
        <v>0</v>
      </c>
      <c r="AM817" s="3">
        <v>0</v>
      </c>
      <c r="AN817" s="3">
        <v>6</v>
      </c>
      <c r="AO817" s="3">
        <v>232</v>
      </c>
      <c r="AP817" s="3">
        <v>249</v>
      </c>
      <c r="AQ817" s="3">
        <v>205</v>
      </c>
      <c r="AR817" s="3">
        <v>211</v>
      </c>
      <c r="AS817" s="59">
        <v>2.5210084033613446E-2</v>
      </c>
      <c r="AT817" s="3">
        <v>9</v>
      </c>
      <c r="AU817" s="3">
        <v>6</v>
      </c>
      <c r="AV817" s="49">
        <v>67.682926829268297</v>
      </c>
      <c r="AW817" s="49">
        <v>23.373983739837399</v>
      </c>
      <c r="AX817" s="49">
        <v>8.7398373983739805</v>
      </c>
      <c r="AY817" s="67">
        <v>0.203252032520325</v>
      </c>
      <c r="AZ817" s="62">
        <v>4.9947970863683661E-2</v>
      </c>
      <c r="BA817" s="62">
        <v>0.13735691987513007</v>
      </c>
      <c r="BB817" s="78">
        <v>95.777572829935593</v>
      </c>
      <c r="BC817" s="49">
        <v>33.090530697190403</v>
      </c>
      <c r="BD817" s="90" t="s">
        <v>83</v>
      </c>
      <c r="BE817" s="90" t="s">
        <v>83</v>
      </c>
      <c r="BF817" s="87">
        <v>3.4</v>
      </c>
      <c r="BG817" s="87">
        <v>2.5</v>
      </c>
      <c r="BH817" s="87">
        <v>0</v>
      </c>
      <c r="BI817" s="87">
        <v>3.3</v>
      </c>
      <c r="BJ817" s="49">
        <v>20.9</v>
      </c>
      <c r="BK817" s="129">
        <v>13723</v>
      </c>
      <c r="BL817" s="129">
        <v>57421</v>
      </c>
      <c r="BM817" s="129">
        <v>65417</v>
      </c>
      <c r="BN817" s="129">
        <v>50415</v>
      </c>
      <c r="BO817" s="59">
        <v>0</v>
      </c>
      <c r="BP817" s="59">
        <v>0.29210000000000003</v>
      </c>
      <c r="BQ817" s="59">
        <v>0.2364</v>
      </c>
      <c r="BR817" s="59">
        <v>0</v>
      </c>
      <c r="BS817" s="59">
        <v>0</v>
      </c>
      <c r="BT817" s="49">
        <v>6.4</v>
      </c>
      <c r="BU817" s="59">
        <f t="shared" si="60"/>
        <v>0.52849999999999997</v>
      </c>
      <c r="BV817" s="59">
        <v>9.5999999999999992E-3</v>
      </c>
      <c r="BW817" s="59">
        <v>9.7000000000000003E-3</v>
      </c>
      <c r="BX817" s="59">
        <v>2.6800000000000001E-2</v>
      </c>
      <c r="BY817" s="59">
        <v>0</v>
      </c>
      <c r="BZ817" s="59">
        <v>0</v>
      </c>
      <c r="CA817" s="49">
        <v>11</v>
      </c>
      <c r="CB817" s="59">
        <f t="shared" si="61"/>
        <v>4.6100000000000002E-2</v>
      </c>
      <c r="CC817" s="59">
        <v>0.28039999999999998</v>
      </c>
      <c r="CD817" s="59">
        <v>0.36959999999999998</v>
      </c>
      <c r="CE817" s="59">
        <v>0.35</v>
      </c>
      <c r="CF817" s="59">
        <v>0</v>
      </c>
      <c r="CG817" s="59">
        <v>0</v>
      </c>
      <c r="CH817" s="49">
        <v>7.5</v>
      </c>
      <c r="CI817" s="26" t="s">
        <v>293</v>
      </c>
      <c r="CJ817" s="18" t="s">
        <v>489</v>
      </c>
      <c r="CK817" s="20"/>
    </row>
    <row r="818" spans="1:99" x14ac:dyDescent="0.25">
      <c r="A818" s="18" t="s">
        <v>489</v>
      </c>
      <c r="B818" s="19" t="s">
        <v>292</v>
      </c>
      <c r="C818" s="26" t="s">
        <v>294</v>
      </c>
      <c r="D818" s="6">
        <v>2</v>
      </c>
      <c r="E818" s="6">
        <v>1</v>
      </c>
      <c r="F818" s="6">
        <v>1</v>
      </c>
      <c r="G818" s="163">
        <v>0</v>
      </c>
      <c r="H818" s="166">
        <v>1</v>
      </c>
      <c r="I818" s="162" t="s">
        <v>83</v>
      </c>
      <c r="J818" s="163">
        <v>0</v>
      </c>
      <c r="K818" s="163">
        <v>0</v>
      </c>
      <c r="L818" s="166">
        <v>1</v>
      </c>
      <c r="M818" s="163">
        <v>0</v>
      </c>
      <c r="N818" s="119">
        <v>2.1505376344085999E-2</v>
      </c>
      <c r="O818" s="119">
        <v>1.8181818181818198E-2</v>
      </c>
      <c r="P818" s="115">
        <v>0</v>
      </c>
      <c r="Q818" s="119">
        <v>4.7619047619047603E-2</v>
      </c>
      <c r="R818" s="116" t="s">
        <v>83</v>
      </c>
      <c r="S818" s="115">
        <v>0</v>
      </c>
      <c r="T818" s="115">
        <v>0</v>
      </c>
      <c r="U818" s="119">
        <v>5.8823529411764698E-2</v>
      </c>
      <c r="V818" s="115">
        <v>0</v>
      </c>
      <c r="W818" s="6">
        <v>205</v>
      </c>
      <c r="X818" s="40">
        <f t="shared" si="58"/>
        <v>52</v>
      </c>
      <c r="Y818" s="40">
        <f t="shared" si="59"/>
        <v>85</v>
      </c>
      <c r="Z818" s="59">
        <v>0.4098</v>
      </c>
      <c r="AA818" s="59">
        <v>0.59019999999999995</v>
      </c>
      <c r="AB818" s="61">
        <v>0</v>
      </c>
      <c r="AC818" s="61">
        <v>0</v>
      </c>
      <c r="AD818" s="61">
        <v>0.97560975609756095</v>
      </c>
      <c r="AE818" s="61">
        <v>4.8780487804878049E-3</v>
      </c>
      <c r="AF818" s="61">
        <v>0</v>
      </c>
      <c r="AG818" s="61">
        <v>9.7560975609756097E-3</v>
      </c>
      <c r="AH818" s="61">
        <v>9.7560975609756097E-3</v>
      </c>
      <c r="AI818" s="61">
        <v>0.99024390243902438</v>
      </c>
      <c r="AJ818" s="59">
        <v>0.90700000000000003</v>
      </c>
      <c r="AK818" s="59">
        <v>0</v>
      </c>
      <c r="AL818" s="3">
        <v>16</v>
      </c>
      <c r="AM818" s="3">
        <v>17</v>
      </c>
      <c r="AN818" s="3">
        <v>0</v>
      </c>
      <c r="AO818" s="3">
        <v>19</v>
      </c>
      <c r="AP818" s="3">
        <v>9</v>
      </c>
      <c r="AQ818" s="3">
        <v>14</v>
      </c>
      <c r="AR818" s="3">
        <v>10</v>
      </c>
      <c r="AS818" s="59">
        <v>0</v>
      </c>
      <c r="AT818" s="3">
        <v>1</v>
      </c>
      <c r="AU818" s="3">
        <v>6</v>
      </c>
      <c r="AV818" s="49">
        <v>97.142857142857096</v>
      </c>
      <c r="AW818" s="49">
        <v>2.8571428571428599</v>
      </c>
      <c r="AX818" s="49">
        <v>0</v>
      </c>
      <c r="AY818" s="67">
        <v>0</v>
      </c>
      <c r="AZ818" s="62">
        <v>4.4052863436123352E-3</v>
      </c>
      <c r="BA818" s="62">
        <v>2.2026431718061675E-2</v>
      </c>
      <c r="BB818" s="77">
        <v>96.497905818428805</v>
      </c>
      <c r="BC818" s="49">
        <v>10.7317073170732</v>
      </c>
      <c r="BD818" s="87">
        <v>0</v>
      </c>
      <c r="BE818" s="87">
        <v>0</v>
      </c>
      <c r="BF818" s="87">
        <v>0</v>
      </c>
      <c r="BG818" s="87">
        <v>0</v>
      </c>
      <c r="BH818" s="87">
        <v>0</v>
      </c>
      <c r="BI818" s="87">
        <v>0</v>
      </c>
      <c r="BJ818" s="49">
        <v>16</v>
      </c>
      <c r="BK818" s="129">
        <v>27627</v>
      </c>
      <c r="BL818" s="129">
        <v>56242</v>
      </c>
      <c r="BM818" s="129">
        <v>61435</v>
      </c>
      <c r="BN818" s="129">
        <v>44610</v>
      </c>
      <c r="BO818" s="59">
        <v>0</v>
      </c>
      <c r="BP818" s="59">
        <v>0.26290000000000002</v>
      </c>
      <c r="BQ818" s="59">
        <v>5.4699999999999999E-2</v>
      </c>
      <c r="BR818" s="59">
        <v>1.83E-2</v>
      </c>
      <c r="BS818" s="59">
        <v>0</v>
      </c>
      <c r="BT818" s="49">
        <v>5.3</v>
      </c>
      <c r="BU818" s="59">
        <f t="shared" si="60"/>
        <v>0.33589999999999998</v>
      </c>
      <c r="BV818" s="59">
        <v>1.83E-2</v>
      </c>
      <c r="BW818" s="59">
        <v>0</v>
      </c>
      <c r="BX818" s="59">
        <v>1.41E-2</v>
      </c>
      <c r="BY818" s="59">
        <v>0</v>
      </c>
      <c r="BZ818" s="59">
        <v>0</v>
      </c>
      <c r="CA818" s="49">
        <v>6.5</v>
      </c>
      <c r="CB818" s="59">
        <f t="shared" si="61"/>
        <v>3.2399999999999998E-2</v>
      </c>
      <c r="CC818" s="59">
        <v>0.44519999999999998</v>
      </c>
      <c r="CD818" s="59">
        <v>0.37659999999999999</v>
      </c>
      <c r="CE818" s="59">
        <v>0.15989999999999999</v>
      </c>
      <c r="CF818" s="59">
        <v>1.83E-2</v>
      </c>
      <c r="CG818" s="59">
        <v>0</v>
      </c>
      <c r="CH818" s="49">
        <v>5.7</v>
      </c>
      <c r="CI818" s="26" t="s">
        <v>294</v>
      </c>
      <c r="CJ818" s="18" t="s">
        <v>489</v>
      </c>
      <c r="CK818" s="20"/>
    </row>
    <row r="819" spans="1:99" ht="15.75" thickBot="1" x14ac:dyDescent="0.3">
      <c r="A819" s="18" t="s">
        <v>489</v>
      </c>
      <c r="B819" s="19" t="s">
        <v>292</v>
      </c>
      <c r="C819" s="26" t="s">
        <v>295</v>
      </c>
      <c r="D819" s="6">
        <v>2</v>
      </c>
      <c r="E819" s="6">
        <v>0</v>
      </c>
      <c r="F819" s="6">
        <v>2</v>
      </c>
      <c r="G819" s="163">
        <v>0</v>
      </c>
      <c r="H819" s="163">
        <v>0</v>
      </c>
      <c r="I819" s="163">
        <v>0</v>
      </c>
      <c r="J819" s="163">
        <v>0</v>
      </c>
      <c r="K819" s="166">
        <v>1</v>
      </c>
      <c r="L819" s="166">
        <v>1</v>
      </c>
      <c r="M819" s="163">
        <v>0</v>
      </c>
      <c r="N819" s="119">
        <v>4.0816326530612197E-3</v>
      </c>
      <c r="O819" s="119">
        <v>6.7114093959731499E-3</v>
      </c>
      <c r="P819" s="115">
        <v>0</v>
      </c>
      <c r="Q819" s="115">
        <v>0</v>
      </c>
      <c r="R819" s="115">
        <v>0</v>
      </c>
      <c r="S819" s="115">
        <v>0</v>
      </c>
      <c r="T819" s="119">
        <v>1.38888888888889E-2</v>
      </c>
      <c r="U819" s="119">
        <v>1.63934426229508E-2</v>
      </c>
      <c r="V819" s="115">
        <v>0</v>
      </c>
      <c r="W819" s="6">
        <v>458</v>
      </c>
      <c r="X819" s="40">
        <f t="shared" si="58"/>
        <v>281</v>
      </c>
      <c r="Y819" s="40">
        <f t="shared" si="59"/>
        <v>458</v>
      </c>
      <c r="Z819" s="59">
        <v>0.51529999999999998</v>
      </c>
      <c r="AA819" s="59">
        <v>0.48470000000000002</v>
      </c>
      <c r="AB819" s="61">
        <v>4.148471615720524E-2</v>
      </c>
      <c r="AC819" s="61">
        <v>0.17685589519650655</v>
      </c>
      <c r="AD819" s="61">
        <v>0.4126637554585153</v>
      </c>
      <c r="AE819" s="61">
        <v>2.6200873362445413E-2</v>
      </c>
      <c r="AF819" s="61">
        <v>4.3668122270742356E-3</v>
      </c>
      <c r="AG819" s="61">
        <v>0.32751091703056767</v>
      </c>
      <c r="AH819" s="61">
        <v>1.0917030567685589E-2</v>
      </c>
      <c r="AI819" s="61">
        <v>0.67248908296943233</v>
      </c>
      <c r="AJ819" s="59">
        <v>0.83199999999999996</v>
      </c>
      <c r="AK819" s="59">
        <v>3.0599999999999999E-2</v>
      </c>
      <c r="AL819" s="3">
        <v>102</v>
      </c>
      <c r="AM819" s="3">
        <v>75</v>
      </c>
      <c r="AN819" s="3">
        <v>2</v>
      </c>
      <c r="AO819" s="3">
        <v>79</v>
      </c>
      <c r="AP819" s="3">
        <v>67</v>
      </c>
      <c r="AQ819" s="3">
        <v>58</v>
      </c>
      <c r="AR819" s="3">
        <v>75</v>
      </c>
      <c r="AS819" s="59">
        <v>2.4691358024691357E-2</v>
      </c>
      <c r="AT819" s="3">
        <v>7</v>
      </c>
      <c r="AU819" s="3">
        <v>6</v>
      </c>
      <c r="AV819" s="49">
        <v>81.343283582089597</v>
      </c>
      <c r="AW819" s="49">
        <v>17.164179104477601</v>
      </c>
      <c r="AX819" s="49">
        <v>1.4925373134328399</v>
      </c>
      <c r="AY819" s="67">
        <v>0</v>
      </c>
      <c r="AZ819" s="62">
        <v>1.020408163265306E-2</v>
      </c>
      <c r="BA819" s="62">
        <v>4.2857142857142858E-2</v>
      </c>
      <c r="BB819" s="78">
        <v>95.304270007670695</v>
      </c>
      <c r="BC819" s="49">
        <v>24.6938775510204</v>
      </c>
      <c r="BD819" s="87">
        <v>12.2</v>
      </c>
      <c r="BE819" s="87">
        <v>10</v>
      </c>
      <c r="BF819" s="87">
        <v>4.8</v>
      </c>
      <c r="BG819" s="87">
        <v>3.2</v>
      </c>
      <c r="BH819" s="87">
        <v>0</v>
      </c>
      <c r="BI819" s="87">
        <v>1.3</v>
      </c>
      <c r="BJ819" s="49">
        <v>20.100000000000001</v>
      </c>
      <c r="BK819" s="129">
        <v>17968</v>
      </c>
      <c r="BL819" s="129">
        <v>56091</v>
      </c>
      <c r="BM819" s="129">
        <v>65350</v>
      </c>
      <c r="BN819" s="129">
        <v>47161</v>
      </c>
      <c r="BO819" s="59">
        <v>0</v>
      </c>
      <c r="BP819" s="59">
        <v>0.26900000000000002</v>
      </c>
      <c r="BQ819" s="59">
        <v>0.1137</v>
      </c>
      <c r="BR819" s="59">
        <v>0</v>
      </c>
      <c r="BS819" s="59">
        <v>0</v>
      </c>
      <c r="BT819" s="49">
        <v>2.6</v>
      </c>
      <c r="BU819" s="59">
        <f t="shared" si="60"/>
        <v>0.38270000000000004</v>
      </c>
      <c r="BV819" s="59">
        <v>2.8400000000000002E-2</v>
      </c>
      <c r="BW819" s="59">
        <v>0</v>
      </c>
      <c r="BX819" s="59">
        <v>3.9399999999999998E-2</v>
      </c>
      <c r="BY819" s="59">
        <v>0</v>
      </c>
      <c r="BZ819" s="59">
        <v>0</v>
      </c>
      <c r="CA819" s="49">
        <v>15.6</v>
      </c>
      <c r="CB819" s="59">
        <f t="shared" si="61"/>
        <v>6.7799999999999999E-2</v>
      </c>
      <c r="CC819" s="59">
        <v>0.39600000000000002</v>
      </c>
      <c r="CD819" s="59">
        <v>0.37980000000000003</v>
      </c>
      <c r="CE819" s="59">
        <v>0.22420000000000001</v>
      </c>
      <c r="CF819" s="59">
        <v>0</v>
      </c>
      <c r="CG819" s="59">
        <v>0</v>
      </c>
      <c r="CH819" s="49">
        <v>5.6</v>
      </c>
      <c r="CI819" s="26" t="s">
        <v>295</v>
      </c>
      <c r="CJ819" s="18" t="s">
        <v>489</v>
      </c>
      <c r="CK819" s="20"/>
    </row>
    <row r="820" spans="1:99" s="1" customFormat="1" ht="21" customHeight="1" x14ac:dyDescent="0.25">
      <c r="A820" s="21" t="s">
        <v>0</v>
      </c>
      <c r="B820" s="22" t="s">
        <v>1</v>
      </c>
      <c r="C820" s="22" t="s">
        <v>2</v>
      </c>
      <c r="D820" s="9" t="s">
        <v>3</v>
      </c>
      <c r="E820" s="9" t="s">
        <v>4</v>
      </c>
      <c r="F820" s="9" t="s">
        <v>5</v>
      </c>
      <c r="G820" s="161" t="s">
        <v>565</v>
      </c>
      <c r="H820" s="161" t="s">
        <v>566</v>
      </c>
      <c r="I820" s="161" t="s">
        <v>567</v>
      </c>
      <c r="J820" s="161" t="s">
        <v>568</v>
      </c>
      <c r="K820" s="161" t="s">
        <v>569</v>
      </c>
      <c r="L820" s="161" t="s">
        <v>570</v>
      </c>
      <c r="M820" s="161" t="s">
        <v>571</v>
      </c>
      <c r="N820" s="120" t="s">
        <v>6</v>
      </c>
      <c r="O820" s="120" t="s">
        <v>7</v>
      </c>
      <c r="P820" s="120" t="s">
        <v>8</v>
      </c>
      <c r="Q820" s="120" t="s">
        <v>9</v>
      </c>
      <c r="R820" s="120" t="s">
        <v>10</v>
      </c>
      <c r="S820" s="120" t="s">
        <v>11</v>
      </c>
      <c r="T820" s="120" t="s">
        <v>12</v>
      </c>
      <c r="U820" s="120" t="s">
        <v>13</v>
      </c>
      <c r="V820" s="120" t="s">
        <v>14</v>
      </c>
      <c r="W820" s="41" t="s">
        <v>15</v>
      </c>
      <c r="X820" s="41" t="s">
        <v>16</v>
      </c>
      <c r="Y820" s="41" t="s">
        <v>17</v>
      </c>
      <c r="Z820" s="107" t="s">
        <v>18</v>
      </c>
      <c r="AA820" s="107" t="s">
        <v>19</v>
      </c>
      <c r="AB820" s="95" t="s">
        <v>20</v>
      </c>
      <c r="AC820" s="95" t="s">
        <v>21</v>
      </c>
      <c r="AD820" s="95" t="s">
        <v>22</v>
      </c>
      <c r="AE820" s="95" t="s">
        <v>23</v>
      </c>
      <c r="AF820" s="95" t="s">
        <v>24</v>
      </c>
      <c r="AG820" s="95" t="s">
        <v>25</v>
      </c>
      <c r="AH820" s="95" t="s">
        <v>26</v>
      </c>
      <c r="AI820" s="95" t="s">
        <v>27</v>
      </c>
      <c r="AJ820" s="95" t="s">
        <v>28</v>
      </c>
      <c r="AK820" s="107" t="s">
        <v>29</v>
      </c>
      <c r="AL820" s="42" t="s">
        <v>30</v>
      </c>
      <c r="AM820" s="42" t="s">
        <v>31</v>
      </c>
      <c r="AN820" s="42" t="s">
        <v>32</v>
      </c>
      <c r="AO820" s="42" t="s">
        <v>33</v>
      </c>
      <c r="AP820" s="42" t="s">
        <v>34</v>
      </c>
      <c r="AQ820" s="42" t="s">
        <v>35</v>
      </c>
      <c r="AR820" s="42" t="s">
        <v>36</v>
      </c>
      <c r="AS820" s="100" t="s">
        <v>37</v>
      </c>
      <c r="AT820" s="41" t="s">
        <v>38</v>
      </c>
      <c r="AU820" s="23" t="s">
        <v>39</v>
      </c>
      <c r="AV820" s="51" t="s">
        <v>40</v>
      </c>
      <c r="AW820" s="51" t="s">
        <v>41</v>
      </c>
      <c r="AX820" s="51" t="s">
        <v>42</v>
      </c>
      <c r="AY820" s="66" t="s">
        <v>43</v>
      </c>
      <c r="AZ820" s="58" t="s">
        <v>44</v>
      </c>
      <c r="BA820" s="58" t="s">
        <v>45</v>
      </c>
      <c r="BB820" s="75" t="s">
        <v>46</v>
      </c>
      <c r="BC820" s="83" t="s">
        <v>47</v>
      </c>
      <c r="BD820" s="89" t="s">
        <v>48</v>
      </c>
      <c r="BE820" s="89" t="s">
        <v>49</v>
      </c>
      <c r="BF820" s="89" t="s">
        <v>50</v>
      </c>
      <c r="BG820" s="89" t="s">
        <v>51</v>
      </c>
      <c r="BH820" s="89" t="s">
        <v>52</v>
      </c>
      <c r="BI820" s="89" t="s">
        <v>53</v>
      </c>
      <c r="BJ820" s="86" t="s">
        <v>54</v>
      </c>
      <c r="BK820" s="123" t="s">
        <v>55</v>
      </c>
      <c r="BL820" s="123" t="s">
        <v>56</v>
      </c>
      <c r="BM820" s="123" t="s">
        <v>57</v>
      </c>
      <c r="BN820" s="123" t="s">
        <v>58</v>
      </c>
      <c r="BO820" s="131" t="s">
        <v>59</v>
      </c>
      <c r="BP820" s="131" t="s">
        <v>60</v>
      </c>
      <c r="BQ820" s="131" t="s">
        <v>61</v>
      </c>
      <c r="BR820" s="131" t="s">
        <v>62</v>
      </c>
      <c r="BS820" s="131" t="s">
        <v>63</v>
      </c>
      <c r="BT820" s="131" t="s">
        <v>64</v>
      </c>
      <c r="BU820" s="131" t="s">
        <v>65</v>
      </c>
      <c r="BV820" s="132" t="s">
        <v>66</v>
      </c>
      <c r="BW820" s="132" t="s">
        <v>67</v>
      </c>
      <c r="BX820" s="132" t="s">
        <v>68</v>
      </c>
      <c r="BY820" s="132" t="s">
        <v>69</v>
      </c>
      <c r="BZ820" s="132" t="s">
        <v>70</v>
      </c>
      <c r="CA820" s="132" t="s">
        <v>71</v>
      </c>
      <c r="CB820" s="132" t="s">
        <v>72</v>
      </c>
      <c r="CC820" s="123" t="s">
        <v>73</v>
      </c>
      <c r="CD820" s="123" t="s">
        <v>74</v>
      </c>
      <c r="CE820" s="123" t="s">
        <v>75</v>
      </c>
      <c r="CF820" s="123" t="s">
        <v>76</v>
      </c>
      <c r="CG820" s="123" t="s">
        <v>77</v>
      </c>
      <c r="CH820" s="123" t="s">
        <v>78</v>
      </c>
      <c r="CI820" s="22" t="s">
        <v>2</v>
      </c>
      <c r="CJ820" s="21" t="s">
        <v>0</v>
      </c>
      <c r="CK820" s="24" t="s">
        <v>79</v>
      </c>
      <c r="CL820"/>
      <c r="CM820"/>
      <c r="CN820"/>
      <c r="CO820"/>
      <c r="CP820"/>
      <c r="CQ820"/>
      <c r="CR820"/>
      <c r="CS820"/>
      <c r="CT820"/>
      <c r="CU820"/>
    </row>
    <row r="821" spans="1:99" x14ac:dyDescent="0.25">
      <c r="A821" s="18" t="s">
        <v>489</v>
      </c>
      <c r="B821" s="19" t="s">
        <v>296</v>
      </c>
      <c r="C821" s="26" t="s">
        <v>297</v>
      </c>
      <c r="D821" s="6">
        <v>56</v>
      </c>
      <c r="E821" s="6">
        <v>6</v>
      </c>
      <c r="F821" s="6">
        <v>50</v>
      </c>
      <c r="G821" s="163">
        <v>3</v>
      </c>
      <c r="H821" s="163">
        <v>3</v>
      </c>
      <c r="I821" s="163">
        <v>5</v>
      </c>
      <c r="J821" s="163">
        <v>13</v>
      </c>
      <c r="K821" s="163">
        <v>16</v>
      </c>
      <c r="L821" s="163">
        <v>9</v>
      </c>
      <c r="M821" s="163">
        <v>7</v>
      </c>
      <c r="N821" s="115">
        <v>5.1470588235294101E-2</v>
      </c>
      <c r="O821" s="115">
        <v>6.1576354679802998E-2</v>
      </c>
      <c r="P821" s="115">
        <v>2.15827338129496E-2</v>
      </c>
      <c r="Q821" s="115">
        <v>2.18978102189781E-2</v>
      </c>
      <c r="R821" s="115">
        <v>0.238095238095238</v>
      </c>
      <c r="S821" s="115">
        <v>5.1587301587301598E-2</v>
      </c>
      <c r="T821" s="115">
        <v>7.9207920792079195E-2</v>
      </c>
      <c r="U821" s="115">
        <v>5.29411764705882E-2</v>
      </c>
      <c r="V821" s="115">
        <v>4.1916167664670698E-2</v>
      </c>
      <c r="W821" s="6">
        <v>1004</v>
      </c>
      <c r="X821" s="40">
        <f t="shared" si="58"/>
        <v>751</v>
      </c>
      <c r="Y821" s="40">
        <f t="shared" si="59"/>
        <v>1004</v>
      </c>
      <c r="Z821" s="59">
        <v>0.49099999999999999</v>
      </c>
      <c r="AA821" s="59">
        <v>0.50900000000000001</v>
      </c>
      <c r="AB821" s="61">
        <v>1.9920318725099601E-3</v>
      </c>
      <c r="AC821" s="61">
        <v>9.9601593625498006E-4</v>
      </c>
      <c r="AD821" s="61">
        <v>0.61155378486055778</v>
      </c>
      <c r="AE821" s="61">
        <v>2.5896414342629483E-2</v>
      </c>
      <c r="AF821" s="61">
        <v>0</v>
      </c>
      <c r="AG821" s="61">
        <v>0.34262948207171312</v>
      </c>
      <c r="AH821" s="61">
        <v>1.693227091633466E-2</v>
      </c>
      <c r="AI821" s="61">
        <v>0.65737051792828682</v>
      </c>
      <c r="AJ821" s="59">
        <v>0.80200000000000005</v>
      </c>
      <c r="AK821" s="59">
        <v>4.0000000000000001E-3</v>
      </c>
      <c r="AL821" s="3">
        <v>130</v>
      </c>
      <c r="AM821" s="3">
        <v>123</v>
      </c>
      <c r="AN821" s="3">
        <v>16</v>
      </c>
      <c r="AO821" s="3">
        <v>230</v>
      </c>
      <c r="AP821" s="3">
        <v>180</v>
      </c>
      <c r="AQ821" s="3">
        <v>160</v>
      </c>
      <c r="AR821" s="3">
        <v>165</v>
      </c>
      <c r="AS821" s="59">
        <v>6.5040650406504072E-2</v>
      </c>
      <c r="AT821" s="3">
        <v>7</v>
      </c>
      <c r="AU821" s="3">
        <v>6</v>
      </c>
      <c r="AV821" s="49">
        <v>60.903732809430302</v>
      </c>
      <c r="AW821" s="49">
        <v>30.648330058939099</v>
      </c>
      <c r="AX821" s="49">
        <v>8.0550098231827096</v>
      </c>
      <c r="AY821" s="67">
        <v>0.392927308447937</v>
      </c>
      <c r="AZ821" s="62">
        <v>0.26484448633364749</v>
      </c>
      <c r="BA821" s="62">
        <v>0</v>
      </c>
      <c r="BB821" s="77">
        <v>90.229201037002099</v>
      </c>
      <c r="BC821" s="49">
        <v>47.470101195952203</v>
      </c>
      <c r="BD821" s="87">
        <v>4.0999999999999996</v>
      </c>
      <c r="BE821" s="87">
        <v>0</v>
      </c>
      <c r="BF821" s="87">
        <v>13.2</v>
      </c>
      <c r="BG821" s="87">
        <v>10.1</v>
      </c>
      <c r="BH821" s="87">
        <v>6.7</v>
      </c>
      <c r="BI821" s="87">
        <v>3.7</v>
      </c>
      <c r="BJ821" s="49">
        <v>17.899999999999999</v>
      </c>
      <c r="BK821" s="126">
        <v>10903</v>
      </c>
      <c r="BL821" s="126">
        <v>47310</v>
      </c>
      <c r="BM821" s="126">
        <v>49015</v>
      </c>
      <c r="BN821" s="126">
        <v>43023</v>
      </c>
      <c r="BO821" s="59">
        <v>2.4899999999999999E-2</v>
      </c>
      <c r="BP821" s="59">
        <v>0.57689999999999997</v>
      </c>
      <c r="BQ821" s="59">
        <v>0.1244</v>
      </c>
      <c r="BR821" s="59">
        <v>0</v>
      </c>
      <c r="BS821" s="59">
        <v>0</v>
      </c>
      <c r="BT821" s="49">
        <v>11.6</v>
      </c>
      <c r="BU821" s="59">
        <f t="shared" si="60"/>
        <v>0.72619999999999996</v>
      </c>
      <c r="BV821" s="59">
        <v>3.73E-2</v>
      </c>
      <c r="BW821" s="59">
        <v>0</v>
      </c>
      <c r="BX821" s="59">
        <v>4.9799999999999997E-2</v>
      </c>
      <c r="BY821" s="59">
        <v>0</v>
      </c>
      <c r="BZ821" s="59">
        <v>0</v>
      </c>
      <c r="CA821" s="49">
        <v>19.399999999999999</v>
      </c>
      <c r="CB821" s="59">
        <f t="shared" si="61"/>
        <v>8.7099999999999997E-2</v>
      </c>
      <c r="CC821" s="59">
        <v>0.1991</v>
      </c>
      <c r="CD821" s="59">
        <v>0.6018</v>
      </c>
      <c r="CE821" s="59">
        <v>0.1991</v>
      </c>
      <c r="CF821" s="59">
        <v>0</v>
      </c>
      <c r="CG821" s="59">
        <v>0</v>
      </c>
      <c r="CH821" s="49">
        <v>11.3</v>
      </c>
      <c r="CI821" s="26" t="s">
        <v>297</v>
      </c>
      <c r="CJ821" s="18" t="s">
        <v>489</v>
      </c>
      <c r="CK821" s="20"/>
    </row>
    <row r="822" spans="1:99" x14ac:dyDescent="0.25">
      <c r="A822" s="18" t="s">
        <v>489</v>
      </c>
      <c r="B822" s="19" t="s">
        <v>298</v>
      </c>
      <c r="C822" s="26" t="s">
        <v>299</v>
      </c>
      <c r="D822" s="6">
        <v>45</v>
      </c>
      <c r="E822" s="40" t="s">
        <v>83</v>
      </c>
      <c r="F822" s="6">
        <v>45</v>
      </c>
      <c r="G822" s="162" t="s">
        <v>83</v>
      </c>
      <c r="H822" s="162" t="s">
        <v>83</v>
      </c>
      <c r="I822" s="163">
        <v>0</v>
      </c>
      <c r="J822" s="163">
        <v>15</v>
      </c>
      <c r="K822" s="163">
        <v>14</v>
      </c>
      <c r="L822" s="163">
        <v>13</v>
      </c>
      <c r="M822" s="163">
        <v>3</v>
      </c>
      <c r="N822" s="115">
        <v>3.0467163168584999E-2</v>
      </c>
      <c r="O822" s="115">
        <v>3.0467163168584999E-2</v>
      </c>
      <c r="P822" s="116" t="s">
        <v>83</v>
      </c>
      <c r="Q822" s="116" t="s">
        <v>83</v>
      </c>
      <c r="R822" s="115">
        <v>0</v>
      </c>
      <c r="S822" s="115">
        <v>3.9577836411609502E-2</v>
      </c>
      <c r="T822" s="115">
        <v>3.6269430051813503E-2</v>
      </c>
      <c r="U822" s="115">
        <v>3.9039039039038999E-2</v>
      </c>
      <c r="V822" s="115">
        <v>9.3457943925233603E-3</v>
      </c>
      <c r="W822" s="6">
        <v>1382</v>
      </c>
      <c r="X822" s="40">
        <f t="shared" si="58"/>
        <v>1382</v>
      </c>
      <c r="Y822" s="40">
        <f t="shared" si="59"/>
        <v>1382</v>
      </c>
      <c r="Z822" s="59">
        <v>0.51659999999999995</v>
      </c>
      <c r="AA822" s="59">
        <v>0.4834</v>
      </c>
      <c r="AB822" s="61">
        <v>2.8943560057887118E-3</v>
      </c>
      <c r="AC822" s="61">
        <v>1.9536903039073805E-2</v>
      </c>
      <c r="AD822" s="61">
        <v>0.47250361794500723</v>
      </c>
      <c r="AE822" s="61">
        <v>2.2431259044862518E-2</v>
      </c>
      <c r="AF822" s="61">
        <v>0</v>
      </c>
      <c r="AG822" s="61">
        <v>0.48263386396526775</v>
      </c>
      <c r="AH822" s="61">
        <v>0</v>
      </c>
      <c r="AI822" s="61">
        <v>0.51736613603473225</v>
      </c>
      <c r="AJ822" s="59">
        <v>0.55100000000000005</v>
      </c>
      <c r="AK822" s="59">
        <v>1.01E-2</v>
      </c>
      <c r="AL822" s="3">
        <v>0</v>
      </c>
      <c r="AM822" s="3">
        <v>0</v>
      </c>
      <c r="AN822" s="3">
        <v>53</v>
      </c>
      <c r="AO822" s="3">
        <v>345</v>
      </c>
      <c r="AP822" s="3">
        <v>357</v>
      </c>
      <c r="AQ822" s="3">
        <v>336</v>
      </c>
      <c r="AR822" s="3">
        <v>291</v>
      </c>
      <c r="AS822" s="59">
        <v>0.13316582914572864</v>
      </c>
      <c r="AT822" s="3">
        <v>9</v>
      </c>
      <c r="AU822" s="3">
        <v>6</v>
      </c>
      <c r="AV822" s="49">
        <v>55.104712041884795</v>
      </c>
      <c r="AW822" s="49">
        <v>25.392670157068096</v>
      </c>
      <c r="AX822" s="49">
        <v>17.539267015706798</v>
      </c>
      <c r="AY822" s="67">
        <v>1.96335078534031</v>
      </c>
      <c r="AZ822" s="62">
        <v>6.2585969738651992E-2</v>
      </c>
      <c r="BA822" s="62">
        <v>0.10729023383768914</v>
      </c>
      <c r="BB822" s="78">
        <v>94.707176363691701</v>
      </c>
      <c r="BC822" s="49">
        <v>3.3653846153846199</v>
      </c>
      <c r="BD822" s="90" t="s">
        <v>83</v>
      </c>
      <c r="BE822" s="90" t="s">
        <v>83</v>
      </c>
      <c r="BF822" s="87">
        <v>8.6999999999999993</v>
      </c>
      <c r="BG822" s="87">
        <v>5.5</v>
      </c>
      <c r="BH822" s="87">
        <v>2.1</v>
      </c>
      <c r="BI822" s="87">
        <v>5.3</v>
      </c>
      <c r="BJ822" s="49">
        <v>19.899999999999999</v>
      </c>
      <c r="BK822" s="126">
        <v>9221</v>
      </c>
      <c r="BL822" s="126">
        <v>50692</v>
      </c>
      <c r="BM822" s="126">
        <v>45381</v>
      </c>
      <c r="BN822" s="126">
        <v>40544</v>
      </c>
      <c r="BO822" s="59">
        <v>0</v>
      </c>
      <c r="BP822" s="59">
        <v>0.41849999999999998</v>
      </c>
      <c r="BQ822" s="59">
        <v>0.16589999999999999</v>
      </c>
      <c r="BR822" s="59">
        <v>0</v>
      </c>
      <c r="BS822" s="59">
        <v>7.4999999999999997E-3</v>
      </c>
      <c r="BT822" s="49">
        <v>13.5</v>
      </c>
      <c r="BU822" s="59">
        <f t="shared" si="60"/>
        <v>0.59189999999999998</v>
      </c>
      <c r="BV822" s="59">
        <v>0.03</v>
      </c>
      <c r="BW822" s="59">
        <v>0</v>
      </c>
      <c r="BX822" s="59">
        <v>2.5999999999999999E-2</v>
      </c>
      <c r="BY822" s="59">
        <v>0</v>
      </c>
      <c r="BZ822" s="59">
        <v>0</v>
      </c>
      <c r="CA822" s="49">
        <v>14.3</v>
      </c>
      <c r="CB822" s="59">
        <f t="shared" si="61"/>
        <v>5.5999999999999994E-2</v>
      </c>
      <c r="CC822" s="59">
        <v>0.34960000000000002</v>
      </c>
      <c r="CD822" s="59">
        <v>0.42099999999999999</v>
      </c>
      <c r="CE822" s="59">
        <v>0.22189999999999999</v>
      </c>
      <c r="CF822" s="59">
        <v>0</v>
      </c>
      <c r="CG822" s="59">
        <v>7.4999999999999997E-3</v>
      </c>
      <c r="CH822" s="49">
        <v>12.6</v>
      </c>
      <c r="CI822" s="26" t="s">
        <v>299</v>
      </c>
      <c r="CJ822" s="18" t="s">
        <v>489</v>
      </c>
      <c r="CK822" s="20"/>
    </row>
    <row r="823" spans="1:99" x14ac:dyDescent="0.25">
      <c r="A823" s="18" t="s">
        <v>489</v>
      </c>
      <c r="B823" s="19" t="s">
        <v>298</v>
      </c>
      <c r="C823" s="26" t="s">
        <v>300</v>
      </c>
      <c r="D823" s="6">
        <v>66</v>
      </c>
      <c r="E823" s="40" t="s">
        <v>83</v>
      </c>
      <c r="F823" s="6">
        <v>66</v>
      </c>
      <c r="G823" s="162" t="s">
        <v>83</v>
      </c>
      <c r="H823" s="162" t="s">
        <v>83</v>
      </c>
      <c r="I823" s="163">
        <v>4</v>
      </c>
      <c r="J823" s="163">
        <v>31</v>
      </c>
      <c r="K823" s="163">
        <v>14</v>
      </c>
      <c r="L823" s="163">
        <v>9</v>
      </c>
      <c r="M823" s="163">
        <v>8</v>
      </c>
      <c r="N823" s="115">
        <v>9.6491228070175405E-2</v>
      </c>
      <c r="O823" s="115">
        <v>9.6491228070175405E-2</v>
      </c>
      <c r="P823" s="116" t="s">
        <v>83</v>
      </c>
      <c r="Q823" s="116" t="s">
        <v>83</v>
      </c>
      <c r="R823" s="115">
        <v>5.9701492537313397E-2</v>
      </c>
      <c r="S823" s="115">
        <v>0.13362068965517199</v>
      </c>
      <c r="T823" s="115">
        <v>8.2840236686390498E-2</v>
      </c>
      <c r="U823" s="115">
        <v>7.7586206896551699E-2</v>
      </c>
      <c r="V823" s="115">
        <v>0.08</v>
      </c>
      <c r="W823" s="6">
        <v>586</v>
      </c>
      <c r="X823" s="40">
        <f t="shared" si="58"/>
        <v>586</v>
      </c>
      <c r="Y823" s="40">
        <f t="shared" si="59"/>
        <v>586</v>
      </c>
      <c r="Z823" s="59">
        <v>0.50170000000000003</v>
      </c>
      <c r="AA823" s="59">
        <v>0.49830000000000002</v>
      </c>
      <c r="AB823" s="61">
        <v>0</v>
      </c>
      <c r="AC823" s="61">
        <v>3.5836177474402729E-2</v>
      </c>
      <c r="AD823" s="61">
        <v>0.68941979522184305</v>
      </c>
      <c r="AE823" s="61">
        <v>2.9010238907849831E-2</v>
      </c>
      <c r="AF823" s="61">
        <v>0</v>
      </c>
      <c r="AG823" s="61">
        <v>0.24402730375426621</v>
      </c>
      <c r="AH823" s="61">
        <v>1.7064846416382253E-3</v>
      </c>
      <c r="AI823" s="61">
        <v>0.75597269624573382</v>
      </c>
      <c r="AJ823" s="59">
        <v>0.73</v>
      </c>
      <c r="AK823" s="59">
        <v>3.9199999999999999E-2</v>
      </c>
      <c r="AL823" s="3">
        <v>0</v>
      </c>
      <c r="AM823" s="3">
        <v>0</v>
      </c>
      <c r="AN823" s="3">
        <v>55</v>
      </c>
      <c r="AO823" s="3">
        <v>187</v>
      </c>
      <c r="AP823" s="3">
        <v>153</v>
      </c>
      <c r="AQ823" s="3">
        <v>107</v>
      </c>
      <c r="AR823" s="3">
        <v>84</v>
      </c>
      <c r="AS823" s="59">
        <v>0.22727272727272727</v>
      </c>
      <c r="AT823" s="3">
        <v>9</v>
      </c>
      <c r="AU823" s="3">
        <v>6</v>
      </c>
      <c r="AV823" s="49">
        <v>81.149425287356308</v>
      </c>
      <c r="AW823" s="49">
        <v>13.103448275862101</v>
      </c>
      <c r="AX823" s="49">
        <v>5.0574712643678206</v>
      </c>
      <c r="AY823" s="67">
        <v>0.68965517241379304</v>
      </c>
      <c r="AZ823" s="62">
        <v>0.21524663677130046</v>
      </c>
      <c r="BA823" s="62">
        <v>7.9222720478325862E-2</v>
      </c>
      <c r="BB823" s="77">
        <v>92.3404628874178</v>
      </c>
      <c r="BC823" s="49">
        <v>5.3731343283582103</v>
      </c>
      <c r="BD823" s="90" t="s">
        <v>83</v>
      </c>
      <c r="BE823" s="90" t="s">
        <v>83</v>
      </c>
      <c r="BF823" s="87">
        <v>16.7</v>
      </c>
      <c r="BG823" s="87">
        <v>11.5</v>
      </c>
      <c r="BH823" s="87">
        <v>10.8</v>
      </c>
      <c r="BI823" s="87">
        <v>8</v>
      </c>
      <c r="BJ823" s="49">
        <v>21.5</v>
      </c>
      <c r="BK823" s="126">
        <v>13985</v>
      </c>
      <c r="BL823" s="126">
        <v>51503</v>
      </c>
      <c r="BM823" s="126">
        <v>45150</v>
      </c>
      <c r="BN823" s="126">
        <v>37458</v>
      </c>
      <c r="BO823" s="59">
        <v>0</v>
      </c>
      <c r="BP823" s="59">
        <v>0.25</v>
      </c>
      <c r="BQ823" s="59">
        <v>0.21410000000000001</v>
      </c>
      <c r="BR823" s="59">
        <v>0</v>
      </c>
      <c r="BS823" s="59">
        <v>0</v>
      </c>
      <c r="BT823" s="49">
        <v>13.6</v>
      </c>
      <c r="BU823" s="59">
        <f t="shared" si="60"/>
        <v>0.46410000000000001</v>
      </c>
      <c r="BV823" s="59">
        <v>4.1399999999999999E-2</v>
      </c>
      <c r="BW823" s="59">
        <v>0</v>
      </c>
      <c r="BX823" s="59">
        <v>2.07E-2</v>
      </c>
      <c r="BY823" s="59">
        <v>1.04E-2</v>
      </c>
      <c r="BZ823" s="59">
        <v>0</v>
      </c>
      <c r="CA823" s="49">
        <v>18.100000000000001</v>
      </c>
      <c r="CB823" s="59">
        <f t="shared" si="61"/>
        <v>7.2500000000000009E-2</v>
      </c>
      <c r="CC823" s="59">
        <v>0.46489999999999998</v>
      </c>
      <c r="CD823" s="59">
        <v>0.25390000000000001</v>
      </c>
      <c r="CE823" s="59">
        <v>0.2707</v>
      </c>
      <c r="CF823" s="59">
        <v>1.04E-2</v>
      </c>
      <c r="CG823" s="59">
        <v>0</v>
      </c>
      <c r="CH823" s="49">
        <v>13.1</v>
      </c>
      <c r="CI823" s="26" t="s">
        <v>300</v>
      </c>
      <c r="CJ823" s="18" t="s">
        <v>489</v>
      </c>
      <c r="CK823" s="20"/>
    </row>
    <row r="824" spans="1:99" x14ac:dyDescent="0.25">
      <c r="A824" s="18" t="s">
        <v>489</v>
      </c>
      <c r="B824" s="19" t="s">
        <v>298</v>
      </c>
      <c r="C824" s="26" t="s">
        <v>301</v>
      </c>
      <c r="D824" s="6">
        <v>27</v>
      </c>
      <c r="E824" s="6">
        <v>0</v>
      </c>
      <c r="F824" s="6">
        <v>27</v>
      </c>
      <c r="G824" s="163">
        <v>0</v>
      </c>
      <c r="H824" s="163">
        <v>0</v>
      </c>
      <c r="I824" s="163">
        <v>0</v>
      </c>
      <c r="J824" s="163">
        <v>9</v>
      </c>
      <c r="K824" s="163">
        <v>6</v>
      </c>
      <c r="L824" s="163">
        <v>7</v>
      </c>
      <c r="M824" s="163">
        <v>5</v>
      </c>
      <c r="N824" s="115">
        <v>2.54716981132075E-2</v>
      </c>
      <c r="O824" s="115">
        <v>3.8516405135520702E-2</v>
      </c>
      <c r="P824" s="115">
        <v>0</v>
      </c>
      <c r="Q824" s="115">
        <v>0</v>
      </c>
      <c r="R824" s="115">
        <v>0</v>
      </c>
      <c r="S824" s="115">
        <v>4.94505494505494E-2</v>
      </c>
      <c r="T824" s="115">
        <v>3.2258064516128997E-2</v>
      </c>
      <c r="U824" s="115">
        <v>4.1666666666666699E-2</v>
      </c>
      <c r="V824" s="115">
        <v>3.37837837837838E-2</v>
      </c>
      <c r="W824" s="6">
        <v>1119</v>
      </c>
      <c r="X824" s="40">
        <f t="shared" si="58"/>
        <v>661</v>
      </c>
      <c r="Y824" s="40">
        <f t="shared" si="59"/>
        <v>1000</v>
      </c>
      <c r="Z824" s="59">
        <v>0.49419999999999997</v>
      </c>
      <c r="AA824" s="59">
        <v>0.50580000000000003</v>
      </c>
      <c r="AB824" s="61">
        <v>4.4682752457551383E-3</v>
      </c>
      <c r="AC824" s="61">
        <v>4.4682752457551383E-3</v>
      </c>
      <c r="AD824" s="61">
        <v>1.7873100983020554E-3</v>
      </c>
      <c r="AE824" s="61">
        <v>1.161751563896336E-2</v>
      </c>
      <c r="AF824" s="61">
        <v>0</v>
      </c>
      <c r="AG824" s="61">
        <v>0.97765862377122426</v>
      </c>
      <c r="AH824" s="61">
        <v>0</v>
      </c>
      <c r="AI824" s="61">
        <v>2.2341376228775692E-2</v>
      </c>
      <c r="AJ824" s="59">
        <v>0.47099999999999997</v>
      </c>
      <c r="AK824" s="59">
        <v>2.7000000000000001E-3</v>
      </c>
      <c r="AL824" s="3">
        <v>167</v>
      </c>
      <c r="AM824" s="3">
        <v>172</v>
      </c>
      <c r="AN824" s="3">
        <v>15</v>
      </c>
      <c r="AO824" s="3">
        <v>168</v>
      </c>
      <c r="AP824" s="3">
        <v>175</v>
      </c>
      <c r="AQ824" s="3">
        <v>166</v>
      </c>
      <c r="AR824" s="3">
        <v>137</v>
      </c>
      <c r="AS824" s="59">
        <v>8.1967213114754092E-2</v>
      </c>
      <c r="AT824" s="3">
        <v>6</v>
      </c>
      <c r="AU824" s="3">
        <v>6</v>
      </c>
      <c r="AV824" s="49">
        <v>57.601713062098504</v>
      </c>
      <c r="AW824" s="49">
        <v>27.4089935760171</v>
      </c>
      <c r="AX824" s="49">
        <v>14.346895074946501</v>
      </c>
      <c r="AY824" s="67">
        <v>0.64239828693790102</v>
      </c>
      <c r="AZ824" s="62">
        <v>0.15293118096856415</v>
      </c>
      <c r="BA824" s="62">
        <v>8.0713678844519965E-2</v>
      </c>
      <c r="BB824" s="78">
        <v>93.939050490780104</v>
      </c>
      <c r="BC824" s="49">
        <v>7.5615972812234498</v>
      </c>
      <c r="BD824" s="87">
        <v>0</v>
      </c>
      <c r="BE824" s="87">
        <v>0</v>
      </c>
      <c r="BF824" s="87">
        <v>3.2</v>
      </c>
      <c r="BG824" s="87">
        <v>0.6</v>
      </c>
      <c r="BH824" s="87">
        <v>2</v>
      </c>
      <c r="BI824" s="87">
        <v>2.1</v>
      </c>
      <c r="BJ824" s="49">
        <v>19.7</v>
      </c>
      <c r="BK824" s="126">
        <v>9727</v>
      </c>
      <c r="BL824" s="126">
        <v>52461</v>
      </c>
      <c r="BM824" s="126">
        <v>43323</v>
      </c>
      <c r="BN824" s="126">
        <v>41737</v>
      </c>
      <c r="BO824" s="59">
        <v>0</v>
      </c>
      <c r="BP824" s="59">
        <v>0.43609999999999999</v>
      </c>
      <c r="BQ824" s="59">
        <v>0.14660000000000001</v>
      </c>
      <c r="BR824" s="59">
        <v>0</v>
      </c>
      <c r="BS824" s="59">
        <v>0</v>
      </c>
      <c r="BT824" s="49">
        <v>15.3</v>
      </c>
      <c r="BU824" s="59">
        <f t="shared" si="60"/>
        <v>0.5827</v>
      </c>
      <c r="BV824" s="59">
        <v>3.8600000000000002E-2</v>
      </c>
      <c r="BW824" s="59">
        <v>0</v>
      </c>
      <c r="BX824" s="59">
        <v>2.4E-2</v>
      </c>
      <c r="BY824" s="59">
        <v>0</v>
      </c>
      <c r="BZ824" s="59">
        <v>0</v>
      </c>
      <c r="CA824" s="49">
        <v>16.600000000000001</v>
      </c>
      <c r="CB824" s="59">
        <f t="shared" si="61"/>
        <v>6.2600000000000003E-2</v>
      </c>
      <c r="CC824" s="59">
        <v>0.35299999999999998</v>
      </c>
      <c r="CD824" s="59">
        <v>0.4466</v>
      </c>
      <c r="CE824" s="59">
        <v>0.19869999999999999</v>
      </c>
      <c r="CF824" s="59">
        <v>1.6999999999999999E-3</v>
      </c>
      <c r="CG824" s="59">
        <v>0</v>
      </c>
      <c r="CH824" s="49">
        <v>14.2</v>
      </c>
      <c r="CI824" s="26" t="s">
        <v>301</v>
      </c>
      <c r="CJ824" s="18" t="s">
        <v>489</v>
      </c>
      <c r="CK824" s="20"/>
    </row>
    <row r="825" spans="1:99" x14ac:dyDescent="0.25">
      <c r="A825" s="18" t="s">
        <v>489</v>
      </c>
      <c r="B825" s="19" t="s">
        <v>298</v>
      </c>
      <c r="C825" s="26" t="s">
        <v>302</v>
      </c>
      <c r="D825" s="6">
        <v>9</v>
      </c>
      <c r="E825" s="6">
        <v>0</v>
      </c>
      <c r="F825" s="6">
        <v>9</v>
      </c>
      <c r="G825" s="163">
        <v>0</v>
      </c>
      <c r="H825" s="163">
        <v>0</v>
      </c>
      <c r="I825" s="163">
        <v>1</v>
      </c>
      <c r="J825" s="163">
        <v>2</v>
      </c>
      <c r="K825" s="163">
        <v>4</v>
      </c>
      <c r="L825" s="163">
        <v>2</v>
      </c>
      <c r="M825" s="163">
        <v>0</v>
      </c>
      <c r="N825" s="115">
        <v>2.9032258064516099E-2</v>
      </c>
      <c r="O825" s="115">
        <v>4.7368421052631601E-2</v>
      </c>
      <c r="P825" s="115">
        <v>0</v>
      </c>
      <c r="Q825" s="115">
        <v>0</v>
      </c>
      <c r="R825" s="115">
        <v>0.2</v>
      </c>
      <c r="S825" s="115">
        <v>3.3898305084745797E-2</v>
      </c>
      <c r="T825" s="115">
        <v>9.5238095238095205E-2</v>
      </c>
      <c r="U825" s="115">
        <v>4.4444444444444398E-2</v>
      </c>
      <c r="V825" s="115">
        <v>0</v>
      </c>
      <c r="W825" s="6">
        <v>631</v>
      </c>
      <c r="X825" s="40">
        <f t="shared" si="58"/>
        <v>176</v>
      </c>
      <c r="Y825" s="40">
        <f t="shared" si="59"/>
        <v>282</v>
      </c>
      <c r="Z825" s="59">
        <v>0.47070000000000001</v>
      </c>
      <c r="AA825" s="59">
        <v>0.52929999999999999</v>
      </c>
      <c r="AB825" s="61">
        <v>9.5087163232963554E-3</v>
      </c>
      <c r="AC825" s="61">
        <v>2.694136291600634E-2</v>
      </c>
      <c r="AD825" s="61">
        <v>0.18383518225039619</v>
      </c>
      <c r="AE825" s="61">
        <v>0.16957210776545167</v>
      </c>
      <c r="AF825" s="61">
        <v>0</v>
      </c>
      <c r="AG825" s="61">
        <v>0.6022187004754358</v>
      </c>
      <c r="AH825" s="61">
        <v>7.9239302694136295E-3</v>
      </c>
      <c r="AI825" s="61">
        <v>0.3977812995245642</v>
      </c>
      <c r="AJ825" s="59">
        <v>0.74199999999999999</v>
      </c>
      <c r="AK825" s="59">
        <v>7.7700000000000005E-2</v>
      </c>
      <c r="AL825" s="3">
        <v>47</v>
      </c>
      <c r="AM825" s="3">
        <v>59</v>
      </c>
      <c r="AN825" s="3">
        <v>4</v>
      </c>
      <c r="AO825" s="3">
        <v>57</v>
      </c>
      <c r="AP825" s="3">
        <v>36</v>
      </c>
      <c r="AQ825" s="3">
        <v>42</v>
      </c>
      <c r="AR825" s="3">
        <v>37</v>
      </c>
      <c r="AS825" s="59">
        <v>6.5573770491803282E-2</v>
      </c>
      <c r="AT825" s="3">
        <v>1</v>
      </c>
      <c r="AU825" s="3">
        <v>6</v>
      </c>
      <c r="AV825" s="49">
        <v>81.901840490797596</v>
      </c>
      <c r="AW825" s="49">
        <v>17.4846625766871</v>
      </c>
      <c r="AX825" s="49">
        <v>0.30674846625766899</v>
      </c>
      <c r="AY825" s="67">
        <v>0.30674846625766899</v>
      </c>
      <c r="AZ825" s="62">
        <v>0.15373352855051245</v>
      </c>
      <c r="BA825" s="62">
        <v>4.5387994143484628E-2</v>
      </c>
      <c r="BB825" s="77">
        <v>95.099628315121706</v>
      </c>
      <c r="BC825" s="49">
        <v>0.92735703245749601</v>
      </c>
      <c r="BD825" s="87">
        <v>6.4</v>
      </c>
      <c r="BE825" s="87">
        <v>1.9</v>
      </c>
      <c r="BF825" s="87">
        <v>3.8</v>
      </c>
      <c r="BG825" s="87">
        <v>2.9</v>
      </c>
      <c r="BH825" s="87">
        <v>2.6</v>
      </c>
      <c r="BI825" s="87">
        <v>0</v>
      </c>
      <c r="BJ825" s="49">
        <v>20.2</v>
      </c>
      <c r="BK825" s="126">
        <v>11023</v>
      </c>
      <c r="BL825" s="126">
        <v>50471</v>
      </c>
      <c r="BM825" s="126">
        <v>48326</v>
      </c>
      <c r="BN825" s="126">
        <v>40121</v>
      </c>
      <c r="BO825" s="59">
        <v>0</v>
      </c>
      <c r="BP825" s="59">
        <v>0.41830000000000001</v>
      </c>
      <c r="BQ825" s="59">
        <v>0.124</v>
      </c>
      <c r="BR825" s="59">
        <v>0</v>
      </c>
      <c r="BS825" s="59">
        <v>1.17E-2</v>
      </c>
      <c r="BT825" s="49">
        <v>14.5</v>
      </c>
      <c r="BU825" s="59">
        <f t="shared" si="60"/>
        <v>0.55400000000000005</v>
      </c>
      <c r="BV825" s="59">
        <v>3.3399999999999999E-2</v>
      </c>
      <c r="BW825" s="59">
        <v>0</v>
      </c>
      <c r="BX825" s="59">
        <v>3.4500000000000003E-2</v>
      </c>
      <c r="BY825" s="59">
        <v>0</v>
      </c>
      <c r="BZ825" s="59">
        <v>0</v>
      </c>
      <c r="CA825" s="49">
        <v>15.1</v>
      </c>
      <c r="CB825" s="59">
        <f t="shared" si="61"/>
        <v>6.7900000000000002E-2</v>
      </c>
      <c r="CC825" s="59">
        <v>0.37940000000000002</v>
      </c>
      <c r="CD825" s="59">
        <v>0.44379999999999997</v>
      </c>
      <c r="CE825" s="59">
        <v>0.16309999999999999</v>
      </c>
      <c r="CF825" s="59">
        <v>2E-3</v>
      </c>
      <c r="CG825" s="59">
        <v>1.17E-2</v>
      </c>
      <c r="CH825" s="49">
        <v>13.3</v>
      </c>
      <c r="CI825" s="26" t="s">
        <v>302</v>
      </c>
      <c r="CJ825" s="18" t="s">
        <v>489</v>
      </c>
      <c r="CK825" s="20"/>
    </row>
    <row r="826" spans="1:99" x14ac:dyDescent="0.25">
      <c r="A826" s="18" t="s">
        <v>489</v>
      </c>
      <c r="B826" s="19" t="s">
        <v>298</v>
      </c>
      <c r="C826" s="26" t="s">
        <v>303</v>
      </c>
      <c r="D826" s="6">
        <v>10</v>
      </c>
      <c r="E826" s="6">
        <v>0</v>
      </c>
      <c r="F826" s="6">
        <v>10</v>
      </c>
      <c r="G826" s="163">
        <v>0</v>
      </c>
      <c r="H826" s="163">
        <v>0</v>
      </c>
      <c r="I826" s="163">
        <v>1</v>
      </c>
      <c r="J826" s="163">
        <v>3</v>
      </c>
      <c r="K826" s="163">
        <v>2</v>
      </c>
      <c r="L826" s="163">
        <v>1</v>
      </c>
      <c r="M826" s="163">
        <v>3</v>
      </c>
      <c r="N826" s="115">
        <v>2.6954177897574101E-2</v>
      </c>
      <c r="O826" s="115">
        <v>4.08163265306122E-2</v>
      </c>
      <c r="P826" s="115">
        <v>0</v>
      </c>
      <c r="Q826" s="115">
        <v>0</v>
      </c>
      <c r="R826" s="115">
        <v>0.125</v>
      </c>
      <c r="S826" s="115">
        <v>4.8387096774193498E-2</v>
      </c>
      <c r="T826" s="115">
        <v>2.7777777777777801E-2</v>
      </c>
      <c r="U826" s="115">
        <v>1.9607843137254902E-2</v>
      </c>
      <c r="V826" s="115">
        <v>5.7692307692307702E-2</v>
      </c>
      <c r="W826" s="6">
        <v>773</v>
      </c>
      <c r="X826" s="40">
        <f t="shared" si="58"/>
        <v>236</v>
      </c>
      <c r="Y826" s="40">
        <f t="shared" si="59"/>
        <v>351</v>
      </c>
      <c r="Z826" s="59">
        <v>0.4929</v>
      </c>
      <c r="AA826" s="59">
        <v>0.5071</v>
      </c>
      <c r="AB826" s="61">
        <v>1.5523932729624839E-2</v>
      </c>
      <c r="AC826" s="61">
        <v>9.0556274256144882E-3</v>
      </c>
      <c r="AD826" s="61">
        <v>9.0556274256144882E-3</v>
      </c>
      <c r="AE826" s="61">
        <v>1.2936610608020699E-2</v>
      </c>
      <c r="AF826" s="61">
        <v>0</v>
      </c>
      <c r="AG826" s="61">
        <v>0.95213454075032344</v>
      </c>
      <c r="AH826" s="61">
        <v>1.29366106080207E-3</v>
      </c>
      <c r="AI826" s="61">
        <v>4.7865459249676584E-2</v>
      </c>
      <c r="AJ826" s="59">
        <v>0.63900000000000001</v>
      </c>
      <c r="AK826" s="59">
        <v>3.8999999999999998E-3</v>
      </c>
      <c r="AL826" s="3">
        <v>69</v>
      </c>
      <c r="AM826" s="3">
        <v>46</v>
      </c>
      <c r="AN826" s="3">
        <v>8</v>
      </c>
      <c r="AO826" s="3">
        <v>56</v>
      </c>
      <c r="AP826" s="3">
        <v>71</v>
      </c>
      <c r="AQ826" s="3">
        <v>49</v>
      </c>
      <c r="AR826" s="3">
        <v>52</v>
      </c>
      <c r="AS826" s="59">
        <v>0.125</v>
      </c>
      <c r="AT826" s="3">
        <v>1</v>
      </c>
      <c r="AU826" s="3">
        <v>6</v>
      </c>
      <c r="AV826" s="49">
        <v>70.332480818414297</v>
      </c>
      <c r="AW826" s="49">
        <v>24.808184143222501</v>
      </c>
      <c r="AX826" s="49">
        <v>3.8363171355498702</v>
      </c>
      <c r="AY826" s="67">
        <v>1.0230179028133</v>
      </c>
      <c r="AZ826" s="62">
        <v>7.857142857142857E-2</v>
      </c>
      <c r="BA826" s="62">
        <v>4.4047619047619051E-2</v>
      </c>
      <c r="BB826" s="78">
        <v>93.262592094898295</v>
      </c>
      <c r="BC826" s="49"/>
      <c r="BD826" s="87">
        <v>3</v>
      </c>
      <c r="BE826" s="87">
        <v>10.8</v>
      </c>
      <c r="BF826" s="87">
        <v>0</v>
      </c>
      <c r="BG826" s="87">
        <v>1.6</v>
      </c>
      <c r="BH826" s="87">
        <v>2.1</v>
      </c>
      <c r="BI826" s="87">
        <v>2</v>
      </c>
      <c r="BJ826" s="49">
        <v>20.7</v>
      </c>
      <c r="BK826" s="126">
        <v>10543</v>
      </c>
      <c r="BL826" s="126">
        <v>50857</v>
      </c>
      <c r="BM826" s="126">
        <v>51480</v>
      </c>
      <c r="BN826" s="126">
        <v>39878</v>
      </c>
      <c r="BO826" s="59">
        <v>0</v>
      </c>
      <c r="BP826" s="59">
        <v>0.3876</v>
      </c>
      <c r="BQ826" s="59">
        <v>0.1401</v>
      </c>
      <c r="BR826" s="59">
        <v>1.03E-2</v>
      </c>
      <c r="BS826" s="59">
        <v>0</v>
      </c>
      <c r="BT826" s="49">
        <v>15</v>
      </c>
      <c r="BU826" s="59">
        <f t="shared" si="60"/>
        <v>0.53800000000000003</v>
      </c>
      <c r="BV826" s="59">
        <v>2.5700000000000001E-2</v>
      </c>
      <c r="BW826" s="59">
        <v>0</v>
      </c>
      <c r="BX826" s="59">
        <v>3.27E-2</v>
      </c>
      <c r="BY826" s="59">
        <v>0</v>
      </c>
      <c r="BZ826" s="59">
        <v>0</v>
      </c>
      <c r="CA826" s="49">
        <v>20.7</v>
      </c>
      <c r="CB826" s="59">
        <f t="shared" si="61"/>
        <v>5.8400000000000001E-2</v>
      </c>
      <c r="CC826" s="59">
        <v>0.4007</v>
      </c>
      <c r="CD826" s="59">
        <v>0.39839999999999998</v>
      </c>
      <c r="CE826" s="59">
        <v>0.19059999999999999</v>
      </c>
      <c r="CF826" s="59">
        <v>1.03E-2</v>
      </c>
      <c r="CG826" s="59">
        <v>0</v>
      </c>
      <c r="CH826" s="49">
        <v>14.7</v>
      </c>
      <c r="CI826" s="26" t="s">
        <v>303</v>
      </c>
      <c r="CJ826" s="18" t="s">
        <v>489</v>
      </c>
      <c r="CK826" s="20"/>
    </row>
    <row r="827" spans="1:99" x14ac:dyDescent="0.25">
      <c r="A827" s="18" t="s">
        <v>489</v>
      </c>
      <c r="B827" s="19" t="s">
        <v>298</v>
      </c>
      <c r="C827" s="26" t="s">
        <v>304</v>
      </c>
      <c r="D827" s="6">
        <v>64</v>
      </c>
      <c r="E827" s="40" t="s">
        <v>83</v>
      </c>
      <c r="F827" s="6">
        <v>64</v>
      </c>
      <c r="G827" s="162" t="s">
        <v>83</v>
      </c>
      <c r="H827" s="162" t="s">
        <v>83</v>
      </c>
      <c r="I827" s="163">
        <v>1</v>
      </c>
      <c r="J827" s="163">
        <v>23</v>
      </c>
      <c r="K827" s="163">
        <v>21</v>
      </c>
      <c r="L827" s="163">
        <v>12</v>
      </c>
      <c r="M827" s="163">
        <v>7</v>
      </c>
      <c r="N827" s="115">
        <v>9.6530920060331801E-2</v>
      </c>
      <c r="O827" s="115">
        <v>9.6530920060331801E-2</v>
      </c>
      <c r="P827" s="116" t="s">
        <v>83</v>
      </c>
      <c r="Q827" s="116" t="s">
        <v>83</v>
      </c>
      <c r="R827" s="115">
        <v>1.8181818181818198E-2</v>
      </c>
      <c r="S827" s="115">
        <v>0.117948717948718</v>
      </c>
      <c r="T827" s="115">
        <v>0.11229946524064199</v>
      </c>
      <c r="U827" s="115">
        <v>0.109090909090909</v>
      </c>
      <c r="V827" s="115">
        <v>6.0344827586206899E-2</v>
      </c>
      <c r="W827" s="6">
        <v>586</v>
      </c>
      <c r="X827" s="40">
        <f t="shared" si="58"/>
        <v>586</v>
      </c>
      <c r="Y827" s="40">
        <f t="shared" si="59"/>
        <v>586</v>
      </c>
      <c r="Z827" s="59">
        <v>0.50509999999999999</v>
      </c>
      <c r="AA827" s="59">
        <v>0.49490000000000001</v>
      </c>
      <c r="AB827" s="61">
        <v>5.1194539249146756E-3</v>
      </c>
      <c r="AC827" s="61">
        <v>0</v>
      </c>
      <c r="AD827" s="61">
        <v>0.97098976109215018</v>
      </c>
      <c r="AE827" s="61">
        <v>0</v>
      </c>
      <c r="AF827" s="61">
        <v>0</v>
      </c>
      <c r="AG827" s="61">
        <v>2.3890784982935155E-2</v>
      </c>
      <c r="AH827" s="61">
        <v>0</v>
      </c>
      <c r="AI827" s="61">
        <v>0.97610921501706482</v>
      </c>
      <c r="AJ827" s="59">
        <v>0.91</v>
      </c>
      <c r="AK827" s="59">
        <v>0</v>
      </c>
      <c r="AL827" s="3">
        <v>0</v>
      </c>
      <c r="AM827" s="3">
        <v>0</v>
      </c>
      <c r="AN827" s="3">
        <v>51</v>
      </c>
      <c r="AO827" s="3">
        <v>168</v>
      </c>
      <c r="AP827" s="3">
        <v>170</v>
      </c>
      <c r="AQ827" s="3">
        <v>95</v>
      </c>
      <c r="AR827" s="3">
        <v>102</v>
      </c>
      <c r="AS827" s="59">
        <v>0.23287671232876711</v>
      </c>
      <c r="AT827" s="3">
        <v>9</v>
      </c>
      <c r="AU827" s="3">
        <v>6</v>
      </c>
      <c r="AV827" s="49">
        <v>74.777448071216597</v>
      </c>
      <c r="AW827" s="49">
        <v>19.584569732937702</v>
      </c>
      <c r="AX827" s="49">
        <v>5.3412462908011902</v>
      </c>
      <c r="AY827" s="67">
        <v>0.29673590504451003</v>
      </c>
      <c r="AZ827" s="62">
        <v>0.19129082426127528</v>
      </c>
      <c r="BA827" s="62">
        <v>0.26283048211508553</v>
      </c>
      <c r="BB827" s="77">
        <v>88.434824415143396</v>
      </c>
      <c r="BC827" s="49">
        <v>2.0186335403726701</v>
      </c>
      <c r="BD827" s="90" t="s">
        <v>83</v>
      </c>
      <c r="BE827" s="90" t="s">
        <v>83</v>
      </c>
      <c r="BF827" s="87">
        <v>11.8</v>
      </c>
      <c r="BG827" s="87">
        <v>9.9</v>
      </c>
      <c r="BH827" s="87">
        <v>7.6</v>
      </c>
      <c r="BI827" s="87">
        <v>5.9</v>
      </c>
      <c r="BJ827" s="49">
        <v>17.2</v>
      </c>
      <c r="BK827" s="126">
        <v>13046</v>
      </c>
      <c r="BL827" s="126">
        <v>50853</v>
      </c>
      <c r="BM827" s="126">
        <v>48671</v>
      </c>
      <c r="BN827" s="126">
        <v>37787</v>
      </c>
      <c r="BO827" s="59">
        <v>0</v>
      </c>
      <c r="BP827" s="59">
        <v>0.29409999999999997</v>
      </c>
      <c r="BQ827" s="59">
        <v>0.1636</v>
      </c>
      <c r="BR827" s="59">
        <v>1.1599999999999999E-2</v>
      </c>
      <c r="BS827" s="59">
        <v>0</v>
      </c>
      <c r="BT827" s="49">
        <v>14.3</v>
      </c>
      <c r="BU827" s="59">
        <f t="shared" si="60"/>
        <v>0.46929999999999999</v>
      </c>
      <c r="BV827" s="59">
        <v>3.49E-2</v>
      </c>
      <c r="BW827" s="59">
        <v>1.1599999999999999E-2</v>
      </c>
      <c r="BX827" s="59">
        <v>2.3300000000000001E-2</v>
      </c>
      <c r="BY827" s="59">
        <v>0</v>
      </c>
      <c r="BZ827" s="59">
        <v>0</v>
      </c>
      <c r="CA827" s="49">
        <v>30.5</v>
      </c>
      <c r="CB827" s="59">
        <f t="shared" si="61"/>
        <v>6.9800000000000001E-2</v>
      </c>
      <c r="CC827" s="59">
        <v>0.441</v>
      </c>
      <c r="CD827" s="59">
        <v>0.32179999999999997</v>
      </c>
      <c r="CE827" s="59">
        <v>0.22559999999999999</v>
      </c>
      <c r="CF827" s="59">
        <v>1.1599999999999999E-2</v>
      </c>
      <c r="CG827" s="59">
        <v>0</v>
      </c>
      <c r="CH827" s="49">
        <v>14.6</v>
      </c>
      <c r="CI827" s="26" t="s">
        <v>304</v>
      </c>
      <c r="CJ827" s="18" t="s">
        <v>489</v>
      </c>
      <c r="CK827" s="20"/>
    </row>
    <row r="828" spans="1:99" x14ac:dyDescent="0.25">
      <c r="A828" s="18" t="s">
        <v>489</v>
      </c>
      <c r="B828" s="19" t="s">
        <v>298</v>
      </c>
      <c r="C828" s="26" t="s">
        <v>305</v>
      </c>
      <c r="D828" s="6">
        <v>76</v>
      </c>
      <c r="E828" s="40" t="s">
        <v>83</v>
      </c>
      <c r="F828" s="6">
        <v>76</v>
      </c>
      <c r="G828" s="162" t="s">
        <v>83</v>
      </c>
      <c r="H828" s="162" t="s">
        <v>83</v>
      </c>
      <c r="I828" s="163">
        <v>2</v>
      </c>
      <c r="J828" s="163">
        <v>28</v>
      </c>
      <c r="K828" s="163">
        <v>19</v>
      </c>
      <c r="L828" s="163">
        <v>10</v>
      </c>
      <c r="M828" s="163">
        <v>17</v>
      </c>
      <c r="N828" s="115">
        <v>5.0264550264550303E-2</v>
      </c>
      <c r="O828" s="115">
        <v>5.0264550264550303E-2</v>
      </c>
      <c r="P828" s="116" t="s">
        <v>83</v>
      </c>
      <c r="Q828" s="116" t="s">
        <v>83</v>
      </c>
      <c r="R828" s="115">
        <v>4.7619047619047603E-2</v>
      </c>
      <c r="S828" s="115">
        <v>6.6193853427895993E-2</v>
      </c>
      <c r="T828" s="115">
        <v>4.8593350383631703E-2</v>
      </c>
      <c r="U828" s="115">
        <v>2.9940119760479E-2</v>
      </c>
      <c r="V828" s="115">
        <v>5.2795031055900603E-2</v>
      </c>
      <c r="W828" s="6">
        <v>1421</v>
      </c>
      <c r="X828" s="40">
        <f t="shared" si="58"/>
        <v>1421</v>
      </c>
      <c r="Y828" s="40">
        <f t="shared" si="59"/>
        <v>1421</v>
      </c>
      <c r="Z828" s="59">
        <v>0.53979999999999995</v>
      </c>
      <c r="AA828" s="59">
        <v>0.4602</v>
      </c>
      <c r="AB828" s="61">
        <v>3.518648838845883E-3</v>
      </c>
      <c r="AC828" s="61">
        <v>2.4630541871921183E-2</v>
      </c>
      <c r="AD828" s="61">
        <v>0.3645320197044335</v>
      </c>
      <c r="AE828" s="61">
        <v>1.055594651653765E-2</v>
      </c>
      <c r="AF828" s="61">
        <v>1.4074595355383533E-3</v>
      </c>
      <c r="AG828" s="61">
        <v>0.59042927515833921</v>
      </c>
      <c r="AH828" s="61">
        <v>4.9261083743842365E-3</v>
      </c>
      <c r="AI828" s="61">
        <v>0.40957072484166079</v>
      </c>
      <c r="AJ828" s="59">
        <v>0.5</v>
      </c>
      <c r="AK828" s="59">
        <v>6.9999999999999999E-4</v>
      </c>
      <c r="AL828" s="3">
        <v>0</v>
      </c>
      <c r="AM828" s="3">
        <v>0</v>
      </c>
      <c r="AN828" s="3">
        <v>31</v>
      </c>
      <c r="AO828" s="3">
        <v>400</v>
      </c>
      <c r="AP828" s="3">
        <v>365</v>
      </c>
      <c r="AQ828" s="3">
        <v>325</v>
      </c>
      <c r="AR828" s="3">
        <v>300</v>
      </c>
      <c r="AS828" s="59">
        <v>7.1925754060324823E-2</v>
      </c>
      <c r="AT828" s="3">
        <v>9</v>
      </c>
      <c r="AU828" s="3">
        <v>6</v>
      </c>
      <c r="AV828" s="49">
        <v>56.868537666174305</v>
      </c>
      <c r="AW828" s="49">
        <v>21.565731166912901</v>
      </c>
      <c r="AX828" s="49">
        <v>19.3500738552437</v>
      </c>
      <c r="AY828" s="67">
        <v>2.2156573116691303</v>
      </c>
      <c r="AZ828" s="62">
        <v>0.16037735849056603</v>
      </c>
      <c r="BA828" s="62">
        <v>7.9514824797843664E-2</v>
      </c>
      <c r="BB828" s="78">
        <v>95.928214678743799</v>
      </c>
      <c r="BC828" s="49">
        <v>1.6161616161616199</v>
      </c>
      <c r="BD828" s="90" t="s">
        <v>83</v>
      </c>
      <c r="BE828" s="90" t="s">
        <v>83</v>
      </c>
      <c r="BF828" s="87">
        <v>7</v>
      </c>
      <c r="BG828" s="87">
        <v>2.4</v>
      </c>
      <c r="BH828" s="87">
        <v>2.9</v>
      </c>
      <c r="BI828" s="87">
        <v>3.1</v>
      </c>
      <c r="BJ828" s="49">
        <v>21</v>
      </c>
      <c r="BK828" s="126">
        <v>9144</v>
      </c>
      <c r="BL828" s="126">
        <v>50822</v>
      </c>
      <c r="BM828" s="126">
        <v>46264</v>
      </c>
      <c r="BN828" s="126">
        <v>41102</v>
      </c>
      <c r="BO828" s="59">
        <v>0</v>
      </c>
      <c r="BP828" s="59">
        <v>0.38279999999999997</v>
      </c>
      <c r="BQ828" s="59">
        <v>0.21740000000000001</v>
      </c>
      <c r="BR828" s="59">
        <v>8.9999999999999998E-4</v>
      </c>
      <c r="BS828" s="59">
        <v>0</v>
      </c>
      <c r="BT828" s="49">
        <v>12.5</v>
      </c>
      <c r="BU828" s="59">
        <f t="shared" si="60"/>
        <v>0.60109999999999997</v>
      </c>
      <c r="BV828" s="59">
        <v>2.92E-2</v>
      </c>
      <c r="BW828" s="59">
        <v>7.3000000000000001E-3</v>
      </c>
      <c r="BX828" s="59">
        <v>1.46E-2</v>
      </c>
      <c r="BY828" s="59">
        <v>0</v>
      </c>
      <c r="BZ828" s="59">
        <v>7.3000000000000001E-3</v>
      </c>
      <c r="CA828" s="49">
        <v>19.3</v>
      </c>
      <c r="CB828" s="59">
        <f t="shared" si="61"/>
        <v>5.8400000000000001E-2</v>
      </c>
      <c r="CC828" s="59">
        <v>0.32800000000000001</v>
      </c>
      <c r="CD828" s="59">
        <v>0.41470000000000001</v>
      </c>
      <c r="CE828" s="59">
        <v>0.249</v>
      </c>
      <c r="CF828" s="59">
        <v>8.9999999999999998E-4</v>
      </c>
      <c r="CG828" s="59">
        <v>7.3000000000000001E-3</v>
      </c>
      <c r="CH828" s="49">
        <v>12.5</v>
      </c>
      <c r="CI828" s="26" t="s">
        <v>305</v>
      </c>
      <c r="CJ828" s="18" t="s">
        <v>489</v>
      </c>
      <c r="CK828" s="20"/>
    </row>
    <row r="829" spans="1:99" x14ac:dyDescent="0.25">
      <c r="A829" s="18" t="s">
        <v>489</v>
      </c>
      <c r="B829" s="19" t="s">
        <v>298</v>
      </c>
      <c r="C829" s="26" t="s">
        <v>306</v>
      </c>
      <c r="D829" s="6">
        <v>0</v>
      </c>
      <c r="E829" s="6">
        <v>0</v>
      </c>
      <c r="F829" s="6">
        <v>0</v>
      </c>
      <c r="G829" s="163">
        <v>0</v>
      </c>
      <c r="H829" s="163">
        <v>0</v>
      </c>
      <c r="I829" s="163">
        <v>0</v>
      </c>
      <c r="J829" s="163">
        <v>0</v>
      </c>
      <c r="K829" s="163">
        <v>0</v>
      </c>
      <c r="L829" s="163">
        <v>0</v>
      </c>
      <c r="M829" s="163">
        <v>0</v>
      </c>
      <c r="N829" s="115">
        <v>0</v>
      </c>
      <c r="O829" s="115">
        <v>0</v>
      </c>
      <c r="P829" s="115">
        <v>0</v>
      </c>
      <c r="Q829" s="115">
        <v>0</v>
      </c>
      <c r="R829" s="115">
        <v>0</v>
      </c>
      <c r="S829" s="115">
        <v>0</v>
      </c>
      <c r="T829" s="115">
        <v>0</v>
      </c>
      <c r="U829" s="115">
        <v>0</v>
      </c>
      <c r="V829" s="115">
        <v>0</v>
      </c>
      <c r="W829" s="6">
        <v>295</v>
      </c>
      <c r="X829" s="40">
        <f t="shared" si="58"/>
        <v>70</v>
      </c>
      <c r="Y829" s="40">
        <f t="shared" si="59"/>
        <v>122</v>
      </c>
      <c r="Z829" s="59">
        <v>0.50509999999999999</v>
      </c>
      <c r="AA829" s="59">
        <v>0.49490000000000001</v>
      </c>
      <c r="AB829" s="61">
        <v>5.4237288135593219E-2</v>
      </c>
      <c r="AC829" s="61">
        <v>6.7796610169491523E-3</v>
      </c>
      <c r="AD829" s="61">
        <v>1.0169491525423728E-2</v>
      </c>
      <c r="AE829" s="61">
        <v>4.7457627118644069E-2</v>
      </c>
      <c r="AF829" s="61">
        <v>0</v>
      </c>
      <c r="AG829" s="61">
        <v>0.87457627118644066</v>
      </c>
      <c r="AH829" s="61">
        <v>6.7796610169491523E-3</v>
      </c>
      <c r="AI829" s="61">
        <v>0.12542372881355932</v>
      </c>
      <c r="AJ829" s="59">
        <v>0.72499999999999998</v>
      </c>
      <c r="AK829" s="59">
        <v>3.0499999999999999E-2</v>
      </c>
      <c r="AL829" s="3">
        <v>23</v>
      </c>
      <c r="AM829" s="3">
        <v>29</v>
      </c>
      <c r="AN829" s="3">
        <v>2</v>
      </c>
      <c r="AO829" s="3">
        <v>17</v>
      </c>
      <c r="AP829" s="3">
        <v>23</v>
      </c>
      <c r="AQ829" s="3">
        <v>13</v>
      </c>
      <c r="AR829" s="3">
        <v>15</v>
      </c>
      <c r="AS829" s="59">
        <v>0.10526315789473684</v>
      </c>
      <c r="AT829" s="3">
        <v>1</v>
      </c>
      <c r="AU829" s="3">
        <v>6</v>
      </c>
      <c r="AV829" s="49">
        <v>71.856287425149702</v>
      </c>
      <c r="AW829" s="49">
        <v>22.754491017964103</v>
      </c>
      <c r="AX829" s="49">
        <v>5.3892215568862296</v>
      </c>
      <c r="AY829" s="67">
        <v>0</v>
      </c>
      <c r="AZ829" s="62">
        <v>2.4539877300613498E-2</v>
      </c>
      <c r="BA829" s="62">
        <v>0</v>
      </c>
      <c r="BB829" s="77">
        <v>92.246592190222401</v>
      </c>
      <c r="BC829" s="49"/>
      <c r="BD829" s="87">
        <v>0</v>
      </c>
      <c r="BE829" s="87">
        <v>4.3</v>
      </c>
      <c r="BF829" s="87">
        <v>0</v>
      </c>
      <c r="BG829" s="87">
        <v>0</v>
      </c>
      <c r="BH829" s="87">
        <v>0</v>
      </c>
      <c r="BI829" s="87">
        <v>0</v>
      </c>
      <c r="BJ829" s="49">
        <v>21.6</v>
      </c>
      <c r="BK829" s="126">
        <v>12852</v>
      </c>
      <c r="BL829" s="126">
        <v>49908</v>
      </c>
      <c r="BM829" s="126">
        <v>49370</v>
      </c>
      <c r="BN829" s="126">
        <v>40490</v>
      </c>
      <c r="BO829" s="59">
        <v>0</v>
      </c>
      <c r="BP829" s="59">
        <v>0.36230000000000001</v>
      </c>
      <c r="BQ829" s="59">
        <v>0.13320000000000001</v>
      </c>
      <c r="BR829" s="59">
        <v>0</v>
      </c>
      <c r="BS829" s="59">
        <v>0</v>
      </c>
      <c r="BT829" s="49">
        <v>10</v>
      </c>
      <c r="BU829" s="59">
        <f t="shared" si="60"/>
        <v>0.49550000000000005</v>
      </c>
      <c r="BV829" s="59">
        <v>4.2599999999999999E-2</v>
      </c>
      <c r="BW829" s="59">
        <v>0</v>
      </c>
      <c r="BX829" s="59">
        <v>2.1299999999999999E-2</v>
      </c>
      <c r="BY829" s="59">
        <v>2.1299999999999999E-2</v>
      </c>
      <c r="BZ829" s="59">
        <v>0</v>
      </c>
      <c r="CA829" s="49">
        <v>15.5</v>
      </c>
      <c r="CB829" s="59">
        <f t="shared" si="61"/>
        <v>8.5199999999999998E-2</v>
      </c>
      <c r="CC829" s="59">
        <v>0.40110000000000001</v>
      </c>
      <c r="CD829" s="59">
        <v>0.38619999999999999</v>
      </c>
      <c r="CE829" s="59">
        <v>0.18779999999999999</v>
      </c>
      <c r="CF829" s="59">
        <v>2.4899999999999999E-2</v>
      </c>
      <c r="CG829" s="59">
        <v>0</v>
      </c>
      <c r="CH829" s="49">
        <v>13.4</v>
      </c>
      <c r="CI829" s="26" t="s">
        <v>306</v>
      </c>
      <c r="CJ829" s="18" t="s">
        <v>489</v>
      </c>
      <c r="CK829" s="20"/>
    </row>
    <row r="830" spans="1:99" x14ac:dyDescent="0.25">
      <c r="A830" s="18" t="s">
        <v>489</v>
      </c>
      <c r="B830" s="19" t="s">
        <v>298</v>
      </c>
      <c r="C830" s="26" t="s">
        <v>307</v>
      </c>
      <c r="D830" s="6">
        <v>23</v>
      </c>
      <c r="E830" s="6">
        <v>1</v>
      </c>
      <c r="F830" s="6">
        <v>22</v>
      </c>
      <c r="G830" s="162" t="s">
        <v>83</v>
      </c>
      <c r="H830" s="163">
        <v>1</v>
      </c>
      <c r="I830" s="163">
        <v>2</v>
      </c>
      <c r="J830" s="163">
        <v>10</v>
      </c>
      <c r="K830" s="163">
        <v>7</v>
      </c>
      <c r="L830" s="163">
        <v>1</v>
      </c>
      <c r="M830" s="163">
        <v>2</v>
      </c>
      <c r="N830" s="115">
        <v>6.1662198391420897E-2</v>
      </c>
      <c r="O830" s="115">
        <v>6.7278287461773695E-2</v>
      </c>
      <c r="P830" s="116" t="s">
        <v>83</v>
      </c>
      <c r="Q830" s="115">
        <v>2.1739130434782601E-2</v>
      </c>
      <c r="R830" s="115">
        <v>6.6666666666666693E-2</v>
      </c>
      <c r="S830" s="115">
        <v>0.116279069767442</v>
      </c>
      <c r="T830" s="115">
        <v>8.2352941176470601E-2</v>
      </c>
      <c r="U830" s="115">
        <v>1.5384615384615399E-2</v>
      </c>
      <c r="V830" s="115">
        <v>3.2786885245901599E-2</v>
      </c>
      <c r="W830" s="6">
        <v>336</v>
      </c>
      <c r="X830" s="40">
        <f t="shared" si="58"/>
        <v>299</v>
      </c>
      <c r="Y830" s="40">
        <f t="shared" si="59"/>
        <v>336</v>
      </c>
      <c r="Z830" s="59">
        <v>0.48509999999999998</v>
      </c>
      <c r="AA830" s="59">
        <v>0.51490000000000002</v>
      </c>
      <c r="AB830" s="61">
        <v>8.9285714285714281E-3</v>
      </c>
      <c r="AC830" s="61">
        <v>2.976190476190476E-3</v>
      </c>
      <c r="AD830" s="61">
        <v>0.35119047619047616</v>
      </c>
      <c r="AE830" s="61">
        <v>0.20238095238095238</v>
      </c>
      <c r="AF830" s="61">
        <v>0</v>
      </c>
      <c r="AG830" s="61">
        <v>0.43452380952380953</v>
      </c>
      <c r="AH830" s="61">
        <v>0</v>
      </c>
      <c r="AI830" s="61">
        <v>0.56547619047619047</v>
      </c>
      <c r="AJ830" s="59">
        <v>0.73499999999999999</v>
      </c>
      <c r="AK830" s="59">
        <v>5.9499999999999997E-2</v>
      </c>
      <c r="AL830" s="3">
        <v>0</v>
      </c>
      <c r="AM830" s="3">
        <v>37</v>
      </c>
      <c r="AN830" s="3">
        <v>24</v>
      </c>
      <c r="AO830" s="3">
        <v>78</v>
      </c>
      <c r="AP830" s="3">
        <v>80</v>
      </c>
      <c r="AQ830" s="3">
        <v>65</v>
      </c>
      <c r="AR830" s="3">
        <v>52</v>
      </c>
      <c r="AS830" s="59">
        <v>0.23529411764705882</v>
      </c>
      <c r="AT830" s="3">
        <v>8</v>
      </c>
      <c r="AU830" s="3">
        <v>6</v>
      </c>
      <c r="AV830" s="49">
        <v>74.87179487179489</v>
      </c>
      <c r="AW830" s="49">
        <v>14.871794871794899</v>
      </c>
      <c r="AX830" s="49">
        <v>9.7435897435897392</v>
      </c>
      <c r="AY830" s="67">
        <v>0.512820512820513</v>
      </c>
      <c r="AZ830" s="62">
        <v>0.14945652173913043</v>
      </c>
      <c r="BA830" s="62">
        <v>0.10054347826086957</v>
      </c>
      <c r="BB830" s="78">
        <v>94.037671844313493</v>
      </c>
      <c r="BC830" s="49">
        <v>1.35869565217391</v>
      </c>
      <c r="BD830" s="90" t="s">
        <v>83</v>
      </c>
      <c r="BE830" s="87">
        <v>12.9</v>
      </c>
      <c r="BF830" s="87">
        <v>7.8</v>
      </c>
      <c r="BG830" s="87">
        <v>2.9</v>
      </c>
      <c r="BH830" s="87">
        <v>3.2</v>
      </c>
      <c r="BI830" s="87">
        <v>7</v>
      </c>
      <c r="BJ830" s="49">
        <v>19.5</v>
      </c>
      <c r="BK830" s="126">
        <v>12499</v>
      </c>
      <c r="BL830" s="126">
        <v>52556</v>
      </c>
      <c r="BM830" s="126">
        <v>49631</v>
      </c>
      <c r="BN830" s="126">
        <v>42135</v>
      </c>
      <c r="BO830" s="59">
        <v>0</v>
      </c>
      <c r="BP830" s="59">
        <v>0.3614</v>
      </c>
      <c r="BQ830" s="59">
        <v>0.1757</v>
      </c>
      <c r="BR830" s="59">
        <v>0</v>
      </c>
      <c r="BS830" s="59">
        <v>0</v>
      </c>
      <c r="BT830" s="49">
        <v>15.3</v>
      </c>
      <c r="BU830" s="59">
        <f t="shared" si="60"/>
        <v>0.53710000000000002</v>
      </c>
      <c r="BV830" s="59">
        <v>4.3499999999999997E-2</v>
      </c>
      <c r="BW830" s="59">
        <v>0</v>
      </c>
      <c r="BX830" s="59">
        <v>4.3499999999999997E-2</v>
      </c>
      <c r="BY830" s="59">
        <v>0</v>
      </c>
      <c r="BZ830" s="59">
        <v>0</v>
      </c>
      <c r="CA830" s="49">
        <v>20</v>
      </c>
      <c r="CB830" s="59">
        <f t="shared" si="61"/>
        <v>8.6999999999999994E-2</v>
      </c>
      <c r="CC830" s="59">
        <v>0.36930000000000002</v>
      </c>
      <c r="CD830" s="59">
        <v>0.3614</v>
      </c>
      <c r="CE830" s="59">
        <v>0.26929999999999998</v>
      </c>
      <c r="CF830" s="59">
        <v>0</v>
      </c>
      <c r="CG830" s="59">
        <v>0</v>
      </c>
      <c r="CH830" s="49">
        <v>13.9</v>
      </c>
      <c r="CI830" s="26" t="s">
        <v>307</v>
      </c>
      <c r="CJ830" s="18" t="s">
        <v>489</v>
      </c>
      <c r="CK830" s="20"/>
    </row>
    <row r="831" spans="1:99" x14ac:dyDescent="0.25">
      <c r="A831" s="18" t="s">
        <v>489</v>
      </c>
      <c r="B831" s="19" t="s">
        <v>298</v>
      </c>
      <c r="C831" s="26" t="s">
        <v>308</v>
      </c>
      <c r="D831" s="6">
        <v>42</v>
      </c>
      <c r="E831" s="40" t="s">
        <v>83</v>
      </c>
      <c r="F831" s="6">
        <v>42</v>
      </c>
      <c r="G831" s="162" t="s">
        <v>83</v>
      </c>
      <c r="H831" s="162" t="s">
        <v>83</v>
      </c>
      <c r="I831" s="163">
        <v>3</v>
      </c>
      <c r="J831" s="163">
        <v>18</v>
      </c>
      <c r="K831" s="163">
        <v>12</v>
      </c>
      <c r="L831" s="163">
        <v>6</v>
      </c>
      <c r="M831" s="163">
        <v>3</v>
      </c>
      <c r="N831" s="115">
        <v>3.8852913968547599E-2</v>
      </c>
      <c r="O831" s="115">
        <v>3.8852913968547599E-2</v>
      </c>
      <c r="P831" s="116" t="s">
        <v>83</v>
      </c>
      <c r="Q831" s="116" t="s">
        <v>83</v>
      </c>
      <c r="R831" s="115">
        <v>7.1428571428571397E-2</v>
      </c>
      <c r="S831" s="115">
        <v>6.6420664206642097E-2</v>
      </c>
      <c r="T831" s="115">
        <v>4.3478260869565202E-2</v>
      </c>
      <c r="U831" s="115">
        <v>2.0547945205479499E-2</v>
      </c>
      <c r="V831" s="115">
        <v>1.4999999999999999E-2</v>
      </c>
      <c r="W831" s="6">
        <v>999</v>
      </c>
      <c r="X831" s="40">
        <f t="shared" si="58"/>
        <v>999</v>
      </c>
      <c r="Y831" s="40">
        <f t="shared" si="59"/>
        <v>999</v>
      </c>
      <c r="Z831" s="59">
        <v>0.49349999999999999</v>
      </c>
      <c r="AA831" s="59">
        <v>0.50649999999999995</v>
      </c>
      <c r="AB831" s="61">
        <v>4.004004004004004E-3</v>
      </c>
      <c r="AC831" s="61">
        <v>4.004004004004004E-3</v>
      </c>
      <c r="AD831" s="61">
        <v>0.35435435435435436</v>
      </c>
      <c r="AE831" s="61">
        <v>1.8018018018018018E-2</v>
      </c>
      <c r="AF831" s="61">
        <v>0</v>
      </c>
      <c r="AG831" s="61">
        <v>0.61861861861861867</v>
      </c>
      <c r="AH831" s="61">
        <v>1.001001001001001E-3</v>
      </c>
      <c r="AI831" s="61">
        <v>0.38138138138138139</v>
      </c>
      <c r="AJ831" s="59">
        <v>0.66700000000000004</v>
      </c>
      <c r="AK831" s="59">
        <v>2E-3</v>
      </c>
      <c r="AL831" s="3">
        <v>0</v>
      </c>
      <c r="AM831" s="3">
        <v>0</v>
      </c>
      <c r="AN831" s="3">
        <v>37</v>
      </c>
      <c r="AO831" s="3">
        <v>240</v>
      </c>
      <c r="AP831" s="3">
        <v>251</v>
      </c>
      <c r="AQ831" s="3">
        <v>277</v>
      </c>
      <c r="AR831" s="3">
        <v>194</v>
      </c>
      <c r="AS831" s="59">
        <v>0.13357400722021662</v>
      </c>
      <c r="AT831" s="3">
        <v>9</v>
      </c>
      <c r="AU831" s="3">
        <v>6</v>
      </c>
      <c r="AV831" s="49">
        <v>59.6802841918295</v>
      </c>
      <c r="AW831" s="49">
        <v>18.294849023090602</v>
      </c>
      <c r="AX831" s="49">
        <v>18.8277087033748</v>
      </c>
      <c r="AY831" s="67">
        <v>3.1971580817051501</v>
      </c>
      <c r="AZ831" s="62">
        <v>0.24929444967074318</v>
      </c>
      <c r="BA831" s="62">
        <v>8.1843838193791152E-2</v>
      </c>
      <c r="BB831" s="77">
        <v>92.268433284037101</v>
      </c>
      <c r="BC831" s="49">
        <v>2.7829313543599299</v>
      </c>
      <c r="BD831" s="90" t="s">
        <v>83</v>
      </c>
      <c r="BE831" s="90" t="s">
        <v>83</v>
      </c>
      <c r="BF831" s="87">
        <v>7.5</v>
      </c>
      <c r="BG831" s="87">
        <v>6.2</v>
      </c>
      <c r="BH831" s="87">
        <v>2.8</v>
      </c>
      <c r="BI831" s="87">
        <v>2.5</v>
      </c>
      <c r="BJ831" s="49">
        <v>19</v>
      </c>
      <c r="BK831" s="126">
        <v>10338</v>
      </c>
      <c r="BL831" s="126">
        <v>50642</v>
      </c>
      <c r="BM831" s="126">
        <v>44238</v>
      </c>
      <c r="BN831" s="126">
        <v>40245</v>
      </c>
      <c r="BO831" s="59">
        <v>0</v>
      </c>
      <c r="BP831" s="59">
        <v>0.40660000000000002</v>
      </c>
      <c r="BQ831" s="59">
        <v>0.16969999999999999</v>
      </c>
      <c r="BR831" s="59">
        <v>8.9999999999999993E-3</v>
      </c>
      <c r="BS831" s="59">
        <v>0</v>
      </c>
      <c r="BT831" s="49">
        <v>12.9</v>
      </c>
      <c r="BU831" s="59">
        <f t="shared" si="60"/>
        <v>0.58530000000000004</v>
      </c>
      <c r="BV831" s="59">
        <v>3.61E-2</v>
      </c>
      <c r="BW831" s="59">
        <v>0</v>
      </c>
      <c r="BX831" s="59">
        <v>2.7E-2</v>
      </c>
      <c r="BY831" s="59">
        <v>0</v>
      </c>
      <c r="BZ831" s="59">
        <v>0</v>
      </c>
      <c r="CA831" s="49">
        <v>14.6</v>
      </c>
      <c r="CB831" s="59">
        <f t="shared" si="61"/>
        <v>6.3100000000000003E-2</v>
      </c>
      <c r="CC831" s="59">
        <v>0.35539999999999999</v>
      </c>
      <c r="CD831" s="59">
        <v>0.41849999999999998</v>
      </c>
      <c r="CE831" s="59">
        <v>0.217</v>
      </c>
      <c r="CF831" s="59">
        <v>8.9999999999999993E-3</v>
      </c>
      <c r="CG831" s="59">
        <v>0</v>
      </c>
      <c r="CH831" s="49">
        <v>12.9</v>
      </c>
      <c r="CI831" s="26" t="s">
        <v>308</v>
      </c>
      <c r="CJ831" s="18" t="s">
        <v>489</v>
      </c>
      <c r="CK831" s="20"/>
    </row>
    <row r="832" spans="1:99" x14ac:dyDescent="0.25">
      <c r="A832" s="18" t="s">
        <v>489</v>
      </c>
      <c r="B832" s="19" t="s">
        <v>298</v>
      </c>
      <c r="C832" s="26" t="s">
        <v>135</v>
      </c>
      <c r="D832" s="6">
        <v>11</v>
      </c>
      <c r="E832" s="6">
        <v>1</v>
      </c>
      <c r="F832" s="6">
        <v>10</v>
      </c>
      <c r="G832" s="163">
        <v>0</v>
      </c>
      <c r="H832" s="163">
        <v>1</v>
      </c>
      <c r="I832" s="163">
        <v>0</v>
      </c>
      <c r="J832" s="163">
        <v>2</v>
      </c>
      <c r="K832" s="163">
        <v>2</v>
      </c>
      <c r="L832" s="163">
        <v>6</v>
      </c>
      <c r="M832" s="163">
        <v>0</v>
      </c>
      <c r="N832" s="115">
        <v>3.2069970845481001E-2</v>
      </c>
      <c r="O832" s="115">
        <v>5.0251256281407003E-2</v>
      </c>
      <c r="P832" s="115">
        <v>0</v>
      </c>
      <c r="Q832" s="115">
        <v>1.5384615384615399E-2</v>
      </c>
      <c r="R832" s="115">
        <v>0</v>
      </c>
      <c r="S832" s="115">
        <v>4.2553191489361701E-2</v>
      </c>
      <c r="T832" s="115">
        <v>3.5714285714285698E-2</v>
      </c>
      <c r="U832" s="115">
        <v>0.13953488372093001</v>
      </c>
      <c r="V832" s="115">
        <v>0</v>
      </c>
      <c r="W832" s="6">
        <v>689</v>
      </c>
      <c r="X832" s="40">
        <f t="shared" si="58"/>
        <v>187</v>
      </c>
      <c r="Y832" s="40">
        <f t="shared" si="59"/>
        <v>314</v>
      </c>
      <c r="Z832" s="59">
        <v>0.48039999999999999</v>
      </c>
      <c r="AA832" s="59">
        <v>0.51959999999999995</v>
      </c>
      <c r="AB832" s="61">
        <v>2.0319303338171262E-2</v>
      </c>
      <c r="AC832" s="61">
        <v>2.9027576197387518E-3</v>
      </c>
      <c r="AD832" s="61">
        <v>0.37300435413642963</v>
      </c>
      <c r="AE832" s="61">
        <v>2.0319303338171262E-2</v>
      </c>
      <c r="AF832" s="61">
        <v>0</v>
      </c>
      <c r="AG832" s="61">
        <v>0.57764876632801165</v>
      </c>
      <c r="AH832" s="61">
        <v>5.8055152394775036E-3</v>
      </c>
      <c r="AI832" s="61">
        <v>0.4223512336719884</v>
      </c>
      <c r="AJ832" s="59">
        <v>0.75800000000000001</v>
      </c>
      <c r="AK832" s="59">
        <v>0</v>
      </c>
      <c r="AL832" s="3">
        <v>73</v>
      </c>
      <c r="AM832" s="3">
        <v>54</v>
      </c>
      <c r="AN832" s="3">
        <v>9</v>
      </c>
      <c r="AO832" s="3">
        <v>45</v>
      </c>
      <c r="AP832" s="3">
        <v>52</v>
      </c>
      <c r="AQ832" s="3">
        <v>42</v>
      </c>
      <c r="AR832" s="3">
        <v>39</v>
      </c>
      <c r="AS832" s="59">
        <v>0.16666666666666666</v>
      </c>
      <c r="AT832" s="3">
        <v>1</v>
      </c>
      <c r="AU832" s="3">
        <v>6</v>
      </c>
      <c r="AV832" s="49">
        <v>73.699421965317896</v>
      </c>
      <c r="AW832" s="49">
        <v>21.676300578034699</v>
      </c>
      <c r="AX832" s="49">
        <v>4.04624277456647</v>
      </c>
      <c r="AY832" s="67">
        <v>0.57803468208092501</v>
      </c>
      <c r="AZ832" s="62">
        <v>9.8717948717948714E-2</v>
      </c>
      <c r="BA832" s="62">
        <v>0.14102564102564102</v>
      </c>
      <c r="BB832" s="77">
        <v>92.786577158482004</v>
      </c>
      <c r="BC832" s="49">
        <v>0.40431266846361202</v>
      </c>
      <c r="BD832" s="87">
        <v>1.4</v>
      </c>
      <c r="BE832" s="87">
        <v>2</v>
      </c>
      <c r="BF832" s="87">
        <v>17.100000000000001</v>
      </c>
      <c r="BG832" s="87">
        <v>10</v>
      </c>
      <c r="BH832" s="87">
        <v>3.1</v>
      </c>
      <c r="BI832" s="87">
        <v>4.7</v>
      </c>
      <c r="BJ832" s="49">
        <v>18.899999999999999</v>
      </c>
      <c r="BK832" s="126">
        <v>10177</v>
      </c>
      <c r="BL832" s="126">
        <v>49562</v>
      </c>
      <c r="BM832" s="126">
        <v>51165</v>
      </c>
      <c r="BN832" s="126">
        <v>39033</v>
      </c>
      <c r="BO832" s="59">
        <v>0</v>
      </c>
      <c r="BP832" s="59">
        <v>0.44230000000000003</v>
      </c>
      <c r="BQ832" s="59">
        <v>0.1056</v>
      </c>
      <c r="BR832" s="59">
        <v>0</v>
      </c>
      <c r="BS832" s="59">
        <v>0</v>
      </c>
      <c r="BT832" s="49">
        <v>10.8</v>
      </c>
      <c r="BU832" s="59">
        <f t="shared" si="60"/>
        <v>0.54790000000000005</v>
      </c>
      <c r="BV832" s="59">
        <v>2.3199999999999998E-2</v>
      </c>
      <c r="BW832" s="59">
        <v>0</v>
      </c>
      <c r="BX832" s="59">
        <v>3.4099999999999998E-2</v>
      </c>
      <c r="BY832" s="59">
        <v>0</v>
      </c>
      <c r="BZ832" s="59">
        <v>0</v>
      </c>
      <c r="CA832" s="49">
        <v>14.3</v>
      </c>
      <c r="CB832" s="59">
        <f t="shared" si="61"/>
        <v>5.7299999999999997E-2</v>
      </c>
      <c r="CC832" s="59">
        <v>0.39050000000000001</v>
      </c>
      <c r="CD832" s="59">
        <v>0.44290000000000002</v>
      </c>
      <c r="CE832" s="59">
        <v>0.16370000000000001</v>
      </c>
      <c r="CF832" s="59">
        <v>2.8999999999999998E-3</v>
      </c>
      <c r="CG832" s="59">
        <v>0</v>
      </c>
      <c r="CH832" s="49">
        <v>10.4</v>
      </c>
      <c r="CI832" s="26" t="s">
        <v>135</v>
      </c>
      <c r="CJ832" s="18" t="s">
        <v>489</v>
      </c>
      <c r="CK832" s="20"/>
    </row>
    <row r="833" spans="1:89" x14ac:dyDescent="0.25">
      <c r="A833" s="18" t="s">
        <v>489</v>
      </c>
      <c r="B833" s="19" t="s">
        <v>309</v>
      </c>
      <c r="C833" s="26" t="s">
        <v>310</v>
      </c>
      <c r="D833" s="6">
        <v>9</v>
      </c>
      <c r="E833" s="40" t="s">
        <v>83</v>
      </c>
      <c r="F833" s="6">
        <v>9</v>
      </c>
      <c r="G833" s="162" t="s">
        <v>83</v>
      </c>
      <c r="H833" s="162" t="s">
        <v>83</v>
      </c>
      <c r="I833" s="163">
        <v>1</v>
      </c>
      <c r="J833" s="163">
        <v>6</v>
      </c>
      <c r="K833" s="163">
        <v>0</v>
      </c>
      <c r="L833" s="163">
        <v>1</v>
      </c>
      <c r="M833" s="163">
        <v>1</v>
      </c>
      <c r="N833" s="115">
        <v>2.19512195121951E-2</v>
      </c>
      <c r="O833" s="115">
        <v>2.19512195121951E-2</v>
      </c>
      <c r="P833" s="116" t="s">
        <v>83</v>
      </c>
      <c r="Q833" s="116" t="s">
        <v>83</v>
      </c>
      <c r="R833" s="115">
        <v>4.3478260869565202E-2</v>
      </c>
      <c r="S833" s="115">
        <v>4.47761194029851E-2</v>
      </c>
      <c r="T833" s="115">
        <v>0</v>
      </c>
      <c r="U833" s="115">
        <v>1.0752688172042999E-2</v>
      </c>
      <c r="V833" s="115">
        <v>1.3157894736842099E-2</v>
      </c>
      <c r="W833" s="6">
        <v>371</v>
      </c>
      <c r="X833" s="40">
        <f t="shared" si="58"/>
        <v>371</v>
      </c>
      <c r="Y833" s="40">
        <f t="shared" si="59"/>
        <v>371</v>
      </c>
      <c r="Z833" s="59">
        <v>0.49869999999999998</v>
      </c>
      <c r="AA833" s="59">
        <v>0.50129999999999997</v>
      </c>
      <c r="AB833" s="61">
        <v>5.3908355795148251E-3</v>
      </c>
      <c r="AC833" s="61">
        <v>8.0862533692722376E-3</v>
      </c>
      <c r="AD833" s="61">
        <v>0.64959568733153639</v>
      </c>
      <c r="AE833" s="61">
        <v>1.3477088948787063E-2</v>
      </c>
      <c r="AF833" s="61">
        <v>0</v>
      </c>
      <c r="AG833" s="61">
        <v>0.31536388140161725</v>
      </c>
      <c r="AH833" s="61">
        <v>8.0862533692722376E-3</v>
      </c>
      <c r="AI833" s="61">
        <v>0.6846361185983828</v>
      </c>
      <c r="AJ833" s="59">
        <v>0.79500000000000004</v>
      </c>
      <c r="AK833" s="59">
        <v>0</v>
      </c>
      <c r="AL833" s="3">
        <v>0</v>
      </c>
      <c r="AM833" s="3">
        <v>0</v>
      </c>
      <c r="AN833" s="3">
        <v>23</v>
      </c>
      <c r="AO833" s="3">
        <v>113</v>
      </c>
      <c r="AP833" s="3">
        <v>76</v>
      </c>
      <c r="AQ833" s="3">
        <v>91</v>
      </c>
      <c r="AR833" s="3">
        <v>68</v>
      </c>
      <c r="AS833" s="59">
        <v>0.16911764705882354</v>
      </c>
      <c r="AT833" s="3">
        <v>9</v>
      </c>
      <c r="AU833" s="3">
        <v>6</v>
      </c>
      <c r="AV833" s="49">
        <v>77.027027027026989</v>
      </c>
      <c r="AW833" s="49">
        <v>15.765765765765799</v>
      </c>
      <c r="AX833" s="49">
        <v>6.3063063063063103</v>
      </c>
      <c r="AY833" s="67">
        <v>0.90090090090090102</v>
      </c>
      <c r="AZ833" s="62">
        <v>0.22906403940886699</v>
      </c>
      <c r="BA833" s="62">
        <v>3.2019704433497539E-2</v>
      </c>
      <c r="BB833" s="78">
        <v>93.196003989575601</v>
      </c>
      <c r="BC833" s="49">
        <v>37.443946188340803</v>
      </c>
      <c r="BD833" s="90" t="s">
        <v>83</v>
      </c>
      <c r="BE833" s="90" t="s">
        <v>83</v>
      </c>
      <c r="BF833" s="87">
        <v>0</v>
      </c>
      <c r="BG833" s="87">
        <v>0</v>
      </c>
      <c r="BH833" s="87">
        <v>1.3</v>
      </c>
      <c r="BI833" s="87">
        <v>0</v>
      </c>
      <c r="BJ833" s="49">
        <v>17.8</v>
      </c>
      <c r="BK833" s="126">
        <v>17310</v>
      </c>
      <c r="BL833" s="126">
        <v>61155</v>
      </c>
      <c r="BM833" s="126">
        <v>44269</v>
      </c>
      <c r="BN833" s="126">
        <v>49302</v>
      </c>
      <c r="BO833" s="59">
        <v>2.9100000000000001E-2</v>
      </c>
      <c r="BP833" s="59">
        <v>0.25069999999999998</v>
      </c>
      <c r="BQ833" s="59">
        <v>0.25840000000000002</v>
      </c>
      <c r="BR833" s="59">
        <v>0</v>
      </c>
      <c r="BS833" s="59">
        <v>3.1199999999999999E-2</v>
      </c>
      <c r="BT833" s="49">
        <v>20.5</v>
      </c>
      <c r="BU833" s="59">
        <f t="shared" si="60"/>
        <v>0.56940000000000002</v>
      </c>
      <c r="BV833" s="59">
        <v>6.8099999999999994E-2</v>
      </c>
      <c r="BW833" s="59">
        <v>3.1199999999999999E-2</v>
      </c>
      <c r="BX833" s="59">
        <v>1.7600000000000001E-2</v>
      </c>
      <c r="BY833" s="59">
        <v>0</v>
      </c>
      <c r="BZ833" s="59">
        <v>0</v>
      </c>
      <c r="CA833" s="49">
        <v>25.7</v>
      </c>
      <c r="CB833" s="59">
        <f t="shared" si="61"/>
        <v>0.1169</v>
      </c>
      <c r="CC833" s="59">
        <v>0.33900000000000002</v>
      </c>
      <c r="CD833" s="59">
        <v>0.31869999999999998</v>
      </c>
      <c r="CE833" s="59">
        <v>0.31119999999999998</v>
      </c>
      <c r="CF833" s="59">
        <v>0</v>
      </c>
      <c r="CG833" s="59">
        <v>3.1199999999999999E-2</v>
      </c>
      <c r="CH833" s="49">
        <v>19.100000000000001</v>
      </c>
      <c r="CI833" s="26" t="s">
        <v>310</v>
      </c>
      <c r="CJ833" s="18" t="s">
        <v>489</v>
      </c>
      <c r="CK833" s="20"/>
    </row>
    <row r="834" spans="1:89" x14ac:dyDescent="0.25">
      <c r="A834" s="18" t="s">
        <v>489</v>
      </c>
      <c r="B834" s="19" t="s">
        <v>311</v>
      </c>
      <c r="C834" s="26" t="s">
        <v>312</v>
      </c>
      <c r="D834" s="6">
        <v>8</v>
      </c>
      <c r="E834" s="40" t="s">
        <v>83</v>
      </c>
      <c r="F834" s="6">
        <v>8</v>
      </c>
      <c r="G834" s="162" t="s">
        <v>83</v>
      </c>
      <c r="H834" s="162" t="s">
        <v>83</v>
      </c>
      <c r="I834" s="162" t="s">
        <v>83</v>
      </c>
      <c r="J834" s="163">
        <v>2</v>
      </c>
      <c r="K834" s="163">
        <v>3</v>
      </c>
      <c r="L834" s="163">
        <v>2</v>
      </c>
      <c r="M834" s="163">
        <v>1</v>
      </c>
      <c r="N834" s="115">
        <v>3.6363636363636397E-2</v>
      </c>
      <c r="O834" s="115">
        <v>3.6363636363636397E-2</v>
      </c>
      <c r="P834" s="116" t="s">
        <v>83</v>
      </c>
      <c r="Q834" s="116" t="s">
        <v>83</v>
      </c>
      <c r="R834" s="116" t="s">
        <v>83</v>
      </c>
      <c r="S834" s="115">
        <v>2.8169014084507001E-2</v>
      </c>
      <c r="T834" s="115">
        <v>5.3571428571428603E-2</v>
      </c>
      <c r="U834" s="115">
        <v>4.3478260869565202E-2</v>
      </c>
      <c r="V834" s="115">
        <v>2.1276595744680899E-2</v>
      </c>
      <c r="W834" s="6">
        <v>198</v>
      </c>
      <c r="X834" s="40">
        <f t="shared" si="58"/>
        <v>198</v>
      </c>
      <c r="Y834" s="40">
        <f t="shared" si="59"/>
        <v>198</v>
      </c>
      <c r="Z834" s="59">
        <v>0.46970000000000001</v>
      </c>
      <c r="AA834" s="59">
        <v>0.53029999999999999</v>
      </c>
      <c r="AB834" s="61">
        <v>0</v>
      </c>
      <c r="AC834" s="61">
        <v>0</v>
      </c>
      <c r="AD834" s="61">
        <v>0.89393939393939392</v>
      </c>
      <c r="AE834" s="61">
        <v>5.0505050505050509E-3</v>
      </c>
      <c r="AF834" s="61">
        <v>0</v>
      </c>
      <c r="AG834" s="61">
        <v>9.0909090909090912E-2</v>
      </c>
      <c r="AH834" s="61">
        <v>1.0101010101010102E-2</v>
      </c>
      <c r="AI834" s="61">
        <v>0.90909090909090906</v>
      </c>
      <c r="AJ834" s="59">
        <v>0.84799999999999998</v>
      </c>
      <c r="AK834" s="59">
        <v>0</v>
      </c>
      <c r="AL834" s="3">
        <v>0</v>
      </c>
      <c r="AM834" s="3">
        <v>0</v>
      </c>
      <c r="AN834" s="3">
        <v>0</v>
      </c>
      <c r="AO834" s="3">
        <v>61</v>
      </c>
      <c r="AP834" s="3">
        <v>49</v>
      </c>
      <c r="AQ834" s="3">
        <v>46</v>
      </c>
      <c r="AR834" s="3">
        <v>42</v>
      </c>
      <c r="AS834" s="59">
        <v>0</v>
      </c>
      <c r="AT834" s="3">
        <v>9</v>
      </c>
      <c r="AU834" s="3">
        <v>6</v>
      </c>
      <c r="AV834" s="49">
        <v>66.304347826086996</v>
      </c>
      <c r="AW834" s="49">
        <v>27.173913043478297</v>
      </c>
      <c r="AX834" s="49">
        <v>3.2608695652173898</v>
      </c>
      <c r="AY834" s="67">
        <v>3.2608695652173898</v>
      </c>
      <c r="AZ834" s="62">
        <v>5.1162790697674418E-2</v>
      </c>
      <c r="BA834" s="62">
        <v>0.22325581395348837</v>
      </c>
      <c r="BB834" s="78">
        <v>92.258494130764703</v>
      </c>
      <c r="BC834" s="49">
        <v>51.162790697674403</v>
      </c>
      <c r="BD834" s="90" t="s">
        <v>83</v>
      </c>
      <c r="BE834" s="90" t="s">
        <v>83</v>
      </c>
      <c r="BF834" s="87">
        <v>1.7</v>
      </c>
      <c r="BG834" s="87">
        <v>2.2999999999999998</v>
      </c>
      <c r="BH834" s="87">
        <v>2.5</v>
      </c>
      <c r="BI834" s="87">
        <v>0</v>
      </c>
      <c r="BJ834" s="49">
        <v>16.600000000000001</v>
      </c>
      <c r="BK834" s="126">
        <v>14145</v>
      </c>
      <c r="BL834" s="126">
        <v>54454</v>
      </c>
      <c r="BM834" s="126">
        <v>62022</v>
      </c>
      <c r="BN834" s="126">
        <v>37962</v>
      </c>
      <c r="BO834" s="59">
        <v>0</v>
      </c>
      <c r="BP834" s="59">
        <v>0.14000000000000001</v>
      </c>
      <c r="BQ834" s="59">
        <v>0.22459999999999999</v>
      </c>
      <c r="BR834" s="59">
        <v>0</v>
      </c>
      <c r="BS834" s="59">
        <v>0</v>
      </c>
      <c r="BT834" s="49">
        <v>14.3</v>
      </c>
      <c r="BU834" s="59">
        <f t="shared" si="60"/>
        <v>0.36460000000000004</v>
      </c>
      <c r="BV834" s="59">
        <v>2.81E-2</v>
      </c>
      <c r="BW834" s="59">
        <v>0</v>
      </c>
      <c r="BX834" s="59">
        <v>8.1000000000000003E-2</v>
      </c>
      <c r="BY834" s="59">
        <v>0</v>
      </c>
      <c r="BZ834" s="59">
        <v>0</v>
      </c>
      <c r="CA834" s="49">
        <v>18.899999999999999</v>
      </c>
      <c r="CB834" s="59">
        <f t="shared" si="61"/>
        <v>0.1091</v>
      </c>
      <c r="CC834" s="59">
        <v>0.52629999999999999</v>
      </c>
      <c r="CD834" s="59">
        <v>0.14000000000000001</v>
      </c>
      <c r="CE834" s="59">
        <v>0.3337</v>
      </c>
      <c r="CF834" s="59">
        <v>0</v>
      </c>
      <c r="CG834" s="59">
        <v>0</v>
      </c>
      <c r="CH834" s="49">
        <v>16.2</v>
      </c>
      <c r="CI834" s="26" t="s">
        <v>312</v>
      </c>
      <c r="CJ834" s="18" t="s">
        <v>489</v>
      </c>
      <c r="CK834" s="20"/>
    </row>
    <row r="835" spans="1:89" x14ac:dyDescent="0.25">
      <c r="A835" s="18" t="s">
        <v>489</v>
      </c>
      <c r="B835" s="19" t="s">
        <v>311</v>
      </c>
      <c r="C835" s="26" t="s">
        <v>313</v>
      </c>
      <c r="D835" s="6">
        <v>5</v>
      </c>
      <c r="E835" s="40" t="s">
        <v>83</v>
      </c>
      <c r="F835" s="6">
        <v>5</v>
      </c>
      <c r="G835" s="162" t="s">
        <v>83</v>
      </c>
      <c r="H835" s="162" t="s">
        <v>83</v>
      </c>
      <c r="I835" s="162" t="s">
        <v>83</v>
      </c>
      <c r="J835" s="163">
        <v>1</v>
      </c>
      <c r="K835" s="163">
        <v>2</v>
      </c>
      <c r="L835" s="163">
        <v>2</v>
      </c>
      <c r="M835" s="163">
        <v>0</v>
      </c>
      <c r="N835" s="115">
        <v>1.47492625368732E-2</v>
      </c>
      <c r="O835" s="115">
        <v>1.47492625368732E-2</v>
      </c>
      <c r="P835" s="116" t="s">
        <v>83</v>
      </c>
      <c r="Q835" s="116" t="s">
        <v>83</v>
      </c>
      <c r="R835" s="116" t="s">
        <v>83</v>
      </c>
      <c r="S835" s="115">
        <v>1.21951219512195E-2</v>
      </c>
      <c r="T835" s="115">
        <v>2.06185567010309E-2</v>
      </c>
      <c r="U835" s="115">
        <v>2.3529411764705899E-2</v>
      </c>
      <c r="V835" s="115">
        <v>0</v>
      </c>
      <c r="W835" s="6">
        <v>317</v>
      </c>
      <c r="X835" s="40">
        <f t="shared" ref="X835:X898" si="62">SUM(AN835:AR835)</f>
        <v>317</v>
      </c>
      <c r="Y835" s="40">
        <f t="shared" ref="Y835:Y898" si="63">SUM(AL835:AR835)</f>
        <v>317</v>
      </c>
      <c r="Z835" s="59">
        <v>0.53939999999999999</v>
      </c>
      <c r="AA835" s="59">
        <v>0.46060000000000001</v>
      </c>
      <c r="AB835" s="61">
        <v>0</v>
      </c>
      <c r="AC835" s="61">
        <v>3.1545741324921135E-3</v>
      </c>
      <c r="AD835" s="61">
        <v>0.21766561514195584</v>
      </c>
      <c r="AE835" s="61">
        <v>1.2618296529968454E-2</v>
      </c>
      <c r="AF835" s="61">
        <v>0</v>
      </c>
      <c r="AG835" s="61">
        <v>0.76025236593059942</v>
      </c>
      <c r="AH835" s="61">
        <v>6.3091482649842269E-3</v>
      </c>
      <c r="AI835" s="61">
        <v>0.23974763406940064</v>
      </c>
      <c r="AJ835" s="59">
        <v>0.71899999999999997</v>
      </c>
      <c r="AK835" s="59">
        <v>0</v>
      </c>
      <c r="AL835" s="3">
        <v>0</v>
      </c>
      <c r="AM835" s="3">
        <v>0</v>
      </c>
      <c r="AN835" s="3">
        <v>0</v>
      </c>
      <c r="AO835" s="3">
        <v>73</v>
      </c>
      <c r="AP835" s="3">
        <v>92</v>
      </c>
      <c r="AQ835" s="3">
        <v>79</v>
      </c>
      <c r="AR835" s="3">
        <v>73</v>
      </c>
      <c r="AS835" s="59">
        <v>0</v>
      </c>
      <c r="AT835" s="3">
        <v>9</v>
      </c>
      <c r="AU835" s="3">
        <v>6</v>
      </c>
      <c r="AV835" s="49">
        <v>66.896551724137893</v>
      </c>
      <c r="AW835" s="49">
        <v>26.2068965517241</v>
      </c>
      <c r="AX835" s="49">
        <v>6.8965517241379297</v>
      </c>
      <c r="AY835" s="67">
        <v>0</v>
      </c>
      <c r="AZ835" s="62">
        <v>2.6706231454005934E-2</v>
      </c>
      <c r="BA835" s="62">
        <v>9.4955489614243327E-2</v>
      </c>
      <c r="BB835" s="77">
        <v>93.555959856799106</v>
      </c>
      <c r="BC835" s="49">
        <v>44.378698224852101</v>
      </c>
      <c r="BD835" s="90" t="s">
        <v>83</v>
      </c>
      <c r="BE835" s="90" t="s">
        <v>83</v>
      </c>
      <c r="BF835" s="87">
        <v>4.7</v>
      </c>
      <c r="BG835" s="87">
        <v>0</v>
      </c>
      <c r="BH835" s="87">
        <v>1.4</v>
      </c>
      <c r="BI835" s="87">
        <v>0</v>
      </c>
      <c r="BJ835" s="49">
        <v>18.5</v>
      </c>
      <c r="BK835" s="126">
        <v>10262</v>
      </c>
      <c r="BL835" s="126">
        <v>52307</v>
      </c>
      <c r="BM835" s="126">
        <v>57072</v>
      </c>
      <c r="BN835" s="126">
        <v>35521</v>
      </c>
      <c r="BO835" s="59">
        <v>0</v>
      </c>
      <c r="BP835" s="59">
        <v>0.2024</v>
      </c>
      <c r="BQ835" s="59">
        <v>0.1903</v>
      </c>
      <c r="BR835" s="59">
        <v>0</v>
      </c>
      <c r="BS835" s="59">
        <v>2.6200000000000001E-2</v>
      </c>
      <c r="BT835" s="49">
        <v>12.9</v>
      </c>
      <c r="BU835" s="59">
        <f t="shared" ref="BU835:BU898" si="64">SUM(BO835:BS835)</f>
        <v>0.41889999999999999</v>
      </c>
      <c r="BV835" s="59">
        <v>2.6200000000000001E-2</v>
      </c>
      <c r="BW835" s="59">
        <v>0</v>
      </c>
      <c r="BX835" s="59">
        <v>2.6200000000000001E-2</v>
      </c>
      <c r="BY835" s="59">
        <v>0</v>
      </c>
      <c r="BZ835" s="59">
        <v>0</v>
      </c>
      <c r="CA835" s="49">
        <v>19.5</v>
      </c>
      <c r="CB835" s="59">
        <f t="shared" ref="CB835:CB898" si="65">SUM(BV835:BZ835)</f>
        <v>5.2400000000000002E-2</v>
      </c>
      <c r="CC835" s="59">
        <v>0.52859999999999996</v>
      </c>
      <c r="CD835" s="59">
        <v>0.2024</v>
      </c>
      <c r="CE835" s="59">
        <v>0.24279999999999999</v>
      </c>
      <c r="CF835" s="59">
        <v>0</v>
      </c>
      <c r="CG835" s="59">
        <v>2.6200000000000001E-2</v>
      </c>
      <c r="CH835" s="49">
        <v>11.5</v>
      </c>
      <c r="CI835" s="26" t="s">
        <v>313</v>
      </c>
      <c r="CJ835" s="18" t="s">
        <v>489</v>
      </c>
      <c r="CK835" s="20"/>
    </row>
    <row r="836" spans="1:89" x14ac:dyDescent="0.25">
      <c r="A836" s="18" t="s">
        <v>489</v>
      </c>
      <c r="B836" s="19" t="s">
        <v>311</v>
      </c>
      <c r="C836" s="26" t="s">
        <v>314</v>
      </c>
      <c r="D836" s="6">
        <v>18</v>
      </c>
      <c r="E836" s="40" t="s">
        <v>83</v>
      </c>
      <c r="F836" s="6">
        <v>18</v>
      </c>
      <c r="G836" s="162" t="s">
        <v>83</v>
      </c>
      <c r="H836" s="162" t="s">
        <v>83</v>
      </c>
      <c r="I836" s="162" t="s">
        <v>83</v>
      </c>
      <c r="J836" s="163">
        <v>7</v>
      </c>
      <c r="K836" s="163">
        <v>3</v>
      </c>
      <c r="L836" s="163">
        <v>3</v>
      </c>
      <c r="M836" s="163">
        <v>5</v>
      </c>
      <c r="N836" s="115">
        <v>3.9130434782608699E-2</v>
      </c>
      <c r="O836" s="115">
        <v>3.9130434782608699E-2</v>
      </c>
      <c r="P836" s="116" t="s">
        <v>83</v>
      </c>
      <c r="Q836" s="116" t="s">
        <v>83</v>
      </c>
      <c r="R836" s="116" t="s">
        <v>83</v>
      </c>
      <c r="S836" s="115">
        <v>5.1094890510948898E-2</v>
      </c>
      <c r="T836" s="115">
        <v>2.5000000000000001E-2</v>
      </c>
      <c r="U836" s="115">
        <v>2.9702970297029702E-2</v>
      </c>
      <c r="V836" s="115">
        <v>4.9019607843137303E-2</v>
      </c>
      <c r="W836" s="6">
        <v>408</v>
      </c>
      <c r="X836" s="40">
        <f t="shared" si="62"/>
        <v>408</v>
      </c>
      <c r="Y836" s="40">
        <f t="shared" si="63"/>
        <v>408</v>
      </c>
      <c r="Z836" s="59">
        <v>0.50980000000000003</v>
      </c>
      <c r="AA836" s="59">
        <v>0.49020000000000002</v>
      </c>
      <c r="AB836" s="61">
        <v>0</v>
      </c>
      <c r="AC836" s="61">
        <v>9.8039215686274508E-3</v>
      </c>
      <c r="AD836" s="61">
        <v>0.57352941176470584</v>
      </c>
      <c r="AE836" s="61">
        <v>9.8039215686274508E-3</v>
      </c>
      <c r="AF836" s="61">
        <v>0</v>
      </c>
      <c r="AG836" s="61">
        <v>0.40441176470588236</v>
      </c>
      <c r="AH836" s="61">
        <v>2.4509803921568627E-3</v>
      </c>
      <c r="AI836" s="61">
        <v>0.59558823529411764</v>
      </c>
      <c r="AJ836" s="59">
        <v>0.85799999999999998</v>
      </c>
      <c r="AK836" s="59">
        <v>7.4000000000000003E-3</v>
      </c>
      <c r="AL836" s="3">
        <v>0</v>
      </c>
      <c r="AM836" s="3">
        <v>0</v>
      </c>
      <c r="AN836" s="3">
        <v>0</v>
      </c>
      <c r="AO836" s="3">
        <v>112</v>
      </c>
      <c r="AP836" s="3">
        <v>106</v>
      </c>
      <c r="AQ836" s="3">
        <v>95</v>
      </c>
      <c r="AR836" s="3">
        <v>95</v>
      </c>
      <c r="AS836" s="59">
        <v>0</v>
      </c>
      <c r="AT836" s="3">
        <v>9</v>
      </c>
      <c r="AU836" s="3">
        <v>6</v>
      </c>
      <c r="AV836" s="49">
        <v>84.848484848484901</v>
      </c>
      <c r="AW836" s="49">
        <v>10</v>
      </c>
      <c r="AX836" s="49">
        <v>4.8484848484848495</v>
      </c>
      <c r="AY836" s="67">
        <v>0.30303030303030298</v>
      </c>
      <c r="AZ836" s="62">
        <v>0</v>
      </c>
      <c r="BA836" s="62">
        <v>0.15859030837004406</v>
      </c>
      <c r="BB836" s="78">
        <v>91.1354150564229</v>
      </c>
      <c r="BC836" s="49">
        <v>57.709251101321598</v>
      </c>
      <c r="BD836" s="90" t="s">
        <v>83</v>
      </c>
      <c r="BE836" s="90" t="s">
        <v>83</v>
      </c>
      <c r="BF836" s="87">
        <v>18.600000000000001</v>
      </c>
      <c r="BG836" s="87">
        <v>9.3000000000000007</v>
      </c>
      <c r="BH836" s="87">
        <v>1.1000000000000001</v>
      </c>
      <c r="BI836" s="87">
        <v>6.7</v>
      </c>
      <c r="BJ836" s="49">
        <v>17.3</v>
      </c>
      <c r="BK836" s="126">
        <v>10776</v>
      </c>
      <c r="BL836" s="126">
        <v>54929</v>
      </c>
      <c r="BM836" s="126">
        <v>58720</v>
      </c>
      <c r="BN836" s="126">
        <v>44887</v>
      </c>
      <c r="BO836" s="59">
        <v>2.41E-2</v>
      </c>
      <c r="BP836" s="59">
        <v>0.1923</v>
      </c>
      <c r="BQ836" s="59">
        <v>0.3604</v>
      </c>
      <c r="BR836" s="59">
        <v>0</v>
      </c>
      <c r="BS836" s="59">
        <v>2.41E-2</v>
      </c>
      <c r="BT836" s="49">
        <v>13.3</v>
      </c>
      <c r="BU836" s="59">
        <f t="shared" si="64"/>
        <v>0.60089999999999999</v>
      </c>
      <c r="BV836" s="59">
        <v>2.3E-2</v>
      </c>
      <c r="BW836" s="59">
        <v>0</v>
      </c>
      <c r="BX836" s="59">
        <v>4.8099999999999997E-2</v>
      </c>
      <c r="BY836" s="59">
        <v>0</v>
      </c>
      <c r="BZ836" s="59">
        <v>0</v>
      </c>
      <c r="CA836" s="49">
        <v>22.4</v>
      </c>
      <c r="CB836" s="59">
        <f t="shared" si="65"/>
        <v>7.1099999999999997E-2</v>
      </c>
      <c r="CC836" s="59">
        <v>0.35120000000000001</v>
      </c>
      <c r="CD836" s="59">
        <v>0.1923</v>
      </c>
      <c r="CE836" s="59">
        <v>0.43240000000000001</v>
      </c>
      <c r="CF836" s="59">
        <v>0</v>
      </c>
      <c r="CG836" s="59">
        <v>2.41E-2</v>
      </c>
      <c r="CH836" s="49">
        <v>13.4</v>
      </c>
      <c r="CI836" s="26" t="s">
        <v>314</v>
      </c>
      <c r="CJ836" s="18" t="s">
        <v>489</v>
      </c>
      <c r="CK836" s="20"/>
    </row>
    <row r="837" spans="1:89" x14ac:dyDescent="0.25">
      <c r="A837" s="18" t="s">
        <v>489</v>
      </c>
      <c r="B837" s="19" t="s">
        <v>315</v>
      </c>
      <c r="C837" s="26" t="s">
        <v>316</v>
      </c>
      <c r="D837" s="6">
        <v>1</v>
      </c>
      <c r="E837" s="6">
        <v>0</v>
      </c>
      <c r="F837" s="6">
        <v>1</v>
      </c>
      <c r="G837" s="163">
        <v>0</v>
      </c>
      <c r="H837" s="163">
        <v>0</v>
      </c>
      <c r="I837" s="162" t="s">
        <v>83</v>
      </c>
      <c r="J837" s="163">
        <v>0</v>
      </c>
      <c r="K837" s="163">
        <v>0</v>
      </c>
      <c r="L837" s="163">
        <v>0</v>
      </c>
      <c r="M837" s="163">
        <v>1</v>
      </c>
      <c r="N837" s="115">
        <v>3.7174721189591098E-3</v>
      </c>
      <c r="O837" s="115">
        <v>6.41025641025641E-3</v>
      </c>
      <c r="P837" s="115">
        <v>0</v>
      </c>
      <c r="Q837" s="115">
        <v>0</v>
      </c>
      <c r="R837" s="116" t="s">
        <v>83</v>
      </c>
      <c r="S837" s="115">
        <v>0</v>
      </c>
      <c r="T837" s="115">
        <v>0</v>
      </c>
      <c r="U837" s="115">
        <v>0</v>
      </c>
      <c r="V837" s="115">
        <v>2.5641025641025599E-2</v>
      </c>
      <c r="W837" s="6">
        <v>588</v>
      </c>
      <c r="X837" s="40">
        <f t="shared" si="62"/>
        <v>145</v>
      </c>
      <c r="Y837" s="40">
        <f t="shared" si="63"/>
        <v>252</v>
      </c>
      <c r="Z837" s="59">
        <v>0.48809999999999998</v>
      </c>
      <c r="AA837" s="59">
        <v>0.51190000000000002</v>
      </c>
      <c r="AB837" s="61">
        <v>0.27210884353741499</v>
      </c>
      <c r="AC837" s="61">
        <v>1.7006802721088435E-3</v>
      </c>
      <c r="AD837" s="61">
        <v>1.5306122448979591E-2</v>
      </c>
      <c r="AE837" s="61">
        <v>8.5034013605442185E-3</v>
      </c>
      <c r="AF837" s="61">
        <v>0</v>
      </c>
      <c r="AG837" s="61">
        <v>0.66836734693877553</v>
      </c>
      <c r="AH837" s="61">
        <v>3.4013605442176874E-2</v>
      </c>
      <c r="AI837" s="61">
        <v>0.33163265306122447</v>
      </c>
      <c r="AJ837" s="59">
        <v>0.6</v>
      </c>
      <c r="AK837" s="59">
        <v>0</v>
      </c>
      <c r="AL837" s="3">
        <v>60</v>
      </c>
      <c r="AM837" s="3">
        <v>47</v>
      </c>
      <c r="AN837" s="3">
        <v>0</v>
      </c>
      <c r="AO837" s="3">
        <v>36</v>
      </c>
      <c r="AP837" s="3">
        <v>38</v>
      </c>
      <c r="AQ837" s="3">
        <v>34</v>
      </c>
      <c r="AR837" s="3">
        <v>37</v>
      </c>
      <c r="AS837" s="59">
        <v>0</v>
      </c>
      <c r="AT837" s="3">
        <v>1</v>
      </c>
      <c r="AU837" s="3">
        <v>6</v>
      </c>
      <c r="AV837" s="49">
        <v>74.844720496894396</v>
      </c>
      <c r="AW837" s="49">
        <v>23.602484472049699</v>
      </c>
      <c r="AX837" s="49">
        <v>1.5527950310559</v>
      </c>
      <c r="AY837" s="67">
        <v>0</v>
      </c>
      <c r="AZ837" s="62">
        <v>1.7571884984025558E-2</v>
      </c>
      <c r="BA837" s="62">
        <v>6.8690095846645371E-2</v>
      </c>
      <c r="BB837" s="77">
        <v>93.2956899745855</v>
      </c>
      <c r="BC837" s="49">
        <v>60.535117056856201</v>
      </c>
      <c r="BD837" s="49">
        <v>0</v>
      </c>
      <c r="BE837" s="49">
        <v>0</v>
      </c>
      <c r="BF837" s="49">
        <v>0</v>
      </c>
      <c r="BG837" s="49">
        <v>0</v>
      </c>
      <c r="BH837" s="49">
        <v>0</v>
      </c>
      <c r="BI837" s="49">
        <v>0</v>
      </c>
      <c r="BJ837" s="49">
        <v>18.2</v>
      </c>
      <c r="BK837" s="126">
        <v>9894</v>
      </c>
      <c r="BL837" s="126">
        <v>46364</v>
      </c>
      <c r="BM837" s="126">
        <v>36491</v>
      </c>
      <c r="BN837" s="126">
        <v>34823</v>
      </c>
      <c r="BO837" s="59">
        <v>0</v>
      </c>
      <c r="BP837" s="59">
        <v>0.42549999999999999</v>
      </c>
      <c r="BQ837" s="59">
        <v>0.10780000000000001</v>
      </c>
      <c r="BR837" s="59">
        <v>0</v>
      </c>
      <c r="BS837" s="59">
        <v>0</v>
      </c>
      <c r="BT837" s="49">
        <v>12.2</v>
      </c>
      <c r="BU837" s="59">
        <f t="shared" si="64"/>
        <v>0.5333</v>
      </c>
      <c r="BV837" s="59">
        <v>2.9000000000000001E-2</v>
      </c>
      <c r="BW837" s="59">
        <v>0</v>
      </c>
      <c r="BX837" s="59">
        <v>1.4500000000000001E-2</v>
      </c>
      <c r="BY837" s="59">
        <v>0</v>
      </c>
      <c r="BZ837" s="59">
        <v>0</v>
      </c>
      <c r="CA837" s="49">
        <v>12.3</v>
      </c>
      <c r="CB837" s="59">
        <f t="shared" si="65"/>
        <v>4.3500000000000004E-2</v>
      </c>
      <c r="CC837" s="59">
        <v>0.4088</v>
      </c>
      <c r="CD837" s="59">
        <v>0.46889999999999998</v>
      </c>
      <c r="CE837" s="59">
        <v>0.12230000000000001</v>
      </c>
      <c r="CF837" s="59">
        <v>0</v>
      </c>
      <c r="CG837" s="59">
        <v>0</v>
      </c>
      <c r="CH837" s="49">
        <v>11.6</v>
      </c>
      <c r="CI837" s="26" t="s">
        <v>316</v>
      </c>
      <c r="CJ837" s="18" t="s">
        <v>489</v>
      </c>
      <c r="CK837" s="20"/>
    </row>
    <row r="838" spans="1:89" x14ac:dyDescent="0.25">
      <c r="A838" s="18" t="s">
        <v>489</v>
      </c>
      <c r="B838" s="19" t="s">
        <v>315</v>
      </c>
      <c r="C838" s="26" t="s">
        <v>317</v>
      </c>
      <c r="D838" s="6">
        <v>0</v>
      </c>
      <c r="E838" s="6">
        <v>0</v>
      </c>
      <c r="F838" s="6">
        <v>0</v>
      </c>
      <c r="G838" s="163">
        <v>0</v>
      </c>
      <c r="H838" s="163">
        <v>0</v>
      </c>
      <c r="I838" s="162" t="s">
        <v>83</v>
      </c>
      <c r="J838" s="163">
        <v>0</v>
      </c>
      <c r="K838" s="163">
        <v>0</v>
      </c>
      <c r="L838" s="163">
        <v>0</v>
      </c>
      <c r="M838" s="163">
        <v>0</v>
      </c>
      <c r="N838" s="115">
        <v>0</v>
      </c>
      <c r="O838" s="115">
        <v>0</v>
      </c>
      <c r="P838" s="115">
        <v>0</v>
      </c>
      <c r="Q838" s="115">
        <v>0</v>
      </c>
      <c r="R838" s="116" t="s">
        <v>83</v>
      </c>
      <c r="S838" s="115">
        <v>0</v>
      </c>
      <c r="T838" s="115">
        <v>0</v>
      </c>
      <c r="U838" s="115">
        <v>0</v>
      </c>
      <c r="V838" s="115">
        <v>0</v>
      </c>
      <c r="W838" s="6">
        <v>323</v>
      </c>
      <c r="X838" s="40">
        <f t="shared" si="62"/>
        <v>103</v>
      </c>
      <c r="Y838" s="40">
        <f t="shared" si="63"/>
        <v>154</v>
      </c>
      <c r="Z838" s="59">
        <v>0.4365</v>
      </c>
      <c r="AA838" s="59">
        <v>0.5635</v>
      </c>
      <c r="AB838" s="61">
        <v>0.64396284829721362</v>
      </c>
      <c r="AC838" s="61">
        <v>0</v>
      </c>
      <c r="AD838" s="61">
        <v>3.0959752321981426E-3</v>
      </c>
      <c r="AE838" s="61">
        <v>1.238390092879257E-2</v>
      </c>
      <c r="AF838" s="61">
        <v>0</v>
      </c>
      <c r="AG838" s="61">
        <v>0.19504643962848298</v>
      </c>
      <c r="AH838" s="61">
        <v>0.14551083591331268</v>
      </c>
      <c r="AI838" s="61">
        <v>0.804953560371517</v>
      </c>
      <c r="AJ838" s="59">
        <v>0.69</v>
      </c>
      <c r="AK838" s="59">
        <v>0</v>
      </c>
      <c r="AL838" s="3">
        <v>22</v>
      </c>
      <c r="AM838" s="3">
        <v>29</v>
      </c>
      <c r="AN838" s="3">
        <v>0</v>
      </c>
      <c r="AO838" s="3">
        <v>25</v>
      </c>
      <c r="AP838" s="3">
        <v>29</v>
      </c>
      <c r="AQ838" s="3">
        <v>25</v>
      </c>
      <c r="AR838" s="3">
        <v>24</v>
      </c>
      <c r="AS838" s="59">
        <v>0</v>
      </c>
      <c r="AT838" s="3">
        <v>1</v>
      </c>
      <c r="AU838" s="3">
        <v>6</v>
      </c>
      <c r="AV838" s="49">
        <v>64.925373134328396</v>
      </c>
      <c r="AW838" s="49">
        <v>28.358208955223901</v>
      </c>
      <c r="AX838" s="49">
        <v>6.7164179104477597</v>
      </c>
      <c r="AY838" s="67">
        <v>0</v>
      </c>
      <c r="AZ838" s="62">
        <v>0</v>
      </c>
      <c r="BA838" s="62">
        <v>0.12181303116147309</v>
      </c>
      <c r="BB838" s="78">
        <v>92.810420923961203</v>
      </c>
      <c r="BC838" s="49">
        <v>51.928783382789298</v>
      </c>
      <c r="BD838" s="49">
        <v>0</v>
      </c>
      <c r="BE838" s="49">
        <v>0</v>
      </c>
      <c r="BF838" s="49">
        <v>0</v>
      </c>
      <c r="BG838" s="49">
        <v>0</v>
      </c>
      <c r="BH838" s="49">
        <v>0</v>
      </c>
      <c r="BI838" s="49">
        <v>0</v>
      </c>
      <c r="BJ838" s="49">
        <v>18.8</v>
      </c>
      <c r="BK838" s="126">
        <v>10487</v>
      </c>
      <c r="BL838" s="126">
        <v>47701</v>
      </c>
      <c r="BM838" s="126">
        <v>50498</v>
      </c>
      <c r="BN838" s="126">
        <v>34931</v>
      </c>
      <c r="BO838" s="59">
        <v>0</v>
      </c>
      <c r="BP838" s="59">
        <v>0.28649999999999998</v>
      </c>
      <c r="BQ838" s="59">
        <v>0.1925</v>
      </c>
      <c r="BR838" s="59">
        <v>0</v>
      </c>
      <c r="BS838" s="59">
        <v>0</v>
      </c>
      <c r="BT838" s="49">
        <v>17.100000000000001</v>
      </c>
      <c r="BU838" s="59">
        <f t="shared" si="64"/>
        <v>0.47899999999999998</v>
      </c>
      <c r="BV838" s="59">
        <v>2.41E-2</v>
      </c>
      <c r="BW838" s="59">
        <v>0</v>
      </c>
      <c r="BX838" s="59">
        <v>2.41E-2</v>
      </c>
      <c r="BY838" s="59">
        <v>0</v>
      </c>
      <c r="BZ838" s="59">
        <v>0</v>
      </c>
      <c r="CA838" s="49">
        <v>14</v>
      </c>
      <c r="CB838" s="59">
        <f t="shared" si="65"/>
        <v>4.82E-2</v>
      </c>
      <c r="CC838" s="59">
        <v>0.42880000000000001</v>
      </c>
      <c r="CD838" s="59">
        <v>0.31059999999999999</v>
      </c>
      <c r="CE838" s="59">
        <v>0.26069999999999999</v>
      </c>
      <c r="CF838" s="59">
        <v>0</v>
      </c>
      <c r="CG838" s="59">
        <v>0</v>
      </c>
      <c r="CH838" s="49">
        <v>14.7</v>
      </c>
      <c r="CI838" s="26" t="s">
        <v>317</v>
      </c>
      <c r="CJ838" s="18" t="s">
        <v>489</v>
      </c>
      <c r="CK838" s="20"/>
    </row>
    <row r="839" spans="1:89" x14ac:dyDescent="0.25">
      <c r="A839" s="18" t="s">
        <v>489</v>
      </c>
      <c r="B839" s="19" t="s">
        <v>315</v>
      </c>
      <c r="C839" s="26" t="s">
        <v>318</v>
      </c>
      <c r="D839" s="6">
        <v>3</v>
      </c>
      <c r="E839" s="6">
        <v>2</v>
      </c>
      <c r="F839" s="6">
        <v>1</v>
      </c>
      <c r="G839" s="163">
        <v>1</v>
      </c>
      <c r="H839" s="163">
        <v>1</v>
      </c>
      <c r="I839" s="162" t="s">
        <v>83</v>
      </c>
      <c r="J839" s="163">
        <v>0</v>
      </c>
      <c r="K839" s="163">
        <v>1</v>
      </c>
      <c r="L839" s="163">
        <v>0</v>
      </c>
      <c r="M839" s="163">
        <v>0</v>
      </c>
      <c r="N839" s="115">
        <v>1.3043478260869599E-2</v>
      </c>
      <c r="O839" s="115">
        <v>7.4074074074074103E-3</v>
      </c>
      <c r="P839" s="115">
        <v>2.2222222222222199E-2</v>
      </c>
      <c r="Q839" s="115">
        <v>0.02</v>
      </c>
      <c r="R839" s="116" t="s">
        <v>83</v>
      </c>
      <c r="S839" s="115">
        <v>0</v>
      </c>
      <c r="T839" s="115">
        <v>2.5641025641025599E-2</v>
      </c>
      <c r="U839" s="115">
        <v>0</v>
      </c>
      <c r="V839" s="115">
        <v>0</v>
      </c>
      <c r="W839" s="6">
        <v>548</v>
      </c>
      <c r="X839" s="40">
        <f t="shared" si="62"/>
        <v>134</v>
      </c>
      <c r="Y839" s="40">
        <f t="shared" si="63"/>
        <v>218</v>
      </c>
      <c r="Z839" s="59">
        <v>0.51819999999999999</v>
      </c>
      <c r="AA839" s="59">
        <v>0.48180000000000001</v>
      </c>
      <c r="AB839" s="61">
        <v>6.2043795620437957E-2</v>
      </c>
      <c r="AC839" s="61">
        <v>1.8248175182481751E-3</v>
      </c>
      <c r="AD839" s="61">
        <v>0.12773722627737227</v>
      </c>
      <c r="AE839" s="61">
        <v>2.9197080291970802E-2</v>
      </c>
      <c r="AF839" s="61">
        <v>0</v>
      </c>
      <c r="AG839" s="61">
        <v>0.75547445255474455</v>
      </c>
      <c r="AH839" s="61">
        <v>2.3722627737226276E-2</v>
      </c>
      <c r="AI839" s="61">
        <v>0.24452554744525548</v>
      </c>
      <c r="AJ839" s="59">
        <v>0.57499999999999996</v>
      </c>
      <c r="AK839" s="59">
        <v>1.8E-3</v>
      </c>
      <c r="AL839" s="3">
        <v>43</v>
      </c>
      <c r="AM839" s="3">
        <v>41</v>
      </c>
      <c r="AN839" s="3">
        <v>0</v>
      </c>
      <c r="AO839" s="3">
        <v>34</v>
      </c>
      <c r="AP839" s="3">
        <v>36</v>
      </c>
      <c r="AQ839" s="3">
        <v>40</v>
      </c>
      <c r="AR839" s="3">
        <v>24</v>
      </c>
      <c r="AS839" s="59">
        <v>0</v>
      </c>
      <c r="AT839" s="3">
        <v>1</v>
      </c>
      <c r="AU839" s="3">
        <v>6</v>
      </c>
      <c r="AV839" s="49">
        <v>86.864406779660996</v>
      </c>
      <c r="AW839" s="49">
        <v>7.2033898305084705</v>
      </c>
      <c r="AX839" s="49">
        <v>5.0847457627118597</v>
      </c>
      <c r="AY839" s="67">
        <v>0.84745762711864403</v>
      </c>
      <c r="AZ839" s="62">
        <v>2.8960817717206135E-2</v>
      </c>
      <c r="BA839" s="62">
        <v>2.5553662691652469E-2</v>
      </c>
      <c r="BB839" s="77">
        <v>93.770285773583396</v>
      </c>
      <c r="BC839" s="49">
        <v>51.150442477876098</v>
      </c>
      <c r="BD839" s="87">
        <v>0</v>
      </c>
      <c r="BE839" s="87">
        <v>9.5</v>
      </c>
      <c r="BF839" s="87">
        <v>3.1</v>
      </c>
      <c r="BG839" s="87">
        <v>0</v>
      </c>
      <c r="BH839" s="87">
        <v>0</v>
      </c>
      <c r="BI839" s="87">
        <v>3.7</v>
      </c>
      <c r="BJ839" s="49">
        <v>19</v>
      </c>
      <c r="BK839" s="126">
        <v>11489</v>
      </c>
      <c r="BL839" s="126">
        <v>47837</v>
      </c>
      <c r="BM839" s="126">
        <v>43404</v>
      </c>
      <c r="BN839" s="126">
        <v>36171</v>
      </c>
      <c r="BO839" s="59">
        <v>0</v>
      </c>
      <c r="BP839" s="59">
        <v>0.39379999999999998</v>
      </c>
      <c r="BQ839" s="59">
        <v>0.1171</v>
      </c>
      <c r="BR839" s="59">
        <v>1.1000000000000001E-3</v>
      </c>
      <c r="BS839" s="59">
        <v>0</v>
      </c>
      <c r="BT839" s="49">
        <v>14.9</v>
      </c>
      <c r="BU839" s="59">
        <f t="shared" si="64"/>
        <v>0.51200000000000001</v>
      </c>
      <c r="BV839" s="59">
        <v>2.6100000000000002E-2</v>
      </c>
      <c r="BW839" s="59">
        <v>0</v>
      </c>
      <c r="BX839" s="59">
        <v>2.6200000000000001E-2</v>
      </c>
      <c r="BY839" s="59">
        <v>0</v>
      </c>
      <c r="BZ839" s="59">
        <v>0</v>
      </c>
      <c r="CA839" s="49">
        <v>19.8</v>
      </c>
      <c r="CB839" s="59">
        <f t="shared" si="65"/>
        <v>5.2299999999999999E-2</v>
      </c>
      <c r="CC839" s="59">
        <v>0.39269999999999999</v>
      </c>
      <c r="CD839" s="59">
        <v>0.42349999999999999</v>
      </c>
      <c r="CE839" s="59">
        <v>0.1827</v>
      </c>
      <c r="CF839" s="59">
        <v>1.1000000000000001E-3</v>
      </c>
      <c r="CG839" s="59">
        <v>0</v>
      </c>
      <c r="CH839" s="49">
        <v>13.8</v>
      </c>
      <c r="CI839" s="26" t="s">
        <v>318</v>
      </c>
      <c r="CJ839" s="18" t="s">
        <v>489</v>
      </c>
      <c r="CK839" s="20"/>
    </row>
    <row r="840" spans="1:89" x14ac:dyDescent="0.25">
      <c r="A840" s="18" t="s">
        <v>489</v>
      </c>
      <c r="B840" s="19" t="s">
        <v>315</v>
      </c>
      <c r="C840" s="26" t="s">
        <v>319</v>
      </c>
      <c r="D840" s="6">
        <v>3</v>
      </c>
      <c r="E840" s="40" t="s">
        <v>83</v>
      </c>
      <c r="F840" s="6">
        <v>3</v>
      </c>
      <c r="G840" s="162" t="s">
        <v>83</v>
      </c>
      <c r="H840" s="162" t="s">
        <v>83</v>
      </c>
      <c r="I840" s="162" t="s">
        <v>83</v>
      </c>
      <c r="J840" s="163">
        <v>0</v>
      </c>
      <c r="K840" s="163">
        <v>0</v>
      </c>
      <c r="L840" s="163">
        <v>1</v>
      </c>
      <c r="M840" s="163">
        <v>2</v>
      </c>
      <c r="N840" s="115">
        <v>8.9020771513353102E-3</v>
      </c>
      <c r="O840" s="115">
        <v>8.9020771513353102E-3</v>
      </c>
      <c r="P840" s="116" t="s">
        <v>83</v>
      </c>
      <c r="Q840" s="116" t="s">
        <v>83</v>
      </c>
      <c r="R840" s="116" t="s">
        <v>83</v>
      </c>
      <c r="S840" s="115">
        <v>0</v>
      </c>
      <c r="T840" s="115">
        <v>0</v>
      </c>
      <c r="U840" s="115">
        <v>1.2820512820512799E-2</v>
      </c>
      <c r="V840" s="115">
        <v>2.5974025974026E-2</v>
      </c>
      <c r="W840" s="6">
        <v>315</v>
      </c>
      <c r="X840" s="40">
        <f t="shared" si="62"/>
        <v>315</v>
      </c>
      <c r="Y840" s="40">
        <f t="shared" si="63"/>
        <v>315</v>
      </c>
      <c r="Z840" s="59">
        <v>0.47620000000000001</v>
      </c>
      <c r="AA840" s="59">
        <v>0.52380000000000004</v>
      </c>
      <c r="AB840" s="61">
        <v>3.8095238095238099E-2</v>
      </c>
      <c r="AC840" s="61">
        <v>0</v>
      </c>
      <c r="AD840" s="61">
        <v>0.40952380952380951</v>
      </c>
      <c r="AE840" s="61">
        <v>2.8571428571428571E-2</v>
      </c>
      <c r="AF840" s="61">
        <v>0</v>
      </c>
      <c r="AG840" s="61">
        <v>0.49841269841269842</v>
      </c>
      <c r="AH840" s="61">
        <v>2.5396825396825397E-2</v>
      </c>
      <c r="AI840" s="61">
        <v>0.50158730158730158</v>
      </c>
      <c r="AJ840" s="59">
        <v>0.64800000000000002</v>
      </c>
      <c r="AK840" s="59">
        <v>3.2000000000000002E-3</v>
      </c>
      <c r="AL840" s="3">
        <v>0</v>
      </c>
      <c r="AM840" s="3">
        <v>0</v>
      </c>
      <c r="AN840" s="3">
        <v>0</v>
      </c>
      <c r="AO840" s="3">
        <v>79</v>
      </c>
      <c r="AP840" s="3">
        <v>90</v>
      </c>
      <c r="AQ840" s="3">
        <v>65</v>
      </c>
      <c r="AR840" s="3">
        <v>81</v>
      </c>
      <c r="AS840" s="59">
        <v>0</v>
      </c>
      <c r="AT840" s="3">
        <v>9</v>
      </c>
      <c r="AU840" s="3">
        <v>6</v>
      </c>
      <c r="AV840" s="49">
        <v>87.330316742081408</v>
      </c>
      <c r="AW840" s="49">
        <v>10.859728506787301</v>
      </c>
      <c r="AX840" s="49">
        <v>1.8099547511312202</v>
      </c>
      <c r="AY840" s="67">
        <v>0</v>
      </c>
      <c r="AZ840" s="62">
        <v>2.9940119760479044E-3</v>
      </c>
      <c r="BA840" s="62">
        <v>5.9880239520958084E-2</v>
      </c>
      <c r="BB840" s="78">
        <v>94.881152274558104</v>
      </c>
      <c r="BC840" s="49">
        <v>28.895184135977299</v>
      </c>
      <c r="BD840" s="90" t="s">
        <v>83</v>
      </c>
      <c r="BE840" s="90" t="s">
        <v>83</v>
      </c>
      <c r="BF840" s="49">
        <v>0</v>
      </c>
      <c r="BG840" s="49">
        <v>0</v>
      </c>
      <c r="BH840" s="49">
        <v>0</v>
      </c>
      <c r="BI840" s="87">
        <v>1.1000000000000001</v>
      </c>
      <c r="BJ840" s="49">
        <v>18.899999999999999</v>
      </c>
      <c r="BK840" s="126">
        <v>13231</v>
      </c>
      <c r="BL840" s="126">
        <v>47057</v>
      </c>
      <c r="BM840" s="126">
        <v>51993</v>
      </c>
      <c r="BN840" s="126">
        <v>33811</v>
      </c>
      <c r="BO840" s="59">
        <v>0</v>
      </c>
      <c r="BP840" s="59">
        <v>0.3034</v>
      </c>
      <c r="BQ840" s="59">
        <v>0.1071</v>
      </c>
      <c r="BR840" s="59">
        <v>0</v>
      </c>
      <c r="BS840" s="59">
        <v>0</v>
      </c>
      <c r="BT840" s="49">
        <v>10.6</v>
      </c>
      <c r="BU840" s="59">
        <f t="shared" si="64"/>
        <v>0.41049999999999998</v>
      </c>
      <c r="BV840" s="59">
        <v>1.7899999999999999E-2</v>
      </c>
      <c r="BW840" s="59">
        <v>0</v>
      </c>
      <c r="BX840" s="59">
        <v>3.5700000000000003E-2</v>
      </c>
      <c r="BY840" s="59">
        <v>0</v>
      </c>
      <c r="BZ840" s="59">
        <v>0</v>
      </c>
      <c r="CA840" s="49">
        <v>14.7</v>
      </c>
      <c r="CB840" s="59">
        <f t="shared" si="65"/>
        <v>5.3600000000000002E-2</v>
      </c>
      <c r="CC840" s="59">
        <v>0.46600000000000003</v>
      </c>
      <c r="CD840" s="59">
        <v>0.35539999999999999</v>
      </c>
      <c r="CE840" s="59">
        <v>0.17860000000000001</v>
      </c>
      <c r="CF840" s="59">
        <v>0</v>
      </c>
      <c r="CG840" s="59">
        <v>0</v>
      </c>
      <c r="CH840" s="49">
        <v>10.6</v>
      </c>
      <c r="CI840" s="26" t="s">
        <v>319</v>
      </c>
      <c r="CJ840" s="18" t="s">
        <v>489</v>
      </c>
      <c r="CK840" s="20"/>
    </row>
    <row r="841" spans="1:89" x14ac:dyDescent="0.25">
      <c r="A841" s="18" t="s">
        <v>489</v>
      </c>
      <c r="B841" s="19" t="s">
        <v>315</v>
      </c>
      <c r="C841" s="26" t="s">
        <v>320</v>
      </c>
      <c r="D841" s="6">
        <v>0</v>
      </c>
      <c r="E841" s="6">
        <v>0</v>
      </c>
      <c r="F841" s="6">
        <v>0</v>
      </c>
      <c r="G841" s="163">
        <v>0</v>
      </c>
      <c r="H841" s="163">
        <v>0</v>
      </c>
      <c r="I841" s="162" t="s">
        <v>83</v>
      </c>
      <c r="J841" s="163">
        <v>0</v>
      </c>
      <c r="K841" s="163">
        <v>0</v>
      </c>
      <c r="L841" s="163">
        <v>0</v>
      </c>
      <c r="M841" s="163">
        <v>0</v>
      </c>
      <c r="N841" s="115">
        <v>0</v>
      </c>
      <c r="O841" s="115">
        <v>0</v>
      </c>
      <c r="P841" s="115">
        <v>0</v>
      </c>
      <c r="Q841" s="115">
        <v>0</v>
      </c>
      <c r="R841" s="116" t="s">
        <v>83</v>
      </c>
      <c r="S841" s="115">
        <v>0</v>
      </c>
      <c r="T841" s="115">
        <v>0</v>
      </c>
      <c r="U841" s="115">
        <v>0</v>
      </c>
      <c r="V841" s="115">
        <v>0</v>
      </c>
      <c r="W841" s="6">
        <v>487</v>
      </c>
      <c r="X841" s="40">
        <f t="shared" si="62"/>
        <v>139</v>
      </c>
      <c r="Y841" s="40">
        <f t="shared" si="63"/>
        <v>200</v>
      </c>
      <c r="Z841" s="59">
        <v>0.46820000000000001</v>
      </c>
      <c r="AA841" s="59">
        <v>0.53180000000000005</v>
      </c>
      <c r="AB841" s="61">
        <v>6.5708418891170434E-2</v>
      </c>
      <c r="AC841" s="61">
        <v>2.0533880903490761E-3</v>
      </c>
      <c r="AD841" s="61">
        <v>9.034907597535935E-2</v>
      </c>
      <c r="AE841" s="61">
        <v>2.4640657084188913E-2</v>
      </c>
      <c r="AF841" s="61">
        <v>0</v>
      </c>
      <c r="AG841" s="61">
        <v>0.78028747433264889</v>
      </c>
      <c r="AH841" s="61">
        <v>3.6960985626283367E-2</v>
      </c>
      <c r="AI841" s="61">
        <v>0.21971252566735114</v>
      </c>
      <c r="AJ841" s="59">
        <v>0.58499999999999996</v>
      </c>
      <c r="AK841" s="59">
        <v>0</v>
      </c>
      <c r="AL841" s="3">
        <v>36</v>
      </c>
      <c r="AM841" s="3">
        <v>25</v>
      </c>
      <c r="AN841" s="3">
        <v>0</v>
      </c>
      <c r="AO841" s="3">
        <v>38</v>
      </c>
      <c r="AP841" s="3">
        <v>34</v>
      </c>
      <c r="AQ841" s="3">
        <v>37</v>
      </c>
      <c r="AR841" s="3">
        <v>30</v>
      </c>
      <c r="AS841" s="59">
        <v>0</v>
      </c>
      <c r="AT841" s="3">
        <v>1</v>
      </c>
      <c r="AU841" s="3">
        <v>6</v>
      </c>
      <c r="AV841" s="49">
        <v>89.530685920577596</v>
      </c>
      <c r="AW841" s="49">
        <v>7.9422382671480092</v>
      </c>
      <c r="AX841" s="49">
        <v>1.08303249097473</v>
      </c>
      <c r="AY841" s="67">
        <v>1.44404332129964</v>
      </c>
      <c r="AZ841" s="62">
        <v>5.454545454545455E-3</v>
      </c>
      <c r="BA841" s="62">
        <v>5.2727272727272727E-2</v>
      </c>
      <c r="BB841" s="77">
        <v>93.626206196038595</v>
      </c>
      <c r="BC841" s="49">
        <v>49.618320610687</v>
      </c>
      <c r="BD841" s="49">
        <v>0</v>
      </c>
      <c r="BE841" s="49">
        <v>0</v>
      </c>
      <c r="BF841" s="49">
        <v>0</v>
      </c>
      <c r="BG841" s="49">
        <v>0</v>
      </c>
      <c r="BH841" s="49">
        <v>0</v>
      </c>
      <c r="BI841" s="49">
        <v>0</v>
      </c>
      <c r="BJ841" s="49">
        <v>20.100000000000001</v>
      </c>
      <c r="BK841" s="126">
        <v>11199</v>
      </c>
      <c r="BL841" s="126">
        <v>46485</v>
      </c>
      <c r="BM841" s="126">
        <v>44650</v>
      </c>
      <c r="BN841" s="126">
        <v>36138</v>
      </c>
      <c r="BO841" s="59">
        <v>0</v>
      </c>
      <c r="BP841" s="59">
        <v>0.42599999999999999</v>
      </c>
      <c r="BQ841" s="59">
        <v>0.1065</v>
      </c>
      <c r="BR841" s="59">
        <v>0</v>
      </c>
      <c r="BS841" s="59">
        <v>0</v>
      </c>
      <c r="BT841" s="49">
        <v>15.3</v>
      </c>
      <c r="BU841" s="59">
        <f t="shared" si="64"/>
        <v>0.53249999999999997</v>
      </c>
      <c r="BV841" s="59">
        <v>3.04E-2</v>
      </c>
      <c r="BW841" s="59">
        <v>0</v>
      </c>
      <c r="BX841" s="59">
        <v>1.52E-2</v>
      </c>
      <c r="BY841" s="59">
        <v>1.52E-2</v>
      </c>
      <c r="BZ841" s="59">
        <v>0</v>
      </c>
      <c r="CA841" s="49">
        <v>17</v>
      </c>
      <c r="CB841" s="59">
        <f t="shared" si="65"/>
        <v>6.08E-2</v>
      </c>
      <c r="CC841" s="59">
        <v>0.37630000000000002</v>
      </c>
      <c r="CD841" s="59">
        <v>0.45639999999999997</v>
      </c>
      <c r="CE841" s="59">
        <v>0.15210000000000001</v>
      </c>
      <c r="CF841" s="59">
        <v>1.52E-2</v>
      </c>
      <c r="CG841" s="59">
        <v>0</v>
      </c>
      <c r="CH841" s="49">
        <v>12.9</v>
      </c>
      <c r="CI841" s="26" t="s">
        <v>320</v>
      </c>
      <c r="CJ841" s="18" t="s">
        <v>489</v>
      </c>
      <c r="CK841" s="20"/>
    </row>
    <row r="842" spans="1:89" x14ac:dyDescent="0.25">
      <c r="A842" s="18" t="s">
        <v>489</v>
      </c>
      <c r="B842" s="19" t="s">
        <v>315</v>
      </c>
      <c r="C842" s="26" t="s">
        <v>321</v>
      </c>
      <c r="D842" s="6">
        <v>3</v>
      </c>
      <c r="E842" s="6">
        <v>1</v>
      </c>
      <c r="F842" s="6">
        <v>2</v>
      </c>
      <c r="G842" s="163">
        <v>1</v>
      </c>
      <c r="H842" s="163">
        <v>0</v>
      </c>
      <c r="I842" s="162" t="s">
        <v>83</v>
      </c>
      <c r="J842" s="163">
        <v>1</v>
      </c>
      <c r="K842" s="163">
        <v>0</v>
      </c>
      <c r="L842" s="163">
        <v>1</v>
      </c>
      <c r="M842" s="163">
        <v>0</v>
      </c>
      <c r="N842" s="115">
        <v>2.01342281879195E-2</v>
      </c>
      <c r="O842" s="115">
        <v>2.27272727272727E-2</v>
      </c>
      <c r="P842" s="115">
        <v>3.03030303030303E-2</v>
      </c>
      <c r="Q842" s="115">
        <v>0</v>
      </c>
      <c r="R842" s="116" t="s">
        <v>83</v>
      </c>
      <c r="S842" s="115">
        <v>3.125E-2</v>
      </c>
      <c r="T842" s="115">
        <v>0</v>
      </c>
      <c r="U842" s="115">
        <v>4.5454545454545497E-2</v>
      </c>
      <c r="V842" s="115">
        <v>0</v>
      </c>
      <c r="W842" s="6">
        <v>306</v>
      </c>
      <c r="X842" s="40">
        <f t="shared" si="62"/>
        <v>80</v>
      </c>
      <c r="Y842" s="40">
        <f t="shared" si="63"/>
        <v>135</v>
      </c>
      <c r="Z842" s="59">
        <v>0.4869</v>
      </c>
      <c r="AA842" s="59">
        <v>0.5131</v>
      </c>
      <c r="AB842" s="61">
        <v>2.9411764705882353E-2</v>
      </c>
      <c r="AC842" s="61">
        <v>0</v>
      </c>
      <c r="AD842" s="61">
        <v>0.33006535947712418</v>
      </c>
      <c r="AE842" s="61">
        <v>9.8039215686274508E-3</v>
      </c>
      <c r="AF842" s="61">
        <v>0</v>
      </c>
      <c r="AG842" s="61">
        <v>0.59803921568627449</v>
      </c>
      <c r="AH842" s="61">
        <v>3.2679738562091505E-2</v>
      </c>
      <c r="AI842" s="61">
        <v>0.40196078431372551</v>
      </c>
      <c r="AJ842" s="59">
        <v>0.71899999999999997</v>
      </c>
      <c r="AK842" s="59">
        <v>0</v>
      </c>
      <c r="AL842" s="3">
        <v>29</v>
      </c>
      <c r="AM842" s="3">
        <v>26</v>
      </c>
      <c r="AN842" s="3">
        <v>0</v>
      </c>
      <c r="AO842" s="3">
        <v>29</v>
      </c>
      <c r="AP842" s="3">
        <v>17</v>
      </c>
      <c r="AQ842" s="3">
        <v>21</v>
      </c>
      <c r="AR842" s="3">
        <v>13</v>
      </c>
      <c r="AS842" s="59">
        <v>0</v>
      </c>
      <c r="AT842" s="3">
        <v>1</v>
      </c>
      <c r="AU842" s="3">
        <v>6</v>
      </c>
      <c r="AV842" s="49">
        <v>70.731707317073202</v>
      </c>
      <c r="AW842" s="49">
        <v>19.512195121951201</v>
      </c>
      <c r="AX842" s="49">
        <v>9.7560975609756095</v>
      </c>
      <c r="AY842" s="67">
        <v>0</v>
      </c>
      <c r="AZ842" s="62">
        <v>7.098765432098765E-2</v>
      </c>
      <c r="BA842" s="62">
        <v>7.407407407407407E-2</v>
      </c>
      <c r="BB842" s="78">
        <v>93.803641817057994</v>
      </c>
      <c r="BC842" s="49">
        <v>50.162866449511398</v>
      </c>
      <c r="BD842" s="49">
        <v>0</v>
      </c>
      <c r="BE842" s="49">
        <v>0</v>
      </c>
      <c r="BF842" s="49">
        <v>0</v>
      </c>
      <c r="BG842" s="49">
        <v>0</v>
      </c>
      <c r="BH842" s="87">
        <v>10</v>
      </c>
      <c r="BI842" s="49">
        <v>0</v>
      </c>
      <c r="BJ842" s="49">
        <v>17.399999999999999</v>
      </c>
      <c r="BK842" s="126">
        <v>10919</v>
      </c>
      <c r="BL842" s="126">
        <v>45692</v>
      </c>
      <c r="BM842" s="126">
        <v>49481</v>
      </c>
      <c r="BN842" s="126">
        <v>34819</v>
      </c>
      <c r="BO842" s="59">
        <v>0</v>
      </c>
      <c r="BP842" s="59">
        <v>0.27160000000000001</v>
      </c>
      <c r="BQ842" s="59">
        <v>0.1956</v>
      </c>
      <c r="BR842" s="59">
        <v>0</v>
      </c>
      <c r="BS842" s="59">
        <v>0</v>
      </c>
      <c r="BT842" s="49">
        <v>11</v>
      </c>
      <c r="BU842" s="59">
        <f t="shared" si="64"/>
        <v>0.4672</v>
      </c>
      <c r="BV842" s="59">
        <v>2.35E-2</v>
      </c>
      <c r="BW842" s="59">
        <v>0</v>
      </c>
      <c r="BX842" s="59">
        <v>4.9200000000000001E-2</v>
      </c>
      <c r="BY842" s="59">
        <v>0</v>
      </c>
      <c r="BZ842" s="59">
        <v>0</v>
      </c>
      <c r="CA842" s="49">
        <v>12.7</v>
      </c>
      <c r="CB842" s="59">
        <f t="shared" si="65"/>
        <v>7.2700000000000001E-2</v>
      </c>
      <c r="CC842" s="59">
        <v>0.38519999999999999</v>
      </c>
      <c r="CD842" s="59">
        <v>0.32079999999999997</v>
      </c>
      <c r="CE842" s="59">
        <v>0.26939999999999997</v>
      </c>
      <c r="CF842" s="59">
        <v>2.46E-2</v>
      </c>
      <c r="CG842" s="59">
        <v>0</v>
      </c>
      <c r="CH842" s="49">
        <v>11.8</v>
      </c>
      <c r="CI842" s="26" t="s">
        <v>321</v>
      </c>
      <c r="CJ842" s="18" t="s">
        <v>489</v>
      </c>
      <c r="CK842" s="20"/>
    </row>
    <row r="843" spans="1:89" x14ac:dyDescent="0.25">
      <c r="A843" s="18" t="s">
        <v>489</v>
      </c>
      <c r="B843" s="19" t="s">
        <v>315</v>
      </c>
      <c r="C843" s="26" t="s">
        <v>322</v>
      </c>
      <c r="D843" s="6">
        <v>0</v>
      </c>
      <c r="E843" s="6">
        <v>0</v>
      </c>
      <c r="F843" s="6">
        <v>0</v>
      </c>
      <c r="G843" s="163">
        <v>0</v>
      </c>
      <c r="H843" s="163">
        <v>0</v>
      </c>
      <c r="I843" s="162" t="s">
        <v>83</v>
      </c>
      <c r="J843" s="163">
        <v>0</v>
      </c>
      <c r="K843" s="163">
        <v>0</v>
      </c>
      <c r="L843" s="163">
        <v>0</v>
      </c>
      <c r="M843" s="163">
        <v>0</v>
      </c>
      <c r="N843" s="115">
        <v>0</v>
      </c>
      <c r="O843" s="115">
        <v>0</v>
      </c>
      <c r="P843" s="115">
        <v>0</v>
      </c>
      <c r="Q843" s="115">
        <v>0</v>
      </c>
      <c r="R843" s="116" t="s">
        <v>83</v>
      </c>
      <c r="S843" s="115">
        <v>0</v>
      </c>
      <c r="T843" s="115">
        <v>0</v>
      </c>
      <c r="U843" s="115">
        <v>0</v>
      </c>
      <c r="V843" s="115">
        <v>0</v>
      </c>
      <c r="W843" s="6">
        <v>331</v>
      </c>
      <c r="X843" s="40">
        <f t="shared" si="62"/>
        <v>200</v>
      </c>
      <c r="Y843" s="40">
        <f t="shared" si="63"/>
        <v>331</v>
      </c>
      <c r="Z843" s="59">
        <v>0.4773</v>
      </c>
      <c r="AA843" s="59">
        <v>0.52270000000000005</v>
      </c>
      <c r="AB843" s="61">
        <v>0.36253776435045315</v>
      </c>
      <c r="AC843" s="61">
        <v>0</v>
      </c>
      <c r="AD843" s="61">
        <v>0.30815709969788518</v>
      </c>
      <c r="AE843" s="61">
        <v>3.3232628398791542E-2</v>
      </c>
      <c r="AF843" s="61">
        <v>0</v>
      </c>
      <c r="AG843" s="61">
        <v>0.14803625377643503</v>
      </c>
      <c r="AH843" s="61">
        <v>0.14803625377643503</v>
      </c>
      <c r="AI843" s="61">
        <v>0.85196374622356497</v>
      </c>
      <c r="AJ843" s="59">
        <v>0.76700000000000002</v>
      </c>
      <c r="AK843" s="59">
        <v>0</v>
      </c>
      <c r="AL843" s="3">
        <v>71</v>
      </c>
      <c r="AM843" s="3">
        <v>60</v>
      </c>
      <c r="AN843" s="3">
        <v>0</v>
      </c>
      <c r="AO843" s="3">
        <v>55</v>
      </c>
      <c r="AP843" s="3">
        <v>49</v>
      </c>
      <c r="AQ843" s="3">
        <v>56</v>
      </c>
      <c r="AR843" s="3">
        <v>40</v>
      </c>
      <c r="AS843" s="59">
        <v>0</v>
      </c>
      <c r="AT843" s="3">
        <v>7</v>
      </c>
      <c r="AU843" s="3">
        <v>6</v>
      </c>
      <c r="AV843" s="49">
        <v>85.046728971962608</v>
      </c>
      <c r="AW843" s="49">
        <v>14.485981308411199</v>
      </c>
      <c r="AX843" s="49">
        <v>0.467289719626168</v>
      </c>
      <c r="AY843" s="67">
        <v>0</v>
      </c>
      <c r="AZ843" s="62">
        <v>3.7681159420289857E-2</v>
      </c>
      <c r="BA843" s="62">
        <v>0.16521739130434782</v>
      </c>
      <c r="BB843" s="77">
        <v>94.275793277374206</v>
      </c>
      <c r="BC843" s="49">
        <v>43.839541547277904</v>
      </c>
      <c r="BD843" s="49">
        <v>0</v>
      </c>
      <c r="BE843" s="49">
        <v>0</v>
      </c>
      <c r="BF843" s="49">
        <v>0</v>
      </c>
      <c r="BG843" s="49">
        <v>0</v>
      </c>
      <c r="BH843" s="49">
        <v>0</v>
      </c>
      <c r="BI843" s="49">
        <v>0</v>
      </c>
      <c r="BJ843" s="49">
        <v>18.5</v>
      </c>
      <c r="BK843" s="126">
        <v>13225</v>
      </c>
      <c r="BL843" s="126">
        <v>47244</v>
      </c>
      <c r="BM843" s="126">
        <v>52535</v>
      </c>
      <c r="BN843" s="126">
        <v>34060</v>
      </c>
      <c r="BO843" s="59">
        <v>1.7100000000000001E-2</v>
      </c>
      <c r="BP843" s="59">
        <v>0.30719999999999997</v>
      </c>
      <c r="BQ843" s="59">
        <v>8.3599999999999994E-2</v>
      </c>
      <c r="BR843" s="59">
        <v>0</v>
      </c>
      <c r="BS843" s="59">
        <v>0</v>
      </c>
      <c r="BT843" s="49">
        <v>13.8</v>
      </c>
      <c r="BU843" s="59">
        <f t="shared" si="64"/>
        <v>0.40789999999999998</v>
      </c>
      <c r="BV843" s="59">
        <v>1.7100000000000001E-2</v>
      </c>
      <c r="BW843" s="59">
        <v>0</v>
      </c>
      <c r="BX843" s="59">
        <v>3.4200000000000001E-2</v>
      </c>
      <c r="BY843" s="59">
        <v>0</v>
      </c>
      <c r="BZ843" s="59">
        <v>0</v>
      </c>
      <c r="CA843" s="49">
        <v>16.7</v>
      </c>
      <c r="CB843" s="59">
        <f t="shared" si="65"/>
        <v>5.1299999999999998E-2</v>
      </c>
      <c r="CC843" s="59">
        <v>0.51039999999999996</v>
      </c>
      <c r="CD843" s="59">
        <v>0.33760000000000001</v>
      </c>
      <c r="CE843" s="59">
        <v>0.13489999999999999</v>
      </c>
      <c r="CF843" s="59">
        <v>1.7100000000000001E-2</v>
      </c>
      <c r="CG843" s="59">
        <v>0</v>
      </c>
      <c r="CH843" s="49">
        <v>13.2</v>
      </c>
      <c r="CI843" s="26" t="s">
        <v>322</v>
      </c>
      <c r="CJ843" s="18" t="s">
        <v>489</v>
      </c>
      <c r="CK843" s="20"/>
    </row>
    <row r="844" spans="1:89" x14ac:dyDescent="0.25">
      <c r="A844" s="18" t="s">
        <v>489</v>
      </c>
      <c r="B844" s="19" t="s">
        <v>323</v>
      </c>
      <c r="C844" s="26" t="s">
        <v>324</v>
      </c>
      <c r="D844" s="6">
        <v>33</v>
      </c>
      <c r="E844" s="40" t="s">
        <v>83</v>
      </c>
      <c r="F844" s="6">
        <v>33</v>
      </c>
      <c r="G844" s="162" t="s">
        <v>83</v>
      </c>
      <c r="H844" s="162" t="s">
        <v>83</v>
      </c>
      <c r="I844" s="163">
        <v>1</v>
      </c>
      <c r="J844" s="163">
        <v>5</v>
      </c>
      <c r="K844" s="163">
        <v>5</v>
      </c>
      <c r="L844" s="163">
        <v>8</v>
      </c>
      <c r="M844" s="163">
        <v>14</v>
      </c>
      <c r="N844" s="115">
        <v>1.68367346938776E-2</v>
      </c>
      <c r="O844" s="115">
        <v>1.68367346938776E-2</v>
      </c>
      <c r="P844" s="116" t="s">
        <v>83</v>
      </c>
      <c r="Q844" s="116" t="s">
        <v>83</v>
      </c>
      <c r="R844" s="115">
        <v>3.5714285714285698E-2</v>
      </c>
      <c r="S844" s="115">
        <v>9.0415913200723296E-3</v>
      </c>
      <c r="T844" s="115">
        <v>9.9800399201596807E-3</v>
      </c>
      <c r="U844" s="115">
        <v>1.7738359201773801E-2</v>
      </c>
      <c r="V844" s="115">
        <v>3.2786885245901599E-2</v>
      </c>
      <c r="W844" s="6">
        <v>1826</v>
      </c>
      <c r="X844" s="40">
        <f t="shared" si="62"/>
        <v>1826</v>
      </c>
      <c r="Y844" s="40">
        <f t="shared" si="63"/>
        <v>1826</v>
      </c>
      <c r="Z844" s="59">
        <v>0.50270000000000004</v>
      </c>
      <c r="AA844" s="59">
        <v>0.49730000000000002</v>
      </c>
      <c r="AB844" s="61">
        <v>6.5717415115005475E-3</v>
      </c>
      <c r="AC844" s="61">
        <v>3.3406352683461114E-2</v>
      </c>
      <c r="AD844" s="61">
        <v>0.29846659364731654</v>
      </c>
      <c r="AE844" s="61">
        <v>0.1221248630887185</v>
      </c>
      <c r="AF844" s="61">
        <v>0</v>
      </c>
      <c r="AG844" s="61">
        <v>0.5191675794085433</v>
      </c>
      <c r="AH844" s="61">
        <v>2.0262869660460023E-2</v>
      </c>
      <c r="AI844" s="61">
        <v>0.48083242059145676</v>
      </c>
      <c r="AJ844" s="59">
        <v>0.70599999999999996</v>
      </c>
      <c r="AK844" s="59">
        <v>3.7199999999999997E-2</v>
      </c>
      <c r="AL844" s="3">
        <v>0</v>
      </c>
      <c r="AM844" s="3">
        <v>0</v>
      </c>
      <c r="AN844" s="3">
        <v>26</v>
      </c>
      <c r="AO844" s="3">
        <v>515</v>
      </c>
      <c r="AP844" s="3">
        <v>464</v>
      </c>
      <c r="AQ844" s="3">
        <v>475</v>
      </c>
      <c r="AR844" s="3">
        <v>346</v>
      </c>
      <c r="AS844" s="59">
        <v>4.8059149722735672E-2</v>
      </c>
      <c r="AT844" s="3">
        <v>9</v>
      </c>
      <c r="AU844" s="3">
        <v>6</v>
      </c>
      <c r="AV844" s="49">
        <v>38.239538239538199</v>
      </c>
      <c r="AW844" s="49">
        <v>32.900432900432904</v>
      </c>
      <c r="AX844" s="49">
        <v>27.994227994227998</v>
      </c>
      <c r="AY844" s="67">
        <v>0.86580086580086602</v>
      </c>
      <c r="AZ844" s="62">
        <v>0.15178110480123902</v>
      </c>
      <c r="BA844" s="62">
        <v>8.5183273102736184E-2</v>
      </c>
      <c r="BB844" s="78">
        <v>92.036791022615404</v>
      </c>
      <c r="BC844" s="49">
        <v>67.723785166240404</v>
      </c>
      <c r="BD844" s="90" t="s">
        <v>83</v>
      </c>
      <c r="BE844" s="90" t="s">
        <v>83</v>
      </c>
      <c r="BF844" s="87">
        <v>2</v>
      </c>
      <c r="BG844" s="87">
        <v>2.4</v>
      </c>
      <c r="BH844" s="87">
        <v>0</v>
      </c>
      <c r="BI844" s="87">
        <v>1</v>
      </c>
      <c r="BJ844" s="49">
        <v>18.899999999999999</v>
      </c>
      <c r="BK844" s="126">
        <v>11958</v>
      </c>
      <c r="BL844" s="126">
        <v>50216</v>
      </c>
      <c r="BM844" s="126">
        <v>58938</v>
      </c>
      <c r="BN844" s="126">
        <v>44896</v>
      </c>
      <c r="BO844" s="59">
        <v>0</v>
      </c>
      <c r="BP844" s="59">
        <v>0.40510000000000002</v>
      </c>
      <c r="BQ844" s="59">
        <v>0.25380000000000003</v>
      </c>
      <c r="BR844" s="59">
        <v>0</v>
      </c>
      <c r="BS844" s="59">
        <v>1.5599999999999999E-2</v>
      </c>
      <c r="BT844" s="49">
        <v>13.6</v>
      </c>
      <c r="BU844" s="59">
        <f t="shared" si="64"/>
        <v>0.67449999999999999</v>
      </c>
      <c r="BV844" s="59">
        <v>1.5599999999999999E-2</v>
      </c>
      <c r="BW844" s="59">
        <v>0</v>
      </c>
      <c r="BX844" s="59">
        <v>2.3699999999999999E-2</v>
      </c>
      <c r="BY844" s="59">
        <v>0</v>
      </c>
      <c r="BZ844" s="59">
        <v>0</v>
      </c>
      <c r="CA844" s="49">
        <v>24.3</v>
      </c>
      <c r="CB844" s="59">
        <f t="shared" si="65"/>
        <v>3.9300000000000002E-2</v>
      </c>
      <c r="CC844" s="59">
        <v>0.23449999999999999</v>
      </c>
      <c r="CD844" s="59">
        <v>0.42059999999999997</v>
      </c>
      <c r="CE844" s="59">
        <v>0.32929999999999998</v>
      </c>
      <c r="CF844" s="59">
        <v>0</v>
      </c>
      <c r="CG844" s="59">
        <v>1.5599999999999999E-2</v>
      </c>
      <c r="CH844" s="49">
        <v>14</v>
      </c>
      <c r="CI844" s="26" t="s">
        <v>324</v>
      </c>
      <c r="CJ844" s="18" t="s">
        <v>489</v>
      </c>
      <c r="CK844" s="20"/>
    </row>
    <row r="845" spans="1:89" x14ac:dyDescent="0.25">
      <c r="A845" s="18" t="s">
        <v>489</v>
      </c>
      <c r="B845" s="19" t="s">
        <v>325</v>
      </c>
      <c r="C845" s="26" t="s">
        <v>326</v>
      </c>
      <c r="D845" s="6">
        <v>44</v>
      </c>
      <c r="E845" s="6">
        <v>0</v>
      </c>
      <c r="F845" s="6">
        <v>44</v>
      </c>
      <c r="G845" s="162" t="s">
        <v>83</v>
      </c>
      <c r="H845" s="163">
        <v>0</v>
      </c>
      <c r="I845" s="163">
        <v>0</v>
      </c>
      <c r="J845" s="163">
        <v>13</v>
      </c>
      <c r="K845" s="163">
        <v>4</v>
      </c>
      <c r="L845" s="163">
        <v>16</v>
      </c>
      <c r="M845" s="163">
        <v>11</v>
      </c>
      <c r="N845" s="115">
        <v>3.0534351145038201E-2</v>
      </c>
      <c r="O845" s="115">
        <v>3.0598052851182202E-2</v>
      </c>
      <c r="P845" s="116" t="s">
        <v>83</v>
      </c>
      <c r="Q845" s="115">
        <v>0</v>
      </c>
      <c r="R845" s="115">
        <v>0</v>
      </c>
      <c r="S845" s="115">
        <v>3.7249283667621799E-2</v>
      </c>
      <c r="T845" s="115">
        <v>1.07238605898123E-2</v>
      </c>
      <c r="U845" s="115">
        <v>4.6109510086455301E-2</v>
      </c>
      <c r="V845" s="115">
        <v>3.2640949554896097E-2</v>
      </c>
      <c r="W845" s="6">
        <v>1376</v>
      </c>
      <c r="X845" s="40">
        <f t="shared" si="62"/>
        <v>1373</v>
      </c>
      <c r="Y845" s="40">
        <f t="shared" si="63"/>
        <v>1376</v>
      </c>
      <c r="Z845" s="59">
        <v>0.4884</v>
      </c>
      <c r="AA845" s="59">
        <v>0.51160000000000005</v>
      </c>
      <c r="AB845" s="61">
        <v>2.1802325581395349E-3</v>
      </c>
      <c r="AC845" s="61">
        <v>1.6715116279069766E-2</v>
      </c>
      <c r="AD845" s="61">
        <v>0.33648255813953487</v>
      </c>
      <c r="AE845" s="61">
        <v>8.1395348837209308E-2</v>
      </c>
      <c r="AF845" s="61">
        <v>2.1802325581395349E-3</v>
      </c>
      <c r="AG845" s="61">
        <v>0.53924418604651159</v>
      </c>
      <c r="AH845" s="61">
        <v>2.1802325581395349E-2</v>
      </c>
      <c r="AI845" s="61">
        <v>0.46075581395348836</v>
      </c>
      <c r="AJ845" s="59">
        <v>0.48</v>
      </c>
      <c r="AK845" s="59">
        <v>1.0200000000000001E-2</v>
      </c>
      <c r="AL845" s="3">
        <v>0</v>
      </c>
      <c r="AM845" s="3">
        <v>3</v>
      </c>
      <c r="AN845" s="3">
        <v>33</v>
      </c>
      <c r="AO845" s="3">
        <v>318</v>
      </c>
      <c r="AP845" s="3">
        <v>360</v>
      </c>
      <c r="AQ845" s="3">
        <v>340</v>
      </c>
      <c r="AR845" s="3">
        <v>322</v>
      </c>
      <c r="AS845" s="59">
        <v>9.4017094017094016E-2</v>
      </c>
      <c r="AT845" s="3">
        <v>8</v>
      </c>
      <c r="AU845" s="3">
        <v>6</v>
      </c>
      <c r="AV845" s="49">
        <v>57.614942528735604</v>
      </c>
      <c r="AW845" s="49">
        <v>24.4252873563218</v>
      </c>
      <c r="AX845" s="49">
        <v>17.3850574712644</v>
      </c>
      <c r="AY845" s="67">
        <v>0.57471264367816099</v>
      </c>
      <c r="AZ845" s="62">
        <v>0.11033519553072625</v>
      </c>
      <c r="BA845" s="62">
        <v>9.7765363128491621E-3</v>
      </c>
      <c r="BB845" s="78">
        <v>96.377105956354399</v>
      </c>
      <c r="BC845" s="49"/>
      <c r="BD845" s="90" t="s">
        <v>83</v>
      </c>
      <c r="BE845" s="87">
        <v>0</v>
      </c>
      <c r="BF845" s="87">
        <v>7.1</v>
      </c>
      <c r="BG845" s="87">
        <v>2.2000000000000002</v>
      </c>
      <c r="BH845" s="87">
        <v>1.3</v>
      </c>
      <c r="BI845" s="87">
        <v>1.9</v>
      </c>
      <c r="BJ845" s="49">
        <v>19.899999999999999</v>
      </c>
      <c r="BK845" s="126">
        <v>15273</v>
      </c>
      <c r="BL845" s="126">
        <v>55155</v>
      </c>
      <c r="BM845" s="126">
        <v>51183</v>
      </c>
      <c r="BN845" s="126">
        <v>49247</v>
      </c>
      <c r="BO845" s="59">
        <v>3.0099999999999998E-2</v>
      </c>
      <c r="BP845" s="59">
        <v>0.40200000000000002</v>
      </c>
      <c r="BQ845" s="59">
        <v>0.1774</v>
      </c>
      <c r="BR845" s="59">
        <v>0</v>
      </c>
      <c r="BS845" s="59">
        <v>6.0000000000000001E-3</v>
      </c>
      <c r="BT845" s="49">
        <v>14.4</v>
      </c>
      <c r="BU845" s="59">
        <f t="shared" si="64"/>
        <v>0.61550000000000005</v>
      </c>
      <c r="BV845" s="59">
        <v>4.82E-2</v>
      </c>
      <c r="BW845" s="59">
        <v>6.0000000000000001E-3</v>
      </c>
      <c r="BX845" s="59">
        <v>3.0099999999999998E-2</v>
      </c>
      <c r="BY845" s="59">
        <v>0</v>
      </c>
      <c r="BZ845" s="59">
        <v>6.0000000000000001E-3</v>
      </c>
      <c r="CA845" s="49">
        <v>15.7</v>
      </c>
      <c r="CB845" s="59">
        <f t="shared" si="65"/>
        <v>9.0300000000000005E-2</v>
      </c>
      <c r="CC845" s="59">
        <v>0.30819999999999997</v>
      </c>
      <c r="CD845" s="59">
        <v>0.43819999999999998</v>
      </c>
      <c r="CE845" s="59">
        <v>0.23769999999999999</v>
      </c>
      <c r="CF845" s="59">
        <v>3.8999999999999998E-3</v>
      </c>
      <c r="CG845" s="59">
        <v>1.21E-2</v>
      </c>
      <c r="CH845" s="49">
        <v>13.7</v>
      </c>
      <c r="CI845" s="26" t="s">
        <v>326</v>
      </c>
      <c r="CJ845" s="18" t="s">
        <v>489</v>
      </c>
      <c r="CK845" s="20"/>
    </row>
    <row r="846" spans="1:89" x14ac:dyDescent="0.25">
      <c r="A846" s="18" t="s">
        <v>489</v>
      </c>
      <c r="B846" s="19" t="s">
        <v>325</v>
      </c>
      <c r="C846" s="26" t="s">
        <v>327</v>
      </c>
      <c r="D846" s="6">
        <v>34</v>
      </c>
      <c r="E846" s="6">
        <v>3</v>
      </c>
      <c r="F846" s="6">
        <v>31</v>
      </c>
      <c r="G846" s="162" t="s">
        <v>83</v>
      </c>
      <c r="H846" s="163">
        <v>3</v>
      </c>
      <c r="I846" s="163">
        <v>1</v>
      </c>
      <c r="J846" s="163">
        <v>11</v>
      </c>
      <c r="K846" s="163">
        <v>5</v>
      </c>
      <c r="L846" s="163">
        <v>10</v>
      </c>
      <c r="M846" s="163">
        <v>4</v>
      </c>
      <c r="N846" s="115">
        <v>2.2236756049705701E-2</v>
      </c>
      <c r="O846" s="115">
        <v>2.0381328073635799E-2</v>
      </c>
      <c r="P846" s="116" t="s">
        <v>83</v>
      </c>
      <c r="Q846" s="115">
        <v>0.375</v>
      </c>
      <c r="R846" s="115">
        <v>2.5000000000000001E-2</v>
      </c>
      <c r="S846" s="115">
        <v>2.7568922305764399E-2</v>
      </c>
      <c r="T846" s="115">
        <v>1.36239782016349E-2</v>
      </c>
      <c r="U846" s="115">
        <v>2.5706940874036001E-2</v>
      </c>
      <c r="V846" s="115">
        <v>1.22699386503067E-2</v>
      </c>
      <c r="W846" s="6">
        <v>1466</v>
      </c>
      <c r="X846" s="40">
        <f t="shared" si="62"/>
        <v>1459</v>
      </c>
      <c r="Y846" s="40">
        <f t="shared" si="63"/>
        <v>1466</v>
      </c>
      <c r="Z846" s="59">
        <v>0.48230000000000001</v>
      </c>
      <c r="AA846" s="59">
        <v>0.51770000000000005</v>
      </c>
      <c r="AB846" s="61">
        <v>4.0927694406548429E-3</v>
      </c>
      <c r="AC846" s="61">
        <v>1.0231923601637109E-2</v>
      </c>
      <c r="AD846" s="61">
        <v>0.31582537517053205</v>
      </c>
      <c r="AE846" s="61">
        <v>4.7748976807639835E-2</v>
      </c>
      <c r="AF846" s="61">
        <v>2.7285129604365621E-3</v>
      </c>
      <c r="AG846" s="61">
        <v>0.59004092769440653</v>
      </c>
      <c r="AH846" s="61">
        <v>2.9331514324693043E-2</v>
      </c>
      <c r="AI846" s="61">
        <v>0.40995907230559347</v>
      </c>
      <c r="AJ846" s="59">
        <v>0.46899999999999997</v>
      </c>
      <c r="AK846" s="59">
        <v>5.4999999999999997E-3</v>
      </c>
      <c r="AL846" s="3">
        <v>0</v>
      </c>
      <c r="AM846" s="3">
        <v>7</v>
      </c>
      <c r="AN846" s="3">
        <v>39</v>
      </c>
      <c r="AO846" s="3">
        <v>379</v>
      </c>
      <c r="AP846" s="3">
        <v>352</v>
      </c>
      <c r="AQ846" s="3">
        <v>378</v>
      </c>
      <c r="AR846" s="3">
        <v>311</v>
      </c>
      <c r="AS846" s="59">
        <v>9.3301435406698566E-2</v>
      </c>
      <c r="AT846" s="3">
        <v>8</v>
      </c>
      <c r="AU846" s="3">
        <v>6</v>
      </c>
      <c r="AV846" s="49">
        <v>50.937950937950902</v>
      </c>
      <c r="AW846" s="49">
        <v>25.396825396825403</v>
      </c>
      <c r="AX846" s="49">
        <v>22.9437229437229</v>
      </c>
      <c r="AY846" s="67">
        <v>0.72150072150072198</v>
      </c>
      <c r="AZ846" s="62">
        <v>0.14603798297314996</v>
      </c>
      <c r="BA846" s="62">
        <v>1.4407334643091027E-2</v>
      </c>
      <c r="BB846" s="77">
        <v>95.241816951683305</v>
      </c>
      <c r="BC846" s="49">
        <v>13.3420536298234</v>
      </c>
      <c r="BD846" s="90" t="s">
        <v>83</v>
      </c>
      <c r="BE846" s="87">
        <v>0</v>
      </c>
      <c r="BF846" s="87">
        <v>8.8000000000000007</v>
      </c>
      <c r="BG846" s="87">
        <v>2</v>
      </c>
      <c r="BH846" s="87">
        <v>0.6</v>
      </c>
      <c r="BI846" s="87">
        <v>2.2999999999999998</v>
      </c>
      <c r="BJ846" s="49">
        <v>20.5</v>
      </c>
      <c r="BK846" s="126">
        <v>15158</v>
      </c>
      <c r="BL846" s="126">
        <v>56231</v>
      </c>
      <c r="BM846" s="126">
        <v>50601</v>
      </c>
      <c r="BN846" s="126">
        <v>49376</v>
      </c>
      <c r="BO846" s="59">
        <v>1.15E-2</v>
      </c>
      <c r="BP846" s="59">
        <v>0.36359999999999998</v>
      </c>
      <c r="BQ846" s="59">
        <v>0.24490000000000001</v>
      </c>
      <c r="BR846" s="59">
        <v>0</v>
      </c>
      <c r="BS846" s="59">
        <v>5.7999999999999996E-3</v>
      </c>
      <c r="BT846" s="49">
        <v>14.8</v>
      </c>
      <c r="BU846" s="59">
        <f t="shared" si="64"/>
        <v>0.62580000000000002</v>
      </c>
      <c r="BV846" s="59">
        <v>3.4500000000000003E-2</v>
      </c>
      <c r="BW846" s="59">
        <v>1.15E-2</v>
      </c>
      <c r="BX846" s="59">
        <v>4.0300000000000002E-2</v>
      </c>
      <c r="BY846" s="59">
        <v>0</v>
      </c>
      <c r="BZ846" s="59">
        <v>0</v>
      </c>
      <c r="CA846" s="49">
        <v>13.2</v>
      </c>
      <c r="CB846" s="59">
        <f t="shared" si="65"/>
        <v>8.6300000000000002E-2</v>
      </c>
      <c r="CC846" s="59">
        <v>0.25969999999999999</v>
      </c>
      <c r="CD846" s="59">
        <v>0.40920000000000001</v>
      </c>
      <c r="CE846" s="59">
        <v>0.32540000000000002</v>
      </c>
      <c r="CF846" s="59">
        <v>0</v>
      </c>
      <c r="CG846" s="59">
        <v>5.7999999999999996E-3</v>
      </c>
      <c r="CH846" s="49">
        <v>13.7</v>
      </c>
      <c r="CI846" s="26" t="s">
        <v>327</v>
      </c>
      <c r="CJ846" s="18" t="s">
        <v>489</v>
      </c>
      <c r="CK846" s="20"/>
    </row>
    <row r="847" spans="1:89" x14ac:dyDescent="0.25">
      <c r="A847" s="18" t="s">
        <v>489</v>
      </c>
      <c r="B847" s="19" t="s">
        <v>328</v>
      </c>
      <c r="C847" s="26" t="s">
        <v>329</v>
      </c>
      <c r="D847" s="6">
        <v>18</v>
      </c>
      <c r="E847" s="6">
        <v>2</v>
      </c>
      <c r="F847" s="6">
        <v>16</v>
      </c>
      <c r="G847" s="163">
        <v>0</v>
      </c>
      <c r="H847" s="163">
        <v>2</v>
      </c>
      <c r="I847" s="162" t="s">
        <v>83</v>
      </c>
      <c r="J847" s="163">
        <v>2</v>
      </c>
      <c r="K847" s="163">
        <v>3</v>
      </c>
      <c r="L847" s="163">
        <v>4</v>
      </c>
      <c r="M847" s="163">
        <v>7</v>
      </c>
      <c r="N847" s="115">
        <v>3.1746031746031703E-2</v>
      </c>
      <c r="O847" s="115">
        <v>4.6647230320699701E-2</v>
      </c>
      <c r="P847" s="115">
        <v>0</v>
      </c>
      <c r="Q847" s="115">
        <v>1.7391304347826101E-2</v>
      </c>
      <c r="R847" s="116" t="s">
        <v>83</v>
      </c>
      <c r="S847" s="115">
        <v>2.40963855421687E-2</v>
      </c>
      <c r="T847" s="115">
        <v>3.7037037037037E-2</v>
      </c>
      <c r="U847" s="115">
        <v>5.0632911392405097E-2</v>
      </c>
      <c r="V847" s="115">
        <v>7.0000000000000007E-2</v>
      </c>
      <c r="W847" s="6">
        <v>514</v>
      </c>
      <c r="X847" s="40">
        <f t="shared" si="62"/>
        <v>318</v>
      </c>
      <c r="Y847" s="40">
        <f t="shared" si="63"/>
        <v>514</v>
      </c>
      <c r="Z847" s="59">
        <v>0.46689999999999998</v>
      </c>
      <c r="AA847" s="59">
        <v>0.53310000000000002</v>
      </c>
      <c r="AB847" s="61">
        <v>0</v>
      </c>
      <c r="AC847" s="61">
        <v>0</v>
      </c>
      <c r="AD847" s="61">
        <v>0.92996108949416345</v>
      </c>
      <c r="AE847" s="61">
        <v>3.8910505836575876E-3</v>
      </c>
      <c r="AF847" s="61">
        <v>0</v>
      </c>
      <c r="AG847" s="61">
        <v>6.4202334630350189E-2</v>
      </c>
      <c r="AH847" s="61">
        <v>1.9455252918287938E-3</v>
      </c>
      <c r="AI847" s="61">
        <v>0.93579766536964981</v>
      </c>
      <c r="AJ847" s="59">
        <v>0.95299999999999996</v>
      </c>
      <c r="AK847" s="59">
        <v>1.9E-3</v>
      </c>
      <c r="AL847" s="3">
        <v>97</v>
      </c>
      <c r="AM847" s="3">
        <v>99</v>
      </c>
      <c r="AN847" s="3">
        <v>0</v>
      </c>
      <c r="AO847" s="3">
        <v>78</v>
      </c>
      <c r="AP847" s="3">
        <v>74</v>
      </c>
      <c r="AQ847" s="3">
        <v>74</v>
      </c>
      <c r="AR847" s="3">
        <v>92</v>
      </c>
      <c r="AS847" s="59">
        <v>0</v>
      </c>
      <c r="AT847" s="3">
        <v>7</v>
      </c>
      <c r="AU847" s="3">
        <v>6</v>
      </c>
      <c r="AV847" s="49">
        <v>52.4886877828054</v>
      </c>
      <c r="AW847" s="49">
        <v>34.389140271493204</v>
      </c>
      <c r="AX847" s="49">
        <v>12.669683257918599</v>
      </c>
      <c r="AY847" s="67">
        <v>0.45248868778280504</v>
      </c>
      <c r="AZ847" s="62">
        <v>3.2432432432432434E-2</v>
      </c>
      <c r="BA847" s="62">
        <v>0.31351351351351353</v>
      </c>
      <c r="BB847" s="78">
        <v>90.855508412909899</v>
      </c>
      <c r="BC847" s="49">
        <v>54.414414414414402</v>
      </c>
      <c r="BD847" s="87">
        <v>0</v>
      </c>
      <c r="BE847" s="87">
        <v>0</v>
      </c>
      <c r="BF847" s="87">
        <v>1.4</v>
      </c>
      <c r="BG847" s="87">
        <v>1.4</v>
      </c>
      <c r="BH847" s="87">
        <v>0</v>
      </c>
      <c r="BI847" s="87">
        <v>3.5</v>
      </c>
      <c r="BJ847" s="49">
        <v>17.100000000000001</v>
      </c>
      <c r="BK847" s="126">
        <v>11647</v>
      </c>
      <c r="BL847" s="126">
        <v>41699</v>
      </c>
      <c r="BM847" s="126">
        <v>55595</v>
      </c>
      <c r="BN847" s="126">
        <v>39089</v>
      </c>
      <c r="BO847" s="59">
        <v>0</v>
      </c>
      <c r="BP847" s="59">
        <v>0.3861</v>
      </c>
      <c r="BQ847" s="59">
        <v>0.2213</v>
      </c>
      <c r="BR847" s="59">
        <v>0</v>
      </c>
      <c r="BS847" s="59">
        <v>6.3E-3</v>
      </c>
      <c r="BT847" s="49">
        <v>7.6</v>
      </c>
      <c r="BU847" s="59">
        <f t="shared" si="64"/>
        <v>0.61369999999999991</v>
      </c>
      <c r="BV847" s="59">
        <v>1.7100000000000001E-2</v>
      </c>
      <c r="BW847" s="59">
        <v>0</v>
      </c>
      <c r="BX847" s="59">
        <v>5.1299999999999998E-2</v>
      </c>
      <c r="BY847" s="59">
        <v>0</v>
      </c>
      <c r="BZ847" s="59">
        <v>0</v>
      </c>
      <c r="CA847" s="49">
        <v>10.8</v>
      </c>
      <c r="CB847" s="59">
        <f t="shared" si="65"/>
        <v>6.8400000000000002E-2</v>
      </c>
      <c r="CC847" s="59">
        <v>0.28370000000000001</v>
      </c>
      <c r="CD847" s="59">
        <v>0.3861</v>
      </c>
      <c r="CE847" s="59">
        <v>0.32390000000000002</v>
      </c>
      <c r="CF847" s="59">
        <v>0</v>
      </c>
      <c r="CG847" s="59">
        <v>6.3E-3</v>
      </c>
      <c r="CH847" s="49">
        <v>8.3000000000000007</v>
      </c>
      <c r="CI847" s="26" t="s">
        <v>329</v>
      </c>
      <c r="CJ847" s="18" t="s">
        <v>489</v>
      </c>
      <c r="CK847" s="20"/>
    </row>
    <row r="848" spans="1:89" x14ac:dyDescent="0.25">
      <c r="A848" s="18" t="s">
        <v>489</v>
      </c>
      <c r="B848" s="19" t="s">
        <v>330</v>
      </c>
      <c r="C848" s="26" t="s">
        <v>331</v>
      </c>
      <c r="D848" s="6">
        <v>28</v>
      </c>
      <c r="E848" s="6">
        <v>1</v>
      </c>
      <c r="F848" s="6">
        <v>27</v>
      </c>
      <c r="G848" s="163">
        <v>1</v>
      </c>
      <c r="H848" s="163">
        <v>0</v>
      </c>
      <c r="I848" s="163">
        <v>0</v>
      </c>
      <c r="J848" s="163">
        <v>7</v>
      </c>
      <c r="K848" s="163">
        <v>4</v>
      </c>
      <c r="L848" s="163">
        <v>4</v>
      </c>
      <c r="M848" s="163">
        <v>12</v>
      </c>
      <c r="N848" s="115">
        <v>2.63901979264844E-2</v>
      </c>
      <c r="O848" s="115">
        <v>3.78151260504202E-2</v>
      </c>
      <c r="P848" s="115">
        <v>5.74712643678161E-3</v>
      </c>
      <c r="Q848" s="115">
        <v>0</v>
      </c>
      <c r="R848" s="115">
        <v>0</v>
      </c>
      <c r="S848" s="115">
        <v>3.25581395348837E-2</v>
      </c>
      <c r="T848" s="115">
        <v>2.3668639053254399E-2</v>
      </c>
      <c r="U848" s="115">
        <v>2.5000000000000001E-2</v>
      </c>
      <c r="V848" s="115">
        <v>7.8431372549019607E-2</v>
      </c>
      <c r="W848" s="6">
        <v>1004</v>
      </c>
      <c r="X848" s="40">
        <f t="shared" si="62"/>
        <v>674</v>
      </c>
      <c r="Y848" s="40">
        <f t="shared" si="63"/>
        <v>1004</v>
      </c>
      <c r="Z848" s="59">
        <v>0.504</v>
      </c>
      <c r="AA848" s="59">
        <v>0.496</v>
      </c>
      <c r="AB848" s="61">
        <v>1.9920318725099601E-3</v>
      </c>
      <c r="AC848" s="61">
        <v>3.9840637450199202E-3</v>
      </c>
      <c r="AD848" s="61">
        <v>0.51095617529880477</v>
      </c>
      <c r="AE848" s="61">
        <v>5.9760956175298804E-3</v>
      </c>
      <c r="AF848" s="61">
        <v>0</v>
      </c>
      <c r="AG848" s="61">
        <v>0.47310756972111556</v>
      </c>
      <c r="AH848" s="61">
        <v>3.9840637450199202E-3</v>
      </c>
      <c r="AI848" s="61">
        <v>0.52689243027888444</v>
      </c>
      <c r="AJ848" s="59">
        <v>0.61599999999999999</v>
      </c>
      <c r="AK848" s="59">
        <v>3.0000000000000001E-3</v>
      </c>
      <c r="AL848" s="3">
        <v>164</v>
      </c>
      <c r="AM848" s="3">
        <v>166</v>
      </c>
      <c r="AN848" s="3">
        <v>17</v>
      </c>
      <c r="AO848" s="3">
        <v>202</v>
      </c>
      <c r="AP848" s="3">
        <v>162</v>
      </c>
      <c r="AQ848" s="3">
        <v>152</v>
      </c>
      <c r="AR848" s="3">
        <v>141</v>
      </c>
      <c r="AS848" s="59">
        <v>7.7625570776255703E-2</v>
      </c>
      <c r="AT848" s="3">
        <v>7</v>
      </c>
      <c r="AU848" s="3">
        <v>6</v>
      </c>
      <c r="AV848" s="49">
        <v>75.0809061488673</v>
      </c>
      <c r="AW848" s="49">
        <v>21.3592233009709</v>
      </c>
      <c r="AX848" s="49">
        <v>3.3980582524271803</v>
      </c>
      <c r="AY848" s="67">
        <v>0.16181229773462799</v>
      </c>
      <c r="AZ848" s="62">
        <v>0.18942307692307692</v>
      </c>
      <c r="BA848" s="62">
        <v>0.17884615384615385</v>
      </c>
      <c r="BB848" s="77">
        <v>93.057706263178005</v>
      </c>
      <c r="BC848" s="49">
        <v>2.5961538461538498</v>
      </c>
      <c r="BD848" s="87">
        <v>5.5</v>
      </c>
      <c r="BE848" s="87">
        <v>3.1</v>
      </c>
      <c r="BF848" s="87">
        <v>6.9</v>
      </c>
      <c r="BG848" s="87">
        <v>1.3</v>
      </c>
      <c r="BH848" s="87">
        <v>2</v>
      </c>
      <c r="BI848" s="87">
        <v>3.8</v>
      </c>
      <c r="BJ848" s="49">
        <v>20</v>
      </c>
      <c r="BK848" s="126">
        <v>13606</v>
      </c>
      <c r="BL848" s="126">
        <v>59589</v>
      </c>
      <c r="BM848" s="126">
        <v>58010</v>
      </c>
      <c r="BN848" s="126">
        <v>52723</v>
      </c>
      <c r="BO848" s="59">
        <v>9.7999999999999997E-3</v>
      </c>
      <c r="BP848" s="59">
        <v>0.2979</v>
      </c>
      <c r="BQ848" s="59">
        <v>0.28320000000000001</v>
      </c>
      <c r="BR848" s="59">
        <v>0</v>
      </c>
      <c r="BS848" s="59">
        <v>9.7999999999999997E-3</v>
      </c>
      <c r="BT848" s="49">
        <v>12.6</v>
      </c>
      <c r="BU848" s="59">
        <f t="shared" si="64"/>
        <v>0.60070000000000001</v>
      </c>
      <c r="BV848" s="59">
        <v>3.9100000000000003E-2</v>
      </c>
      <c r="BW848" s="59">
        <v>9.7999999999999997E-3</v>
      </c>
      <c r="BX848" s="59">
        <v>2.93E-2</v>
      </c>
      <c r="BY848" s="59">
        <v>0</v>
      </c>
      <c r="BZ848" s="59">
        <v>9.7999999999999997E-3</v>
      </c>
      <c r="CA848" s="49">
        <v>19</v>
      </c>
      <c r="CB848" s="59">
        <f t="shared" si="65"/>
        <v>8.7999999999999995E-2</v>
      </c>
      <c r="CC848" s="59">
        <v>0.25430000000000003</v>
      </c>
      <c r="CD848" s="59">
        <v>0.32719999999999999</v>
      </c>
      <c r="CE848" s="59">
        <v>0.37009999999999998</v>
      </c>
      <c r="CF848" s="59">
        <v>2.8799999999999999E-2</v>
      </c>
      <c r="CG848" s="59">
        <v>1.95E-2</v>
      </c>
      <c r="CH848" s="49">
        <v>13</v>
      </c>
      <c r="CI848" s="26" t="s">
        <v>331</v>
      </c>
      <c r="CJ848" s="18" t="s">
        <v>489</v>
      </c>
      <c r="CK848" s="20"/>
    </row>
    <row r="849" spans="1:89" x14ac:dyDescent="0.25">
      <c r="A849" s="18" t="s">
        <v>489</v>
      </c>
      <c r="B849" s="19" t="s">
        <v>330</v>
      </c>
      <c r="C849" s="26" t="s">
        <v>332</v>
      </c>
      <c r="D849" s="6">
        <v>12</v>
      </c>
      <c r="E849" s="6">
        <v>2</v>
      </c>
      <c r="F849" s="6">
        <v>10</v>
      </c>
      <c r="G849" s="163">
        <v>2</v>
      </c>
      <c r="H849" s="163">
        <v>0</v>
      </c>
      <c r="I849" s="162" t="s">
        <v>83</v>
      </c>
      <c r="J849" s="163">
        <v>0</v>
      </c>
      <c r="K849" s="163">
        <v>1</v>
      </c>
      <c r="L849" s="163">
        <v>3</v>
      </c>
      <c r="M849" s="163">
        <v>6</v>
      </c>
      <c r="N849" s="115">
        <v>1.74418604651163E-2</v>
      </c>
      <c r="O849" s="115">
        <v>2.0491803278688499E-2</v>
      </c>
      <c r="P849" s="115">
        <v>1.9801980198019799E-2</v>
      </c>
      <c r="Q849" s="115">
        <v>0</v>
      </c>
      <c r="R849" s="116" t="s">
        <v>83</v>
      </c>
      <c r="S849" s="115">
        <v>0</v>
      </c>
      <c r="T849" s="115">
        <v>8.3333333333333297E-3</v>
      </c>
      <c r="U849" s="115">
        <v>2.2058823529411801E-2</v>
      </c>
      <c r="V849" s="115">
        <v>4.8780487804878099E-2</v>
      </c>
      <c r="W849" s="6">
        <v>663</v>
      </c>
      <c r="X849" s="40">
        <f t="shared" si="62"/>
        <v>468</v>
      </c>
      <c r="Y849" s="40">
        <f t="shared" si="63"/>
        <v>663</v>
      </c>
      <c r="Z849" s="59">
        <v>0.49170000000000003</v>
      </c>
      <c r="AA849" s="59">
        <v>0.50829999999999997</v>
      </c>
      <c r="AB849" s="61">
        <v>1.5082956259426848E-3</v>
      </c>
      <c r="AC849" s="61">
        <v>0</v>
      </c>
      <c r="AD849" s="61">
        <v>0.77677224736048267</v>
      </c>
      <c r="AE849" s="61">
        <v>2.4132730015082957E-2</v>
      </c>
      <c r="AF849" s="61">
        <v>0</v>
      </c>
      <c r="AG849" s="61">
        <v>0.18853695324283559</v>
      </c>
      <c r="AH849" s="61">
        <v>9.0497737556561094E-3</v>
      </c>
      <c r="AI849" s="61">
        <v>0.81146304675716441</v>
      </c>
      <c r="AJ849" s="59">
        <v>0.68799999999999994</v>
      </c>
      <c r="AK849" s="59">
        <v>6.0000000000000001E-3</v>
      </c>
      <c r="AL849" s="3">
        <v>96</v>
      </c>
      <c r="AM849" s="3">
        <v>99</v>
      </c>
      <c r="AN849" s="3">
        <v>0</v>
      </c>
      <c r="AO849" s="3">
        <v>107</v>
      </c>
      <c r="AP849" s="3">
        <v>114</v>
      </c>
      <c r="AQ849" s="3">
        <v>139</v>
      </c>
      <c r="AR849" s="3">
        <v>108</v>
      </c>
      <c r="AS849" s="59">
        <v>0</v>
      </c>
      <c r="AT849" s="3">
        <v>7</v>
      </c>
      <c r="AU849" s="3">
        <v>6</v>
      </c>
      <c r="AV849" s="49">
        <v>85.162601626016297</v>
      </c>
      <c r="AW849" s="49">
        <v>10.162601626016301</v>
      </c>
      <c r="AX849" s="49">
        <v>4.6747967479674806</v>
      </c>
      <c r="AY849" s="67">
        <v>0</v>
      </c>
      <c r="AZ849" s="62">
        <v>0.23088235294117648</v>
      </c>
      <c r="BA849" s="62">
        <v>0.17941176470588235</v>
      </c>
      <c r="BB849" s="78">
        <v>94.938738020553501</v>
      </c>
      <c r="BC849" s="49">
        <v>2.7941176470588198</v>
      </c>
      <c r="BD849" s="87">
        <v>0</v>
      </c>
      <c r="BE849" s="87">
        <v>0</v>
      </c>
      <c r="BF849" s="87">
        <v>2.2000000000000002</v>
      </c>
      <c r="BG849" s="87">
        <v>10.6</v>
      </c>
      <c r="BH849" s="87">
        <v>1.6</v>
      </c>
      <c r="BI849" s="87">
        <v>6</v>
      </c>
      <c r="BJ849" s="49">
        <v>19.3</v>
      </c>
      <c r="BK849" s="126">
        <v>17637</v>
      </c>
      <c r="BL849" s="126">
        <v>58428</v>
      </c>
      <c r="BM849" s="126">
        <v>61693</v>
      </c>
      <c r="BN849" s="126">
        <v>51804</v>
      </c>
      <c r="BO849" s="59">
        <v>0</v>
      </c>
      <c r="BP849" s="59">
        <v>0.3679</v>
      </c>
      <c r="BQ849" s="59">
        <v>0.2218</v>
      </c>
      <c r="BR849" s="59">
        <v>9.9000000000000008E-3</v>
      </c>
      <c r="BS849" s="59">
        <v>1.9800000000000002E-2</v>
      </c>
      <c r="BT849" s="49">
        <v>13.6</v>
      </c>
      <c r="BU849" s="59">
        <f t="shared" si="64"/>
        <v>0.61940000000000006</v>
      </c>
      <c r="BV849" s="59">
        <v>3.5099999999999999E-2</v>
      </c>
      <c r="BW849" s="59">
        <v>0</v>
      </c>
      <c r="BX849" s="59">
        <v>5.9299999999999999E-2</v>
      </c>
      <c r="BY849" s="59">
        <v>0</v>
      </c>
      <c r="BZ849" s="59">
        <v>0</v>
      </c>
      <c r="CA849" s="49">
        <v>17.899999999999999</v>
      </c>
      <c r="CB849" s="59">
        <f t="shared" si="65"/>
        <v>9.4399999999999998E-2</v>
      </c>
      <c r="CC849" s="59">
        <v>0.223</v>
      </c>
      <c r="CD849" s="59">
        <v>0.44700000000000001</v>
      </c>
      <c r="CE849" s="59">
        <v>0.30030000000000001</v>
      </c>
      <c r="CF849" s="59">
        <v>9.9000000000000008E-3</v>
      </c>
      <c r="CG849" s="59">
        <v>1.9800000000000002E-2</v>
      </c>
      <c r="CH849" s="49">
        <v>13.7</v>
      </c>
      <c r="CI849" s="26" t="s">
        <v>332</v>
      </c>
      <c r="CJ849" s="18" t="s">
        <v>489</v>
      </c>
      <c r="CK849" s="20"/>
    </row>
    <row r="850" spans="1:89" x14ac:dyDescent="0.25">
      <c r="A850" s="18" t="s">
        <v>489</v>
      </c>
      <c r="B850" s="19" t="s">
        <v>333</v>
      </c>
      <c r="C850" s="26" t="s">
        <v>334</v>
      </c>
      <c r="D850" s="6">
        <v>56</v>
      </c>
      <c r="E850" s="40" t="s">
        <v>83</v>
      </c>
      <c r="F850" s="6">
        <v>56</v>
      </c>
      <c r="G850" s="162" t="s">
        <v>83</v>
      </c>
      <c r="H850" s="162" t="s">
        <v>83</v>
      </c>
      <c r="I850" s="163">
        <v>1</v>
      </c>
      <c r="J850" s="163">
        <v>15</v>
      </c>
      <c r="K850" s="163">
        <v>18</v>
      </c>
      <c r="L850" s="163">
        <v>14</v>
      </c>
      <c r="M850" s="163">
        <v>8</v>
      </c>
      <c r="N850" s="115">
        <v>3.5197988686360801E-2</v>
      </c>
      <c r="O850" s="115">
        <v>3.5197988686360801E-2</v>
      </c>
      <c r="P850" s="116" t="s">
        <v>83</v>
      </c>
      <c r="Q850" s="116" t="s">
        <v>83</v>
      </c>
      <c r="R850" s="115">
        <v>1.9230769230769201E-2</v>
      </c>
      <c r="S850" s="115">
        <v>3.1914893617021302E-2</v>
      </c>
      <c r="T850" s="115">
        <v>4.9723756906077297E-2</v>
      </c>
      <c r="U850" s="115">
        <v>3.5897435897435902E-2</v>
      </c>
      <c r="V850" s="115">
        <v>2.5236593059936901E-2</v>
      </c>
      <c r="W850" s="6">
        <v>1433</v>
      </c>
      <c r="X850" s="40">
        <f t="shared" si="62"/>
        <v>1433</v>
      </c>
      <c r="Y850" s="40">
        <f t="shared" si="63"/>
        <v>1433</v>
      </c>
      <c r="Z850" s="59">
        <v>0.5262</v>
      </c>
      <c r="AA850" s="59">
        <v>0.4738</v>
      </c>
      <c r="AB850" s="61">
        <v>0</v>
      </c>
      <c r="AC850" s="61">
        <v>4.8848569434752267E-3</v>
      </c>
      <c r="AD850" s="61">
        <v>0.81088625261688763</v>
      </c>
      <c r="AE850" s="61">
        <v>6.1409630146545706E-2</v>
      </c>
      <c r="AF850" s="61">
        <v>0</v>
      </c>
      <c r="AG850" s="61">
        <v>0.11933007676203769</v>
      </c>
      <c r="AH850" s="61">
        <v>3.4891835310537334E-3</v>
      </c>
      <c r="AI850" s="61">
        <v>0.88066992323796234</v>
      </c>
      <c r="AJ850" s="59">
        <v>0.78200000000000003</v>
      </c>
      <c r="AK850" s="59">
        <v>1.67E-2</v>
      </c>
      <c r="AL850" s="3">
        <v>0</v>
      </c>
      <c r="AM850" s="3">
        <v>0</v>
      </c>
      <c r="AN850" s="3">
        <v>38</v>
      </c>
      <c r="AO850" s="3">
        <v>425</v>
      </c>
      <c r="AP850" s="3">
        <v>325</v>
      </c>
      <c r="AQ850" s="3">
        <v>346</v>
      </c>
      <c r="AR850" s="3">
        <v>299</v>
      </c>
      <c r="AS850" s="59">
        <v>8.2073434125269976E-2</v>
      </c>
      <c r="AT850" s="3">
        <v>9</v>
      </c>
      <c r="AU850" s="3">
        <v>6</v>
      </c>
      <c r="AV850" s="49">
        <v>69.526627218934905</v>
      </c>
      <c r="AW850" s="49">
        <v>17.7514792899408</v>
      </c>
      <c r="AX850" s="49">
        <v>12.573964497041402</v>
      </c>
      <c r="AY850" s="67">
        <v>0.14792899408283999</v>
      </c>
      <c r="AZ850" s="62">
        <v>0.34320669671603349</v>
      </c>
      <c r="BA850" s="62">
        <v>0.20734063103670317</v>
      </c>
      <c r="BB850" s="77">
        <v>92.604778864939206</v>
      </c>
      <c r="BC850" s="49">
        <v>41.955835962145102</v>
      </c>
      <c r="BD850" s="90" t="s">
        <v>83</v>
      </c>
      <c r="BE850" s="90" t="s">
        <v>83</v>
      </c>
      <c r="BF850" s="87">
        <v>13.5</v>
      </c>
      <c r="BG850" s="87">
        <v>7.1</v>
      </c>
      <c r="BH850" s="87">
        <v>9.9</v>
      </c>
      <c r="BI850" s="87">
        <v>7.2</v>
      </c>
      <c r="BJ850" s="49">
        <v>18.2</v>
      </c>
      <c r="BK850" s="126">
        <v>12053</v>
      </c>
      <c r="BL850" s="126">
        <v>47900</v>
      </c>
      <c r="BM850" s="126">
        <v>54701</v>
      </c>
      <c r="BN850" s="126">
        <v>43640</v>
      </c>
      <c r="BO850" s="59">
        <v>5.8999999999999999E-3</v>
      </c>
      <c r="BP850" s="59">
        <v>0.38240000000000002</v>
      </c>
      <c r="BQ850" s="59">
        <v>0.2092</v>
      </c>
      <c r="BR850" s="59">
        <v>0</v>
      </c>
      <c r="BS850" s="59">
        <v>5.8999999999999999E-3</v>
      </c>
      <c r="BT850" s="49">
        <v>12</v>
      </c>
      <c r="BU850" s="59">
        <f t="shared" si="64"/>
        <v>0.60340000000000005</v>
      </c>
      <c r="BV850" s="59">
        <v>4.1500000000000002E-2</v>
      </c>
      <c r="BW850" s="59">
        <v>0</v>
      </c>
      <c r="BX850" s="59">
        <v>5.2699999999999997E-2</v>
      </c>
      <c r="BY850" s="59">
        <v>0</v>
      </c>
      <c r="BZ850" s="59">
        <v>0</v>
      </c>
      <c r="CA850" s="49">
        <v>16.8</v>
      </c>
      <c r="CB850" s="59">
        <f t="shared" si="65"/>
        <v>9.4200000000000006E-2</v>
      </c>
      <c r="CC850" s="59">
        <v>0.27089999999999997</v>
      </c>
      <c r="CD850" s="59">
        <v>0.4088</v>
      </c>
      <c r="CE850" s="59">
        <v>0.31159999999999999</v>
      </c>
      <c r="CF850" s="59">
        <v>0</v>
      </c>
      <c r="CG850" s="59">
        <v>8.8000000000000005E-3</v>
      </c>
      <c r="CH850" s="49">
        <v>12.8</v>
      </c>
      <c r="CI850" s="26" t="s">
        <v>334</v>
      </c>
      <c r="CJ850" s="18" t="s">
        <v>489</v>
      </c>
      <c r="CK850" s="20"/>
    </row>
    <row r="851" spans="1:89" x14ac:dyDescent="0.25">
      <c r="A851" s="18" t="s">
        <v>489</v>
      </c>
      <c r="B851" s="19" t="s">
        <v>333</v>
      </c>
      <c r="C851" s="26" t="s">
        <v>335</v>
      </c>
      <c r="D851" s="6">
        <v>1</v>
      </c>
      <c r="E851" s="6">
        <v>0</v>
      </c>
      <c r="F851" s="6">
        <v>1</v>
      </c>
      <c r="G851" s="162" t="s">
        <v>83</v>
      </c>
      <c r="H851" s="163">
        <v>0</v>
      </c>
      <c r="I851" s="163">
        <v>0</v>
      </c>
      <c r="J851" s="163">
        <v>0</v>
      </c>
      <c r="K851" s="163">
        <v>1</v>
      </c>
      <c r="L851" s="163">
        <v>0</v>
      </c>
      <c r="M851" s="163">
        <v>0</v>
      </c>
      <c r="N851" s="115">
        <v>5.2083333333333296E-3</v>
      </c>
      <c r="O851" s="115">
        <v>6.0240963855421699E-3</v>
      </c>
      <c r="P851" s="116" t="s">
        <v>83</v>
      </c>
      <c r="Q851" s="115">
        <v>0</v>
      </c>
      <c r="R851" s="115">
        <v>0</v>
      </c>
      <c r="S851" s="115">
        <v>0</v>
      </c>
      <c r="T851" s="115">
        <v>2.6315789473684199E-2</v>
      </c>
      <c r="U851" s="115">
        <v>0</v>
      </c>
      <c r="V851" s="115">
        <v>0</v>
      </c>
      <c r="W851" s="6">
        <v>188</v>
      </c>
      <c r="X851" s="40">
        <f t="shared" si="62"/>
        <v>162</v>
      </c>
      <c r="Y851" s="40">
        <f t="shared" si="63"/>
        <v>188</v>
      </c>
      <c r="Z851" s="59">
        <v>0.47339999999999999</v>
      </c>
      <c r="AA851" s="59">
        <v>0.52659999999999996</v>
      </c>
      <c r="AB851" s="61">
        <v>0</v>
      </c>
      <c r="AC851" s="61">
        <v>0</v>
      </c>
      <c r="AD851" s="61">
        <v>1</v>
      </c>
      <c r="AE851" s="61">
        <v>0</v>
      </c>
      <c r="AF851" s="61">
        <v>0</v>
      </c>
      <c r="AG851" s="61">
        <v>0</v>
      </c>
      <c r="AH851" s="61">
        <v>0</v>
      </c>
      <c r="AI851" s="61">
        <v>1</v>
      </c>
      <c r="AJ851" s="59">
        <v>0.80300000000000005</v>
      </c>
      <c r="AK851" s="59">
        <v>0</v>
      </c>
      <c r="AL851" s="3">
        <v>0</v>
      </c>
      <c r="AM851" s="3">
        <v>26</v>
      </c>
      <c r="AN851" s="3">
        <v>6</v>
      </c>
      <c r="AO851" s="3">
        <v>44</v>
      </c>
      <c r="AP851" s="3">
        <v>38</v>
      </c>
      <c r="AQ851" s="3">
        <v>38</v>
      </c>
      <c r="AR851" s="3">
        <v>36</v>
      </c>
      <c r="AS851" s="59">
        <v>0.12</v>
      </c>
      <c r="AT851" s="3">
        <v>8</v>
      </c>
      <c r="AU851" s="3">
        <v>6</v>
      </c>
      <c r="AV851" s="49">
        <v>84.297520661156994</v>
      </c>
      <c r="AW851" s="49">
        <v>14.049586776859499</v>
      </c>
      <c r="AX851" s="49">
        <v>0.82644628099173612</v>
      </c>
      <c r="AY851" s="67">
        <v>0.82644628099173612</v>
      </c>
      <c r="AZ851" s="62">
        <v>5.2083333333333336E-2</v>
      </c>
      <c r="BA851" s="62">
        <v>9.8958333333333329E-2</v>
      </c>
      <c r="BB851" s="78">
        <v>95.942064791081194</v>
      </c>
      <c r="BC851" s="49">
        <v>38.8888888888889</v>
      </c>
      <c r="BD851" s="90" t="s">
        <v>83</v>
      </c>
      <c r="BE851" s="87">
        <v>3.8</v>
      </c>
      <c r="BF851" s="87">
        <v>0</v>
      </c>
      <c r="BG851" s="87">
        <v>2.9</v>
      </c>
      <c r="BH851" s="87">
        <v>2.9</v>
      </c>
      <c r="BI851" s="87">
        <v>2.6</v>
      </c>
      <c r="BJ851" s="49">
        <v>18.399999999999999</v>
      </c>
      <c r="BK851" s="126">
        <v>17225</v>
      </c>
      <c r="BL851" s="126">
        <v>47447</v>
      </c>
      <c r="BM851" s="126">
        <v>67795</v>
      </c>
      <c r="BN851" s="126">
        <v>43164</v>
      </c>
      <c r="BO851" s="59">
        <v>0</v>
      </c>
      <c r="BP851" s="59">
        <v>0.43540000000000001</v>
      </c>
      <c r="BQ851" s="59">
        <v>8.1600000000000006E-2</v>
      </c>
      <c r="BR851" s="59">
        <v>0</v>
      </c>
      <c r="BS851" s="59">
        <v>0</v>
      </c>
      <c r="BT851" s="49">
        <v>10.4</v>
      </c>
      <c r="BU851" s="59">
        <f t="shared" si="64"/>
        <v>0.51700000000000002</v>
      </c>
      <c r="BV851" s="59">
        <v>2.7199999999999998E-2</v>
      </c>
      <c r="BW851" s="59">
        <v>0</v>
      </c>
      <c r="BX851" s="59">
        <v>5.4399999999999997E-2</v>
      </c>
      <c r="BY851" s="59">
        <v>0</v>
      </c>
      <c r="BZ851" s="59">
        <v>0</v>
      </c>
      <c r="CA851" s="49">
        <v>7.3</v>
      </c>
      <c r="CB851" s="59">
        <f t="shared" si="65"/>
        <v>8.1599999999999992E-2</v>
      </c>
      <c r="CC851" s="59">
        <v>0.32650000000000001</v>
      </c>
      <c r="CD851" s="59">
        <v>0.50339999999999996</v>
      </c>
      <c r="CE851" s="59">
        <v>0.1701</v>
      </c>
      <c r="CF851" s="59">
        <v>0</v>
      </c>
      <c r="CG851" s="59">
        <v>0</v>
      </c>
      <c r="CH851" s="49">
        <v>11.1</v>
      </c>
      <c r="CI851" s="26" t="s">
        <v>335</v>
      </c>
      <c r="CJ851" s="18" t="s">
        <v>489</v>
      </c>
      <c r="CK851" s="20"/>
    </row>
    <row r="852" spans="1:89" x14ac:dyDescent="0.25">
      <c r="A852" s="18" t="s">
        <v>489</v>
      </c>
      <c r="B852" s="19" t="s">
        <v>336</v>
      </c>
      <c r="C852" s="26" t="s">
        <v>337</v>
      </c>
      <c r="D852" s="6">
        <v>0</v>
      </c>
      <c r="E852" s="40" t="s">
        <v>83</v>
      </c>
      <c r="F852" s="6">
        <v>0</v>
      </c>
      <c r="G852" s="162" t="s">
        <v>83</v>
      </c>
      <c r="H852" s="162" t="s">
        <v>83</v>
      </c>
      <c r="I852" s="163">
        <v>0</v>
      </c>
      <c r="J852" s="163">
        <v>0</v>
      </c>
      <c r="K852" s="163">
        <v>0</v>
      </c>
      <c r="L852" s="163">
        <v>0</v>
      </c>
      <c r="M852" s="163">
        <v>0</v>
      </c>
      <c r="N852" s="115">
        <v>0</v>
      </c>
      <c r="O852" s="115">
        <v>0</v>
      </c>
      <c r="P852" s="116" t="s">
        <v>83</v>
      </c>
      <c r="Q852" s="116" t="s">
        <v>83</v>
      </c>
      <c r="R852" s="115">
        <v>0</v>
      </c>
      <c r="S852" s="115">
        <v>0</v>
      </c>
      <c r="T852" s="115">
        <v>0</v>
      </c>
      <c r="U852" s="115">
        <v>0</v>
      </c>
      <c r="V852" s="115">
        <v>0</v>
      </c>
      <c r="W852" s="6">
        <v>642</v>
      </c>
      <c r="X852" s="40">
        <f t="shared" si="62"/>
        <v>642</v>
      </c>
      <c r="Y852" s="40">
        <f t="shared" si="63"/>
        <v>642</v>
      </c>
      <c r="Z852" s="59">
        <v>0.50619999999999998</v>
      </c>
      <c r="AA852" s="59">
        <v>0.49380000000000002</v>
      </c>
      <c r="AB852" s="61">
        <v>1.557632398753894E-3</v>
      </c>
      <c r="AC852" s="61">
        <v>7.7881619937694704E-3</v>
      </c>
      <c r="AD852" s="61">
        <v>0.39719626168224298</v>
      </c>
      <c r="AE852" s="61">
        <v>1.8691588785046728E-2</v>
      </c>
      <c r="AF852" s="61">
        <v>1.557632398753894E-3</v>
      </c>
      <c r="AG852" s="61">
        <v>0.57320872274143297</v>
      </c>
      <c r="AH852" s="61">
        <v>0</v>
      </c>
      <c r="AI852" s="61">
        <v>0.42679127725856697</v>
      </c>
      <c r="AJ852" s="59">
        <v>0.754</v>
      </c>
      <c r="AK852" s="59">
        <v>1.09E-2</v>
      </c>
      <c r="AL852" s="3">
        <v>0</v>
      </c>
      <c r="AM852" s="3">
        <v>0</v>
      </c>
      <c r="AN852" s="3">
        <v>1</v>
      </c>
      <c r="AO852" s="3">
        <v>199</v>
      </c>
      <c r="AP852" s="3">
        <v>185</v>
      </c>
      <c r="AQ852" s="3">
        <v>128</v>
      </c>
      <c r="AR852" s="3">
        <v>129</v>
      </c>
      <c r="AS852" s="59">
        <v>5.0000000000000001E-3</v>
      </c>
      <c r="AT852" s="3">
        <v>9</v>
      </c>
      <c r="AU852" s="3">
        <v>6</v>
      </c>
      <c r="AV852" s="49">
        <v>75.069252077562297</v>
      </c>
      <c r="AW852" s="49">
        <v>15.789473684210501</v>
      </c>
      <c r="AX852" s="49">
        <v>9.1412742382271492</v>
      </c>
      <c r="AY852" s="67">
        <v>0</v>
      </c>
      <c r="AZ852" s="62">
        <v>4.3731778425655978E-3</v>
      </c>
      <c r="BA852" s="62">
        <v>8.7463556851311956E-3</v>
      </c>
      <c r="BB852" s="77">
        <v>94.473722468561505</v>
      </c>
      <c r="BC852" s="49">
        <v>40.524781341107897</v>
      </c>
      <c r="BD852" s="90" t="s">
        <v>83</v>
      </c>
      <c r="BE852" s="90" t="s">
        <v>83</v>
      </c>
      <c r="BF852" s="87">
        <v>6.6</v>
      </c>
      <c r="BG852" s="87">
        <v>5.3</v>
      </c>
      <c r="BH852" s="87">
        <v>0</v>
      </c>
      <c r="BI852" s="87">
        <v>0.8</v>
      </c>
      <c r="BJ852" s="49">
        <v>18.3</v>
      </c>
      <c r="BK852" s="126">
        <v>8662</v>
      </c>
      <c r="BL852" s="126">
        <v>52875</v>
      </c>
      <c r="BM852" s="126">
        <v>55064</v>
      </c>
      <c r="BN852" s="126">
        <v>45828</v>
      </c>
      <c r="BO852" s="59">
        <v>0</v>
      </c>
      <c r="BP852" s="59">
        <v>2.0799999999999999E-2</v>
      </c>
      <c r="BQ852" s="59">
        <v>3.5999999999999997E-2</v>
      </c>
      <c r="BR852" s="59">
        <v>0</v>
      </c>
      <c r="BS852" s="59">
        <v>0</v>
      </c>
      <c r="BT852" s="49">
        <v>22.3</v>
      </c>
      <c r="BU852" s="59">
        <f t="shared" si="64"/>
        <v>5.6799999999999996E-2</v>
      </c>
      <c r="BV852" s="59">
        <v>2.7E-2</v>
      </c>
      <c r="BW852" s="59">
        <v>0</v>
      </c>
      <c r="BX852" s="59">
        <v>5.3999999999999999E-2</v>
      </c>
      <c r="BY852" s="59">
        <v>0</v>
      </c>
      <c r="BZ852" s="59">
        <v>0</v>
      </c>
      <c r="CA852" s="49">
        <v>22.9</v>
      </c>
      <c r="CB852" s="59">
        <f t="shared" si="65"/>
        <v>8.1000000000000003E-2</v>
      </c>
      <c r="CC852" s="59">
        <v>0.15379999999999999</v>
      </c>
      <c r="CD852" s="59">
        <v>0.52190000000000003</v>
      </c>
      <c r="CE852" s="59">
        <v>0.32429999999999998</v>
      </c>
      <c r="CF852" s="59">
        <v>0</v>
      </c>
      <c r="CG852" s="59">
        <v>0</v>
      </c>
      <c r="CH852" s="49">
        <v>15.9</v>
      </c>
      <c r="CI852" s="26" t="s">
        <v>337</v>
      </c>
      <c r="CJ852" s="18" t="s">
        <v>489</v>
      </c>
      <c r="CK852" s="20"/>
    </row>
    <row r="853" spans="1:89" x14ac:dyDescent="0.25">
      <c r="A853" s="18" t="s">
        <v>489</v>
      </c>
      <c r="B853" s="19" t="s">
        <v>336</v>
      </c>
      <c r="C853" s="26" t="s">
        <v>338</v>
      </c>
      <c r="D853" s="6">
        <v>38</v>
      </c>
      <c r="E853" s="40" t="s">
        <v>83</v>
      </c>
      <c r="F853" s="6">
        <v>38</v>
      </c>
      <c r="G853" s="162" t="s">
        <v>83</v>
      </c>
      <c r="H853" s="162" t="s">
        <v>83</v>
      </c>
      <c r="I853" s="162" t="s">
        <v>83</v>
      </c>
      <c r="J853" s="163">
        <v>22</v>
      </c>
      <c r="K853" s="163">
        <v>8</v>
      </c>
      <c r="L853" s="163">
        <v>6</v>
      </c>
      <c r="M853" s="163">
        <v>2</v>
      </c>
      <c r="N853" s="115">
        <v>4.5238095238095202E-2</v>
      </c>
      <c r="O853" s="115">
        <v>4.5238095238095202E-2</v>
      </c>
      <c r="P853" s="116" t="s">
        <v>83</v>
      </c>
      <c r="Q853" s="116" t="s">
        <v>83</v>
      </c>
      <c r="R853" s="116" t="s">
        <v>83</v>
      </c>
      <c r="S853" s="115">
        <v>7.8853046594982101E-2</v>
      </c>
      <c r="T853" s="115">
        <v>3.8834951456310697E-2</v>
      </c>
      <c r="U853" s="115">
        <v>3.2967032967033003E-2</v>
      </c>
      <c r="V853" s="115">
        <v>1.1764705882352899E-2</v>
      </c>
      <c r="W853" s="6">
        <v>738</v>
      </c>
      <c r="X853" s="40">
        <f t="shared" si="62"/>
        <v>738</v>
      </c>
      <c r="Y853" s="40">
        <f t="shared" si="63"/>
        <v>738</v>
      </c>
      <c r="Z853" s="59">
        <v>0.53249999999999997</v>
      </c>
      <c r="AA853" s="59">
        <v>0.46750000000000003</v>
      </c>
      <c r="AB853" s="61">
        <v>0</v>
      </c>
      <c r="AC853" s="61">
        <v>1.6260162601626018E-2</v>
      </c>
      <c r="AD853" s="61">
        <v>0.7872628726287263</v>
      </c>
      <c r="AE853" s="61">
        <v>1.3550135501355014E-2</v>
      </c>
      <c r="AF853" s="61">
        <v>0</v>
      </c>
      <c r="AG853" s="61">
        <v>0.18021680216802169</v>
      </c>
      <c r="AH853" s="61">
        <v>2.7100271002710027E-3</v>
      </c>
      <c r="AI853" s="61">
        <v>0.81978319783197828</v>
      </c>
      <c r="AJ853" s="59">
        <v>0.83499999999999996</v>
      </c>
      <c r="AK853" s="59">
        <v>4.1000000000000003E-3</v>
      </c>
      <c r="AL853" s="3">
        <v>0</v>
      </c>
      <c r="AM853" s="3">
        <v>0</v>
      </c>
      <c r="AN853" s="3">
        <v>0</v>
      </c>
      <c r="AO853" s="3">
        <v>236</v>
      </c>
      <c r="AP853" s="3">
        <v>177</v>
      </c>
      <c r="AQ853" s="3">
        <v>168</v>
      </c>
      <c r="AR853" s="3">
        <v>157</v>
      </c>
      <c r="AS853" s="59">
        <v>0</v>
      </c>
      <c r="AT853" s="3">
        <v>9</v>
      </c>
      <c r="AU853" s="3">
        <v>6</v>
      </c>
      <c r="AV853" s="49">
        <v>75.065616797900304</v>
      </c>
      <c r="AW853" s="49">
        <v>19.1601049868766</v>
      </c>
      <c r="AX853" s="49">
        <v>5.7742782152230996</v>
      </c>
      <c r="AY853" s="67">
        <v>0</v>
      </c>
      <c r="AZ853" s="62">
        <v>1.2300123001230013E-3</v>
      </c>
      <c r="BA853" s="62">
        <v>0.16974169741697417</v>
      </c>
      <c r="BB853" s="78">
        <v>91.579031805238003</v>
      </c>
      <c r="BC853" s="49">
        <v>69.474969474969498</v>
      </c>
      <c r="BD853" s="90" t="s">
        <v>83</v>
      </c>
      <c r="BE853" s="90" t="s">
        <v>83</v>
      </c>
      <c r="BF853" s="87">
        <v>22.8</v>
      </c>
      <c r="BG853" s="87">
        <v>7</v>
      </c>
      <c r="BH853" s="87">
        <v>10.3</v>
      </c>
      <c r="BI853" s="87">
        <v>2.6</v>
      </c>
      <c r="BJ853" s="49">
        <v>18.2</v>
      </c>
      <c r="BK853" s="126">
        <v>9994</v>
      </c>
      <c r="BL853" s="126">
        <v>49325</v>
      </c>
      <c r="BM853" s="126">
        <v>48677</v>
      </c>
      <c r="BN853" s="126">
        <v>40406</v>
      </c>
      <c r="BO853" s="59">
        <v>0</v>
      </c>
      <c r="BP853" s="59">
        <v>2.12E-2</v>
      </c>
      <c r="BQ853" s="59">
        <v>2.0400000000000001E-2</v>
      </c>
      <c r="BR853" s="59">
        <v>0</v>
      </c>
      <c r="BS853" s="59">
        <v>0</v>
      </c>
      <c r="BT853" s="49">
        <v>10.9</v>
      </c>
      <c r="BU853" s="59">
        <f t="shared" si="64"/>
        <v>4.1599999999999998E-2</v>
      </c>
      <c r="BV853" s="59">
        <v>1.2200000000000001E-2</v>
      </c>
      <c r="BW853" s="59">
        <v>0</v>
      </c>
      <c r="BX853" s="59">
        <v>3.6700000000000003E-2</v>
      </c>
      <c r="BY853" s="59">
        <v>0</v>
      </c>
      <c r="BZ853" s="59">
        <v>1.2200000000000001E-2</v>
      </c>
      <c r="CA853" s="49">
        <v>17.2</v>
      </c>
      <c r="CB853" s="59">
        <f t="shared" si="65"/>
        <v>6.1100000000000008E-2</v>
      </c>
      <c r="CC853" s="59">
        <v>0.27560000000000001</v>
      </c>
      <c r="CD853" s="59">
        <v>0.3967</v>
      </c>
      <c r="CE853" s="59">
        <v>0.30320000000000003</v>
      </c>
      <c r="CF853" s="59">
        <v>1.2200000000000001E-2</v>
      </c>
      <c r="CG853" s="59">
        <v>1.2200000000000001E-2</v>
      </c>
      <c r="CH853" s="49">
        <v>12.5</v>
      </c>
      <c r="CI853" s="26" t="s">
        <v>338</v>
      </c>
      <c r="CJ853" s="18" t="s">
        <v>489</v>
      </c>
      <c r="CK853" s="20"/>
    </row>
    <row r="854" spans="1:89" x14ac:dyDescent="0.25">
      <c r="A854" s="18" t="s">
        <v>489</v>
      </c>
      <c r="B854" s="19" t="s">
        <v>336</v>
      </c>
      <c r="C854" s="26" t="s">
        <v>339</v>
      </c>
      <c r="D854" s="6">
        <v>10</v>
      </c>
      <c r="E854" s="6">
        <v>2</v>
      </c>
      <c r="F854" s="6">
        <v>8</v>
      </c>
      <c r="G854" s="163">
        <v>0</v>
      </c>
      <c r="H854" s="164">
        <v>2</v>
      </c>
      <c r="I854" s="163">
        <v>0</v>
      </c>
      <c r="J854" s="164">
        <v>5</v>
      </c>
      <c r="K854" s="164">
        <v>2</v>
      </c>
      <c r="L854" s="164">
        <v>1</v>
      </c>
      <c r="M854" s="163">
        <v>0</v>
      </c>
      <c r="N854" s="117">
        <v>3.7878787878787901E-2</v>
      </c>
      <c r="O854" s="117">
        <v>4.6783625730994101E-2</v>
      </c>
      <c r="P854" s="115">
        <v>0</v>
      </c>
      <c r="Q854" s="117">
        <v>4.8780487804878099E-2</v>
      </c>
      <c r="R854" s="115">
        <v>0</v>
      </c>
      <c r="S854" s="117">
        <v>7.0422535211267595E-2</v>
      </c>
      <c r="T854" s="117">
        <v>5.1282051282051301E-2</v>
      </c>
      <c r="U854" s="117">
        <v>3.5714285714285698E-2</v>
      </c>
      <c r="V854" s="115">
        <v>0</v>
      </c>
      <c r="W854" s="6">
        <v>311</v>
      </c>
      <c r="X854" s="40">
        <f t="shared" si="62"/>
        <v>161</v>
      </c>
      <c r="Y854" s="40">
        <f t="shared" si="63"/>
        <v>236</v>
      </c>
      <c r="Z854" s="59">
        <v>0.46300000000000002</v>
      </c>
      <c r="AA854" s="59">
        <v>0.53700000000000003</v>
      </c>
      <c r="AB854" s="61">
        <v>0</v>
      </c>
      <c r="AC854" s="61">
        <v>3.2154340836012861E-3</v>
      </c>
      <c r="AD854" s="61">
        <v>0.71704180064308687</v>
      </c>
      <c r="AE854" s="61">
        <v>2.2508038585209004E-2</v>
      </c>
      <c r="AF854" s="61">
        <v>0</v>
      </c>
      <c r="AG854" s="61">
        <v>0.25723472668810288</v>
      </c>
      <c r="AH854" s="61">
        <v>0</v>
      </c>
      <c r="AI854" s="61">
        <v>0.74276527331189712</v>
      </c>
      <c r="AJ854" s="59">
        <v>0.89400000000000002</v>
      </c>
      <c r="AK854" s="59">
        <v>0</v>
      </c>
      <c r="AL854" s="3">
        <v>44</v>
      </c>
      <c r="AM854" s="3">
        <v>31</v>
      </c>
      <c r="AN854" s="3">
        <v>4</v>
      </c>
      <c r="AO854" s="3">
        <v>60</v>
      </c>
      <c r="AP854" s="3">
        <v>37</v>
      </c>
      <c r="AQ854" s="3">
        <v>27</v>
      </c>
      <c r="AR854" s="3">
        <v>33</v>
      </c>
      <c r="AS854" s="59">
        <v>6.25E-2</v>
      </c>
      <c r="AT854" s="3">
        <v>5</v>
      </c>
      <c r="AU854" s="3">
        <v>6</v>
      </c>
      <c r="AV854" s="49">
        <v>88.446215139442202</v>
      </c>
      <c r="AW854" s="49">
        <v>11.155378486055801</v>
      </c>
      <c r="AX854" s="49">
        <v>0.39840637450199201</v>
      </c>
      <c r="AY854" s="67">
        <v>0</v>
      </c>
      <c r="AZ854" s="62">
        <v>0</v>
      </c>
      <c r="BA854" s="62">
        <v>0.27826086956521739</v>
      </c>
      <c r="BB854" s="77">
        <v>94.502833205542998</v>
      </c>
      <c r="BC854" s="49">
        <v>64.942528735632195</v>
      </c>
      <c r="BD854" s="87">
        <v>9.3000000000000007</v>
      </c>
      <c r="BE854" s="87">
        <v>12.5</v>
      </c>
      <c r="BF854" s="87">
        <v>19.2</v>
      </c>
      <c r="BG854" s="87">
        <v>6.1</v>
      </c>
      <c r="BH854" s="87">
        <v>3.8</v>
      </c>
      <c r="BI854" s="87">
        <v>3.2</v>
      </c>
      <c r="BJ854" s="49">
        <v>17.600000000000001</v>
      </c>
      <c r="BK854" s="126">
        <v>21978</v>
      </c>
      <c r="BL854" s="126">
        <v>50287</v>
      </c>
      <c r="BM854" s="126">
        <v>42387</v>
      </c>
      <c r="BN854" s="126">
        <v>41339</v>
      </c>
      <c r="BO854" s="59">
        <v>0</v>
      </c>
      <c r="BP854" s="59">
        <v>0.18940000000000001</v>
      </c>
      <c r="BQ854" s="59">
        <v>6.6799999999999998E-2</v>
      </c>
      <c r="BR854" s="59">
        <v>0</v>
      </c>
      <c r="BS854" s="59">
        <v>0</v>
      </c>
      <c r="BT854" s="49">
        <v>14.5</v>
      </c>
      <c r="BU854" s="59">
        <f t="shared" si="64"/>
        <v>0.25619999999999998</v>
      </c>
      <c r="BV854" s="59">
        <v>3.4099999999999998E-2</v>
      </c>
      <c r="BW854" s="59">
        <v>1.14E-2</v>
      </c>
      <c r="BX854" s="59">
        <v>3.4099999999999998E-2</v>
      </c>
      <c r="BY854" s="59">
        <v>0</v>
      </c>
      <c r="BZ854" s="59">
        <v>0</v>
      </c>
      <c r="CA854" s="49">
        <v>21.7</v>
      </c>
      <c r="CB854" s="59">
        <f t="shared" si="65"/>
        <v>7.9600000000000004E-2</v>
      </c>
      <c r="CC854" s="59">
        <v>0.28899999999999998</v>
      </c>
      <c r="CD854" s="59">
        <v>0.50760000000000005</v>
      </c>
      <c r="CE854" s="59">
        <v>0.20330000000000001</v>
      </c>
      <c r="CF854" s="59">
        <v>0</v>
      </c>
      <c r="CG854" s="59">
        <v>0</v>
      </c>
      <c r="CH854" s="49">
        <v>12.4</v>
      </c>
      <c r="CI854" s="26" t="s">
        <v>339</v>
      </c>
      <c r="CJ854" s="18" t="s">
        <v>489</v>
      </c>
      <c r="CK854" s="20"/>
    </row>
    <row r="855" spans="1:89" x14ac:dyDescent="0.25">
      <c r="A855" s="18" t="s">
        <v>489</v>
      </c>
      <c r="B855" s="19" t="s">
        <v>336</v>
      </c>
      <c r="C855" s="26" t="s">
        <v>340</v>
      </c>
      <c r="D855" s="6">
        <v>40</v>
      </c>
      <c r="E855" s="40" t="s">
        <v>83</v>
      </c>
      <c r="F855" s="6">
        <v>40</v>
      </c>
      <c r="G855" s="162" t="s">
        <v>83</v>
      </c>
      <c r="H855" s="162" t="s">
        <v>83</v>
      </c>
      <c r="I855" s="162" t="s">
        <v>83</v>
      </c>
      <c r="J855" s="164">
        <v>17</v>
      </c>
      <c r="K855" s="164">
        <v>7</v>
      </c>
      <c r="L855" s="164">
        <v>9</v>
      </c>
      <c r="M855" s="164">
        <v>7</v>
      </c>
      <c r="N855" s="117">
        <v>4.1450777202072499E-2</v>
      </c>
      <c r="O855" s="117">
        <v>4.1450777202072499E-2</v>
      </c>
      <c r="P855" s="116" t="s">
        <v>83</v>
      </c>
      <c r="Q855" s="116" t="s">
        <v>83</v>
      </c>
      <c r="R855" s="116" t="s">
        <v>83</v>
      </c>
      <c r="S855" s="117">
        <v>5.1671732522796401E-2</v>
      </c>
      <c r="T855" s="117">
        <v>3.1390134529148003E-2</v>
      </c>
      <c r="U855" s="117">
        <v>4.4554455445544601E-2</v>
      </c>
      <c r="V855" s="117">
        <v>3.3175355450236997E-2</v>
      </c>
      <c r="W855" s="6">
        <v>899</v>
      </c>
      <c r="X855" s="40">
        <f t="shared" si="62"/>
        <v>899</v>
      </c>
      <c r="Y855" s="40">
        <f t="shared" si="63"/>
        <v>899</v>
      </c>
      <c r="Z855" s="59">
        <v>0.47160000000000002</v>
      </c>
      <c r="AA855" s="59">
        <v>0.52839999999999998</v>
      </c>
      <c r="AB855" s="61">
        <v>0</v>
      </c>
      <c r="AC855" s="61">
        <v>2.2246941045606229E-3</v>
      </c>
      <c r="AD855" s="61">
        <v>0.39933259176863184</v>
      </c>
      <c r="AE855" s="61">
        <v>3.114571746384872E-2</v>
      </c>
      <c r="AF855" s="61">
        <v>0</v>
      </c>
      <c r="AG855" s="61">
        <v>0.56284760845383763</v>
      </c>
      <c r="AH855" s="61">
        <v>4.4493882091212458E-3</v>
      </c>
      <c r="AI855" s="61">
        <v>0.43715239154616242</v>
      </c>
      <c r="AJ855" s="59">
        <v>0.64600000000000002</v>
      </c>
      <c r="AK855" s="59">
        <v>1.4500000000000001E-2</v>
      </c>
      <c r="AL855" s="3">
        <v>0</v>
      </c>
      <c r="AM855" s="3">
        <v>0</v>
      </c>
      <c r="AN855" s="3">
        <v>0</v>
      </c>
      <c r="AO855" s="3">
        <v>298</v>
      </c>
      <c r="AP855" s="3">
        <v>212</v>
      </c>
      <c r="AQ855" s="3">
        <v>191</v>
      </c>
      <c r="AR855" s="3">
        <v>198</v>
      </c>
      <c r="AS855" s="59">
        <v>0</v>
      </c>
      <c r="AT855" s="3">
        <v>9</v>
      </c>
      <c r="AU855" s="3">
        <v>6</v>
      </c>
      <c r="AV855" s="49">
        <v>59.445843828715397</v>
      </c>
      <c r="AW855" s="49">
        <v>24.1813602015113</v>
      </c>
      <c r="AX855" s="49">
        <v>15.113350125944599</v>
      </c>
      <c r="AY855" s="67">
        <v>1.2594458438287199</v>
      </c>
      <c r="AZ855" s="62">
        <v>2.0876826722338203E-3</v>
      </c>
      <c r="BA855" s="62">
        <v>0.1732776617954071</v>
      </c>
      <c r="BB855" s="78">
        <v>93.015287817232107</v>
      </c>
      <c r="BC855" s="49">
        <v>66.356107660455507</v>
      </c>
      <c r="BD855" s="90" t="s">
        <v>83</v>
      </c>
      <c r="BE855" s="90" t="s">
        <v>83</v>
      </c>
      <c r="BF855" s="87">
        <v>22.6</v>
      </c>
      <c r="BG855" s="87">
        <v>8.3000000000000007</v>
      </c>
      <c r="BH855" s="87">
        <v>2.2000000000000002</v>
      </c>
      <c r="BI855" s="87">
        <v>2.6</v>
      </c>
      <c r="BJ855" s="49">
        <v>19.7</v>
      </c>
      <c r="BK855" s="126">
        <v>7924</v>
      </c>
      <c r="BL855" s="126">
        <v>58202</v>
      </c>
      <c r="BM855" s="126">
        <v>45123</v>
      </c>
      <c r="BN855" s="126">
        <v>41538</v>
      </c>
      <c r="BO855" s="59">
        <v>0</v>
      </c>
      <c r="BP855" s="59">
        <v>2.9700000000000001E-2</v>
      </c>
      <c r="BQ855" s="59">
        <v>0</v>
      </c>
      <c r="BR855" s="59">
        <v>1E-3</v>
      </c>
      <c r="BS855" s="59">
        <v>0</v>
      </c>
      <c r="BT855" s="49">
        <v>12.2</v>
      </c>
      <c r="BU855" s="59">
        <f t="shared" si="64"/>
        <v>3.0700000000000002E-2</v>
      </c>
      <c r="BV855" s="59">
        <v>2.9000000000000001E-2</v>
      </c>
      <c r="BW855" s="59">
        <v>0</v>
      </c>
      <c r="BX855" s="59">
        <v>2.9000000000000001E-2</v>
      </c>
      <c r="BY855" s="59">
        <v>0</v>
      </c>
      <c r="BZ855" s="59">
        <v>0</v>
      </c>
      <c r="CA855" s="49">
        <v>13.8</v>
      </c>
      <c r="CB855" s="59">
        <f t="shared" si="65"/>
        <v>5.8000000000000003E-2</v>
      </c>
      <c r="CC855" s="59">
        <v>0.22800000000000001</v>
      </c>
      <c r="CD855" s="59">
        <v>0.57720000000000005</v>
      </c>
      <c r="CE855" s="59">
        <v>0.1938</v>
      </c>
      <c r="CF855" s="59">
        <v>1E-3</v>
      </c>
      <c r="CG855" s="59">
        <v>0</v>
      </c>
      <c r="CH855" s="49">
        <v>10</v>
      </c>
      <c r="CI855" s="26" t="s">
        <v>340</v>
      </c>
      <c r="CJ855" s="18" t="s">
        <v>489</v>
      </c>
      <c r="CK855" s="20"/>
    </row>
    <row r="856" spans="1:89" x14ac:dyDescent="0.25">
      <c r="A856" s="18" t="s">
        <v>489</v>
      </c>
      <c r="B856" s="19" t="s">
        <v>336</v>
      </c>
      <c r="C856" s="26" t="s">
        <v>341</v>
      </c>
      <c r="D856" s="6">
        <v>14</v>
      </c>
      <c r="E856" s="40" t="s">
        <v>83</v>
      </c>
      <c r="F856" s="6">
        <v>14</v>
      </c>
      <c r="G856" s="162" t="s">
        <v>83</v>
      </c>
      <c r="H856" s="162" t="s">
        <v>83</v>
      </c>
      <c r="I856" s="163">
        <v>0</v>
      </c>
      <c r="J856" s="164">
        <v>7</v>
      </c>
      <c r="K856" s="164">
        <v>3</v>
      </c>
      <c r="L856" s="164">
        <v>3</v>
      </c>
      <c r="M856" s="164">
        <v>1</v>
      </c>
      <c r="N856" s="117">
        <v>2.1943573667711599E-2</v>
      </c>
      <c r="O856" s="117">
        <v>2.1943573667711599E-2</v>
      </c>
      <c r="P856" s="116" t="s">
        <v>83</v>
      </c>
      <c r="Q856" s="116" t="s">
        <v>83</v>
      </c>
      <c r="R856" s="115">
        <v>0</v>
      </c>
      <c r="S856" s="117">
        <v>2.81124497991968E-2</v>
      </c>
      <c r="T856" s="117">
        <v>1.9108280254777101E-2</v>
      </c>
      <c r="U856" s="117">
        <v>2.4E-2</v>
      </c>
      <c r="V856" s="117">
        <v>9.3457943925233603E-3</v>
      </c>
      <c r="W856" s="6">
        <v>571</v>
      </c>
      <c r="X856" s="40">
        <f t="shared" si="62"/>
        <v>571</v>
      </c>
      <c r="Y856" s="40">
        <f t="shared" si="63"/>
        <v>571</v>
      </c>
      <c r="Z856" s="59">
        <v>0.47639999999999999</v>
      </c>
      <c r="AA856" s="59">
        <v>0.52359999999999995</v>
      </c>
      <c r="AB856" s="61">
        <v>1.7513134851138354E-3</v>
      </c>
      <c r="AC856" s="61">
        <v>1.7513134851138354E-3</v>
      </c>
      <c r="AD856" s="61">
        <v>0.71978984238178634</v>
      </c>
      <c r="AE856" s="61">
        <v>1.7513134851138354E-2</v>
      </c>
      <c r="AF856" s="61">
        <v>0</v>
      </c>
      <c r="AG856" s="61">
        <v>0.25919439579684761</v>
      </c>
      <c r="AH856" s="61">
        <v>0</v>
      </c>
      <c r="AI856" s="61">
        <v>0.74080560420315233</v>
      </c>
      <c r="AJ856" s="59">
        <v>0.83699999999999997</v>
      </c>
      <c r="AK856" s="59">
        <v>1.8E-3</v>
      </c>
      <c r="AL856" s="3">
        <v>0</v>
      </c>
      <c r="AM856" s="3">
        <v>0</v>
      </c>
      <c r="AN856" s="3">
        <v>3</v>
      </c>
      <c r="AO856" s="3">
        <v>203</v>
      </c>
      <c r="AP856" s="3">
        <v>149</v>
      </c>
      <c r="AQ856" s="3">
        <v>116</v>
      </c>
      <c r="AR856" s="3">
        <v>100</v>
      </c>
      <c r="AS856" s="59">
        <v>1.4563106796116505E-2</v>
      </c>
      <c r="AT856" s="3">
        <v>9</v>
      </c>
      <c r="AU856" s="3">
        <v>6</v>
      </c>
      <c r="AV856" s="49">
        <v>64.788732394366207</v>
      </c>
      <c r="AW856" s="49">
        <v>28.521126760563398</v>
      </c>
      <c r="AX856" s="49">
        <v>6.3380281690140805</v>
      </c>
      <c r="AY856" s="67">
        <v>0.352112676056338</v>
      </c>
      <c r="AZ856" s="62">
        <v>1.5974440894568689E-3</v>
      </c>
      <c r="BA856" s="62">
        <v>0.20607028753993611</v>
      </c>
      <c r="BB856" s="77">
        <v>92.825052854122603</v>
      </c>
      <c r="BC856" s="49">
        <v>78.730158730158706</v>
      </c>
      <c r="BD856" s="90" t="s">
        <v>83</v>
      </c>
      <c r="BE856" s="90" t="s">
        <v>83</v>
      </c>
      <c r="BF856" s="87">
        <v>21</v>
      </c>
      <c r="BG856" s="87">
        <v>9.3000000000000007</v>
      </c>
      <c r="BH856" s="87">
        <v>3.5</v>
      </c>
      <c r="BI856" s="87">
        <v>3.9</v>
      </c>
      <c r="BJ856" s="49">
        <v>17.399999999999999</v>
      </c>
      <c r="BK856" s="126">
        <v>8756</v>
      </c>
      <c r="BL856" s="126">
        <v>58735</v>
      </c>
      <c r="BM856" s="126">
        <v>58645</v>
      </c>
      <c r="BN856" s="126">
        <v>44103</v>
      </c>
      <c r="BO856" s="59">
        <v>1.9900000000000001E-2</v>
      </c>
      <c r="BP856" s="59">
        <v>6.3500000000000001E-2</v>
      </c>
      <c r="BQ856" s="59">
        <v>1.9900000000000001E-2</v>
      </c>
      <c r="BR856" s="59">
        <v>0</v>
      </c>
      <c r="BS856" s="59">
        <v>0</v>
      </c>
      <c r="BT856" s="49">
        <v>14.8</v>
      </c>
      <c r="BU856" s="59">
        <f t="shared" si="64"/>
        <v>0.1033</v>
      </c>
      <c r="BV856" s="59">
        <v>3.4799999999999998E-2</v>
      </c>
      <c r="BW856" s="59">
        <v>0</v>
      </c>
      <c r="BX856" s="59">
        <v>5.11E-2</v>
      </c>
      <c r="BY856" s="59">
        <v>0</v>
      </c>
      <c r="BZ856" s="59">
        <v>0</v>
      </c>
      <c r="CA856" s="49">
        <v>21.9</v>
      </c>
      <c r="CB856" s="59">
        <f t="shared" si="65"/>
        <v>8.5900000000000004E-2</v>
      </c>
      <c r="CC856" s="59">
        <v>0.21779999999999999</v>
      </c>
      <c r="CD856" s="59">
        <v>0.46100000000000002</v>
      </c>
      <c r="CE856" s="59">
        <v>0.30130000000000001</v>
      </c>
      <c r="CF856" s="59">
        <v>1.9900000000000001E-2</v>
      </c>
      <c r="CG856" s="59">
        <v>0</v>
      </c>
      <c r="CH856" s="49">
        <v>12.6</v>
      </c>
      <c r="CI856" s="26" t="s">
        <v>341</v>
      </c>
      <c r="CJ856" s="18" t="s">
        <v>489</v>
      </c>
      <c r="CK856" s="20"/>
    </row>
    <row r="857" spans="1:89" x14ac:dyDescent="0.25">
      <c r="A857" s="18" t="s">
        <v>489</v>
      </c>
      <c r="B857" s="19" t="s">
        <v>336</v>
      </c>
      <c r="C857" s="26" t="s">
        <v>342</v>
      </c>
      <c r="D857" s="6">
        <v>21</v>
      </c>
      <c r="E857" s="40" t="s">
        <v>83</v>
      </c>
      <c r="F857" s="6">
        <v>21</v>
      </c>
      <c r="G857" s="162" t="s">
        <v>83</v>
      </c>
      <c r="H857" s="162" t="s">
        <v>83</v>
      </c>
      <c r="I857" s="163">
        <v>0</v>
      </c>
      <c r="J857" s="164">
        <v>10</v>
      </c>
      <c r="K857" s="164">
        <v>4</v>
      </c>
      <c r="L857" s="164">
        <v>3</v>
      </c>
      <c r="M857" s="164">
        <v>4</v>
      </c>
      <c r="N857" s="117">
        <v>4.3749999999999997E-2</v>
      </c>
      <c r="O857" s="117">
        <v>4.3749999999999997E-2</v>
      </c>
      <c r="P857" s="116" t="s">
        <v>83</v>
      </c>
      <c r="Q857" s="116" t="s">
        <v>83</v>
      </c>
      <c r="R857" s="115">
        <v>0</v>
      </c>
      <c r="S857" s="117">
        <v>6.4935064935064901E-2</v>
      </c>
      <c r="T857" s="117">
        <v>2.96296296296296E-2</v>
      </c>
      <c r="U857" s="117">
        <v>3.1578947368421102E-2</v>
      </c>
      <c r="V857" s="117">
        <v>4.1666666666666699E-2</v>
      </c>
      <c r="W857" s="6">
        <v>436</v>
      </c>
      <c r="X857" s="40">
        <f t="shared" si="62"/>
        <v>436</v>
      </c>
      <c r="Y857" s="40">
        <f t="shared" si="63"/>
        <v>436</v>
      </c>
      <c r="Z857" s="59">
        <v>0.44269999999999998</v>
      </c>
      <c r="AA857" s="59">
        <v>0.55730000000000002</v>
      </c>
      <c r="AB857" s="61">
        <v>4.5871559633027525E-3</v>
      </c>
      <c r="AC857" s="61">
        <v>0</v>
      </c>
      <c r="AD857" s="61">
        <v>0.44724770642201833</v>
      </c>
      <c r="AE857" s="61">
        <v>0</v>
      </c>
      <c r="AF857" s="61">
        <v>2.2935779816513763E-3</v>
      </c>
      <c r="AG857" s="61">
        <v>0.54587155963302747</v>
      </c>
      <c r="AH857" s="61">
        <v>0</v>
      </c>
      <c r="AI857" s="61">
        <v>0.45412844036697247</v>
      </c>
      <c r="AJ857" s="59">
        <v>0.72199999999999998</v>
      </c>
      <c r="AK857" s="59">
        <v>0</v>
      </c>
      <c r="AL857" s="3">
        <v>0</v>
      </c>
      <c r="AM857" s="3">
        <v>0</v>
      </c>
      <c r="AN857" s="3">
        <v>19</v>
      </c>
      <c r="AO857" s="3">
        <v>114</v>
      </c>
      <c r="AP857" s="3">
        <v>124</v>
      </c>
      <c r="AQ857" s="3">
        <v>87</v>
      </c>
      <c r="AR857" s="3">
        <v>92</v>
      </c>
      <c r="AS857" s="59">
        <v>0.14285714285714285</v>
      </c>
      <c r="AT857" s="3">
        <v>9</v>
      </c>
      <c r="AU857" s="3">
        <v>6</v>
      </c>
      <c r="AV857" s="49">
        <v>74.235807860262</v>
      </c>
      <c r="AW857" s="49">
        <v>25.327510917030597</v>
      </c>
      <c r="AX857" s="49">
        <v>0.43668122270742399</v>
      </c>
      <c r="AY857" s="67">
        <v>0</v>
      </c>
      <c r="AZ857" s="62">
        <v>0</v>
      </c>
      <c r="BA857" s="62">
        <v>0.15778251599147122</v>
      </c>
      <c r="BB857" s="78">
        <v>94.248522147542303</v>
      </c>
      <c r="BC857" s="49">
        <v>78.510638297872305</v>
      </c>
      <c r="BD857" s="90" t="s">
        <v>83</v>
      </c>
      <c r="BE857" s="90" t="s">
        <v>83</v>
      </c>
      <c r="BF857" s="87">
        <v>18</v>
      </c>
      <c r="BG857" s="87">
        <v>5.5</v>
      </c>
      <c r="BH857" s="87">
        <v>0</v>
      </c>
      <c r="BI857" s="87">
        <v>2.4</v>
      </c>
      <c r="BJ857" s="49">
        <v>18.899999999999999</v>
      </c>
      <c r="BK857" s="126">
        <v>10919</v>
      </c>
      <c r="BL857" s="126">
        <v>50511</v>
      </c>
      <c r="BM857" s="126">
        <v>47941</v>
      </c>
      <c r="BN857" s="126">
        <v>39509</v>
      </c>
      <c r="BO857" s="59">
        <v>0</v>
      </c>
      <c r="BP857" s="59">
        <v>4.19E-2</v>
      </c>
      <c r="BQ857" s="59">
        <v>5.8999999999999999E-3</v>
      </c>
      <c r="BR857" s="59">
        <v>0</v>
      </c>
      <c r="BS857" s="59">
        <v>0</v>
      </c>
      <c r="BT857" s="49">
        <v>6</v>
      </c>
      <c r="BU857" s="59">
        <f t="shared" si="64"/>
        <v>4.7800000000000002E-2</v>
      </c>
      <c r="BV857" s="59">
        <v>3.7600000000000001E-2</v>
      </c>
      <c r="BW857" s="59">
        <v>0</v>
      </c>
      <c r="BX857" s="59">
        <v>3.8199999999999998E-2</v>
      </c>
      <c r="BY857" s="59">
        <v>0</v>
      </c>
      <c r="BZ857" s="59">
        <v>0</v>
      </c>
      <c r="CA857" s="49">
        <v>14.5</v>
      </c>
      <c r="CB857" s="59">
        <f t="shared" si="65"/>
        <v>7.5800000000000006E-2</v>
      </c>
      <c r="CC857" s="59">
        <v>0.38279999999999997</v>
      </c>
      <c r="CD857" s="59">
        <v>0.43990000000000001</v>
      </c>
      <c r="CE857" s="59">
        <v>0.1583</v>
      </c>
      <c r="CF857" s="59">
        <v>0</v>
      </c>
      <c r="CG857" s="59">
        <v>1.9E-2</v>
      </c>
      <c r="CH857" s="49">
        <v>12.5</v>
      </c>
      <c r="CI857" s="26" t="s">
        <v>342</v>
      </c>
      <c r="CJ857" s="18" t="s">
        <v>489</v>
      </c>
      <c r="CK857" s="20"/>
    </row>
    <row r="858" spans="1:89" x14ac:dyDescent="0.25">
      <c r="A858" s="18" t="s">
        <v>489</v>
      </c>
      <c r="B858" s="19" t="s">
        <v>336</v>
      </c>
      <c r="C858" s="26" t="s">
        <v>343</v>
      </c>
      <c r="D858" s="6">
        <v>0</v>
      </c>
      <c r="E858" s="6">
        <v>0</v>
      </c>
      <c r="F858" s="6">
        <v>0</v>
      </c>
      <c r="G858" s="163">
        <v>0</v>
      </c>
      <c r="H858" s="163">
        <v>0</v>
      </c>
      <c r="I858" s="162" t="s">
        <v>83</v>
      </c>
      <c r="J858" s="163">
        <v>0</v>
      </c>
      <c r="K858" s="163">
        <v>0</v>
      </c>
      <c r="L858" s="163">
        <v>0</v>
      </c>
      <c r="M858" s="163">
        <v>0</v>
      </c>
      <c r="N858" s="115">
        <v>0</v>
      </c>
      <c r="O858" s="115">
        <v>0</v>
      </c>
      <c r="P858" s="115">
        <v>0</v>
      </c>
      <c r="Q858" s="115">
        <v>0</v>
      </c>
      <c r="R858" s="116" t="s">
        <v>83</v>
      </c>
      <c r="S858" s="115">
        <v>0</v>
      </c>
      <c r="T858" s="115">
        <v>0</v>
      </c>
      <c r="U858" s="115">
        <v>0</v>
      </c>
      <c r="V858" s="115">
        <v>0</v>
      </c>
      <c r="W858" s="6">
        <v>321</v>
      </c>
      <c r="X858" s="40">
        <f t="shared" si="62"/>
        <v>182</v>
      </c>
      <c r="Y858" s="40">
        <f t="shared" si="63"/>
        <v>321</v>
      </c>
      <c r="Z858" s="59">
        <v>0.67600000000000005</v>
      </c>
      <c r="AA858" s="59">
        <v>0.32400000000000001</v>
      </c>
      <c r="AB858" s="61">
        <v>0</v>
      </c>
      <c r="AC858" s="61">
        <v>1.2461059190031152E-2</v>
      </c>
      <c r="AD858" s="61">
        <v>0.57632398753894076</v>
      </c>
      <c r="AE858" s="61">
        <v>1.2461059190031152E-2</v>
      </c>
      <c r="AF858" s="61">
        <v>0</v>
      </c>
      <c r="AG858" s="61">
        <v>0.39563862928348908</v>
      </c>
      <c r="AH858" s="61">
        <v>3.1152647975077881E-3</v>
      </c>
      <c r="AI858" s="61">
        <v>0.60436137071651086</v>
      </c>
      <c r="AJ858" s="59">
        <v>0.72</v>
      </c>
      <c r="AK858" s="59">
        <v>9.2999999999999992E-3</v>
      </c>
      <c r="AL858" s="3">
        <v>62</v>
      </c>
      <c r="AM858" s="3">
        <v>77</v>
      </c>
      <c r="AN858" s="3">
        <v>0</v>
      </c>
      <c r="AO858" s="3">
        <v>53</v>
      </c>
      <c r="AP858" s="3">
        <v>39</v>
      </c>
      <c r="AQ858" s="3">
        <v>47</v>
      </c>
      <c r="AR858" s="3">
        <v>43</v>
      </c>
      <c r="AS858" s="59">
        <v>0</v>
      </c>
      <c r="AT858" s="3">
        <v>7</v>
      </c>
      <c r="AU858" s="3">
        <v>7</v>
      </c>
      <c r="AV858" s="49">
        <v>82.407407407407391</v>
      </c>
      <c r="AW858" s="49">
        <v>14.351851851851899</v>
      </c>
      <c r="AX858" s="49">
        <v>3.24074074074074</v>
      </c>
      <c r="AY858" s="67">
        <v>0</v>
      </c>
      <c r="AZ858" s="62">
        <v>3.0769230769230771E-2</v>
      </c>
      <c r="BA858" s="62">
        <v>2.4615384615384615E-2</v>
      </c>
      <c r="BB858" s="77">
        <v>96.745893365146401</v>
      </c>
      <c r="BC858" s="49">
        <v>48</v>
      </c>
      <c r="BD858" s="87">
        <v>5.4</v>
      </c>
      <c r="BE858" s="87">
        <v>2.9</v>
      </c>
      <c r="BF858" s="87">
        <v>0</v>
      </c>
      <c r="BG858" s="87">
        <v>0</v>
      </c>
      <c r="BH858" s="87">
        <v>0</v>
      </c>
      <c r="BI858" s="87">
        <v>0</v>
      </c>
      <c r="BJ858" s="49">
        <v>21.1</v>
      </c>
      <c r="BK858" s="126">
        <v>10141</v>
      </c>
      <c r="BL858" s="126">
        <v>48489</v>
      </c>
      <c r="BM858" s="126">
        <v>51892</v>
      </c>
      <c r="BN858" s="126">
        <v>41969</v>
      </c>
      <c r="BO858" s="59">
        <v>0</v>
      </c>
      <c r="BP858" s="59">
        <v>0.14050000000000001</v>
      </c>
      <c r="BQ858" s="59">
        <v>2.81E-2</v>
      </c>
      <c r="BR858" s="59">
        <v>0</v>
      </c>
      <c r="BS858" s="59">
        <v>2.81E-2</v>
      </c>
      <c r="BT858" s="49">
        <v>14.6</v>
      </c>
      <c r="BU858" s="59">
        <f t="shared" si="64"/>
        <v>0.19670000000000004</v>
      </c>
      <c r="BV858" s="59">
        <v>2.81E-2</v>
      </c>
      <c r="BW858" s="59">
        <v>0</v>
      </c>
      <c r="BX858" s="59">
        <v>5.62E-2</v>
      </c>
      <c r="BY858" s="59">
        <v>0</v>
      </c>
      <c r="BZ858" s="59">
        <v>0</v>
      </c>
      <c r="CA858" s="49">
        <v>16</v>
      </c>
      <c r="CB858" s="59">
        <f t="shared" si="65"/>
        <v>8.43E-2</v>
      </c>
      <c r="CC858" s="59">
        <v>0.24149999999999999</v>
      </c>
      <c r="CD858" s="59">
        <v>0.47760000000000002</v>
      </c>
      <c r="CE858" s="59">
        <v>0.25280000000000002</v>
      </c>
      <c r="CF858" s="59">
        <v>0</v>
      </c>
      <c r="CG858" s="59">
        <v>2.81E-2</v>
      </c>
      <c r="CH858" s="49">
        <v>12.8</v>
      </c>
      <c r="CI858" s="26" t="s">
        <v>343</v>
      </c>
      <c r="CJ858" s="18" t="s">
        <v>489</v>
      </c>
      <c r="CK858" s="20"/>
    </row>
    <row r="859" spans="1:89" x14ac:dyDescent="0.25">
      <c r="A859" s="18" t="s">
        <v>489</v>
      </c>
      <c r="B859" s="19" t="s">
        <v>344</v>
      </c>
      <c r="C859" s="26" t="s">
        <v>345</v>
      </c>
      <c r="D859" s="6">
        <v>39</v>
      </c>
      <c r="E859" s="6">
        <v>0</v>
      </c>
      <c r="F859" s="6">
        <v>39</v>
      </c>
      <c r="G859" s="162" t="s">
        <v>83</v>
      </c>
      <c r="H859" s="163">
        <v>0</v>
      </c>
      <c r="I859" s="163">
        <v>0</v>
      </c>
      <c r="J859" s="164">
        <v>12</v>
      </c>
      <c r="K859" s="164">
        <v>15</v>
      </c>
      <c r="L859" s="164">
        <v>8</v>
      </c>
      <c r="M859" s="164">
        <v>4</v>
      </c>
      <c r="N859" s="117">
        <v>4.1095890410958902E-2</v>
      </c>
      <c r="O859" s="117">
        <v>4.1980624327233602E-2</v>
      </c>
      <c r="P859" s="116" t="s">
        <v>83</v>
      </c>
      <c r="Q859" s="115">
        <v>0</v>
      </c>
      <c r="R859" s="115">
        <v>0</v>
      </c>
      <c r="S859" s="117">
        <v>4.2402826855123699E-2</v>
      </c>
      <c r="T859" s="117">
        <v>6.43776824034335E-2</v>
      </c>
      <c r="U859" s="117">
        <v>3.6363636363636397E-2</v>
      </c>
      <c r="V859" s="117">
        <v>2.0942408376963401E-2</v>
      </c>
      <c r="W859" s="6">
        <v>870</v>
      </c>
      <c r="X859" s="40">
        <f t="shared" si="62"/>
        <v>853</v>
      </c>
      <c r="Y859" s="40">
        <f t="shared" si="63"/>
        <v>870</v>
      </c>
      <c r="Z859" s="59">
        <v>0.48049999999999998</v>
      </c>
      <c r="AA859" s="59">
        <v>0.51949999999999996</v>
      </c>
      <c r="AB859" s="61">
        <v>4.5977011494252873E-3</v>
      </c>
      <c r="AC859" s="61">
        <v>5.7471264367816091E-3</v>
      </c>
      <c r="AD859" s="61">
        <v>0.45862068965517239</v>
      </c>
      <c r="AE859" s="61">
        <v>1.7241379310344827E-2</v>
      </c>
      <c r="AF859" s="61">
        <v>0</v>
      </c>
      <c r="AG859" s="61">
        <v>0.50344827586206897</v>
      </c>
      <c r="AH859" s="61">
        <v>1.0344827586206896E-2</v>
      </c>
      <c r="AI859" s="61">
        <v>0.49655172413793103</v>
      </c>
      <c r="AJ859" s="59">
        <v>0.71099999999999997</v>
      </c>
      <c r="AK859" s="59">
        <v>1.03E-2</v>
      </c>
      <c r="AL859" s="3">
        <v>0</v>
      </c>
      <c r="AM859" s="3">
        <v>17</v>
      </c>
      <c r="AN859" s="3">
        <v>3</v>
      </c>
      <c r="AO859" s="3">
        <v>250</v>
      </c>
      <c r="AP859" s="3">
        <v>210</v>
      </c>
      <c r="AQ859" s="3">
        <v>214</v>
      </c>
      <c r="AR859" s="3">
        <v>176</v>
      </c>
      <c r="AS859" s="59">
        <v>1.1857707509881422E-2</v>
      </c>
      <c r="AT859" s="3">
        <v>8</v>
      </c>
      <c r="AU859" s="3">
        <v>6</v>
      </c>
      <c r="AV859" s="49">
        <v>56.6585956416465</v>
      </c>
      <c r="AW859" s="49">
        <v>13.559322033898299</v>
      </c>
      <c r="AX859" s="49">
        <v>26.634382566586002</v>
      </c>
      <c r="AY859" s="67">
        <v>3.1476997578692503</v>
      </c>
      <c r="AZ859" s="62">
        <v>0.17691477885652643</v>
      </c>
      <c r="BA859" s="62">
        <v>0.18770226537216828</v>
      </c>
      <c r="BB859" s="78">
        <v>92.510825913592797</v>
      </c>
      <c r="BC859" s="49">
        <v>21.336206896551701</v>
      </c>
      <c r="BD859" s="90" t="s">
        <v>83</v>
      </c>
      <c r="BE859" s="87">
        <v>25</v>
      </c>
      <c r="BF859" s="87">
        <v>8.6999999999999993</v>
      </c>
      <c r="BG859" s="87">
        <v>7</v>
      </c>
      <c r="BH859" s="87">
        <v>6.8</v>
      </c>
      <c r="BI859" s="87">
        <v>1.6</v>
      </c>
      <c r="BJ859" s="49">
        <v>18.399999999999999</v>
      </c>
      <c r="BK859" s="126">
        <v>8491</v>
      </c>
      <c r="BL859" s="126">
        <v>49529</v>
      </c>
      <c r="BM859" s="126">
        <v>46201</v>
      </c>
      <c r="BN859" s="126">
        <v>42436</v>
      </c>
      <c r="BO859" s="59">
        <v>0</v>
      </c>
      <c r="BP859" s="59">
        <v>0.40629999999999999</v>
      </c>
      <c r="BQ859" s="59">
        <v>0.16650000000000001</v>
      </c>
      <c r="BR859" s="59">
        <v>1.2999999999999999E-2</v>
      </c>
      <c r="BS859" s="59">
        <v>0</v>
      </c>
      <c r="BT859" s="49">
        <v>13.7</v>
      </c>
      <c r="BU859" s="59">
        <f t="shared" si="64"/>
        <v>0.58579999999999999</v>
      </c>
      <c r="BV859" s="59">
        <v>3.9E-2</v>
      </c>
      <c r="BW859" s="59">
        <v>1.2999999999999999E-2</v>
      </c>
      <c r="BX859" s="59">
        <v>3.9E-2</v>
      </c>
      <c r="BY859" s="59">
        <v>0</v>
      </c>
      <c r="BZ859" s="59">
        <v>0</v>
      </c>
      <c r="CA859" s="49">
        <v>15.1</v>
      </c>
      <c r="CB859" s="59">
        <f t="shared" si="65"/>
        <v>9.0999999999999998E-2</v>
      </c>
      <c r="CC859" s="59">
        <v>0.30690000000000001</v>
      </c>
      <c r="CD859" s="59">
        <v>0.43340000000000001</v>
      </c>
      <c r="CE859" s="59">
        <v>0.2467</v>
      </c>
      <c r="CF859" s="59">
        <v>1.2999999999999999E-2</v>
      </c>
      <c r="CG859" s="59">
        <v>0</v>
      </c>
      <c r="CH859" s="49">
        <v>13.2</v>
      </c>
      <c r="CI859" s="26" t="s">
        <v>345</v>
      </c>
      <c r="CJ859" s="18" t="s">
        <v>489</v>
      </c>
      <c r="CK859" s="20"/>
    </row>
    <row r="860" spans="1:89" x14ac:dyDescent="0.25">
      <c r="A860" s="18" t="s">
        <v>489</v>
      </c>
      <c r="B860" s="19" t="s">
        <v>344</v>
      </c>
      <c r="C860" s="26" t="s">
        <v>346</v>
      </c>
      <c r="D860" s="6">
        <v>29</v>
      </c>
      <c r="E860" s="6">
        <v>0</v>
      </c>
      <c r="F860" s="6">
        <v>29</v>
      </c>
      <c r="G860" s="162" t="s">
        <v>83</v>
      </c>
      <c r="H860" s="163">
        <v>0</v>
      </c>
      <c r="I860" s="162" t="s">
        <v>83</v>
      </c>
      <c r="J860" s="164">
        <v>12</v>
      </c>
      <c r="K860" s="164">
        <v>11</v>
      </c>
      <c r="L860" s="164">
        <v>2</v>
      </c>
      <c r="M860" s="164">
        <v>4</v>
      </c>
      <c r="N860" s="117">
        <v>3.4319526627218898E-2</v>
      </c>
      <c r="O860" s="117">
        <v>3.5108958837772403E-2</v>
      </c>
      <c r="P860" s="116" t="s">
        <v>83</v>
      </c>
      <c r="Q860" s="115">
        <v>0</v>
      </c>
      <c r="R860" s="116" t="s">
        <v>83</v>
      </c>
      <c r="S860" s="117">
        <v>4.66926070038911E-2</v>
      </c>
      <c r="T860" s="117">
        <v>5.4187192118226597E-2</v>
      </c>
      <c r="U860" s="117">
        <v>1.02040816326531E-2</v>
      </c>
      <c r="V860" s="117">
        <v>2.3809523809523801E-2</v>
      </c>
      <c r="W860" s="6">
        <v>788</v>
      </c>
      <c r="X860" s="40">
        <f t="shared" si="62"/>
        <v>769</v>
      </c>
      <c r="Y860" s="40">
        <f t="shared" si="63"/>
        <v>788</v>
      </c>
      <c r="Z860" s="59">
        <v>0.4657</v>
      </c>
      <c r="AA860" s="59">
        <v>0.5343</v>
      </c>
      <c r="AB860" s="61">
        <v>3.8071065989847717E-3</v>
      </c>
      <c r="AC860" s="61">
        <v>1.1421319796954314E-2</v>
      </c>
      <c r="AD860" s="61">
        <v>0.33121827411167515</v>
      </c>
      <c r="AE860" s="61">
        <v>2.2842639593908629E-2</v>
      </c>
      <c r="AF860" s="61">
        <v>0</v>
      </c>
      <c r="AG860" s="61">
        <v>0.62055837563451777</v>
      </c>
      <c r="AH860" s="61">
        <v>1.015228426395939E-2</v>
      </c>
      <c r="AI860" s="61">
        <v>0.37944162436548223</v>
      </c>
      <c r="AJ860" s="59">
        <v>0.73499999999999999</v>
      </c>
      <c r="AK860" s="59">
        <v>2.2800000000000001E-2</v>
      </c>
      <c r="AL860" s="3">
        <v>0</v>
      </c>
      <c r="AM860" s="3">
        <v>19</v>
      </c>
      <c r="AN860" s="3">
        <v>0</v>
      </c>
      <c r="AO860" s="3">
        <v>226</v>
      </c>
      <c r="AP860" s="3">
        <v>195</v>
      </c>
      <c r="AQ860" s="3">
        <v>191</v>
      </c>
      <c r="AR860" s="3">
        <v>157</v>
      </c>
      <c r="AS860" s="59">
        <v>0</v>
      </c>
      <c r="AT860" s="3">
        <v>8</v>
      </c>
      <c r="AU860" s="3">
        <v>6</v>
      </c>
      <c r="AV860" s="49">
        <v>60</v>
      </c>
      <c r="AW860" s="49">
        <v>16.153846153846199</v>
      </c>
      <c r="AX860" s="49">
        <v>21.794871794871799</v>
      </c>
      <c r="AY860" s="67">
        <v>2.0512820512820498</v>
      </c>
      <c r="AZ860" s="62">
        <v>0.10204081632653061</v>
      </c>
      <c r="BA860" s="62">
        <v>0.19447779111644659</v>
      </c>
      <c r="BB860" s="77">
        <v>91.777662931554303</v>
      </c>
      <c r="BC860" s="49">
        <v>26.2905162064826</v>
      </c>
      <c r="BD860" s="90" t="s">
        <v>83</v>
      </c>
      <c r="BE860" s="49">
        <v>0</v>
      </c>
      <c r="BF860" s="87">
        <v>6.4</v>
      </c>
      <c r="BG860" s="87">
        <v>1.1000000000000001</v>
      </c>
      <c r="BH860" s="87">
        <v>1.6</v>
      </c>
      <c r="BI860" s="87">
        <v>1.3</v>
      </c>
      <c r="BJ860" s="49">
        <v>17.899999999999999</v>
      </c>
      <c r="BK860" s="126">
        <v>8296</v>
      </c>
      <c r="BL860" s="126">
        <v>48835</v>
      </c>
      <c r="BM860" s="126">
        <v>48417</v>
      </c>
      <c r="BN860" s="126">
        <v>42403</v>
      </c>
      <c r="BO860" s="59">
        <v>0</v>
      </c>
      <c r="BP860" s="59">
        <v>0.44209999999999999</v>
      </c>
      <c r="BQ860" s="59">
        <v>0.12570000000000001</v>
      </c>
      <c r="BR860" s="59">
        <v>0</v>
      </c>
      <c r="BS860" s="59">
        <v>2.8899999999999999E-2</v>
      </c>
      <c r="BT860" s="49">
        <v>11.4</v>
      </c>
      <c r="BU860" s="59">
        <f t="shared" si="64"/>
        <v>0.59670000000000001</v>
      </c>
      <c r="BV860" s="59">
        <v>2.8899999999999999E-2</v>
      </c>
      <c r="BW860" s="59">
        <v>0</v>
      </c>
      <c r="BX860" s="59">
        <v>5.7799999999999997E-2</v>
      </c>
      <c r="BY860" s="59">
        <v>0</v>
      </c>
      <c r="BZ860" s="59">
        <v>0</v>
      </c>
      <c r="CA860" s="49">
        <v>14.3</v>
      </c>
      <c r="CB860" s="59">
        <f t="shared" si="65"/>
        <v>8.6699999999999999E-2</v>
      </c>
      <c r="CC860" s="59">
        <v>0.28939999999999999</v>
      </c>
      <c r="CD860" s="59">
        <v>0.45650000000000002</v>
      </c>
      <c r="CE860" s="59">
        <v>0.22520000000000001</v>
      </c>
      <c r="CF860" s="59">
        <v>0</v>
      </c>
      <c r="CG860" s="59">
        <v>2.8899999999999999E-2</v>
      </c>
      <c r="CH860" s="49">
        <v>10.9</v>
      </c>
      <c r="CI860" s="26" t="s">
        <v>346</v>
      </c>
      <c r="CJ860" s="18" t="s">
        <v>489</v>
      </c>
      <c r="CK860" s="20"/>
    </row>
    <row r="861" spans="1:89" x14ac:dyDescent="0.25">
      <c r="A861" s="18" t="s">
        <v>489</v>
      </c>
      <c r="B861" s="19" t="s">
        <v>344</v>
      </c>
      <c r="C861" s="26" t="s">
        <v>347</v>
      </c>
      <c r="D861" s="6">
        <v>29</v>
      </c>
      <c r="E861" s="6">
        <v>1</v>
      </c>
      <c r="F861" s="6">
        <v>28</v>
      </c>
      <c r="G861" s="162" t="s">
        <v>83</v>
      </c>
      <c r="H861" s="164">
        <v>1</v>
      </c>
      <c r="I861" s="163">
        <v>0</v>
      </c>
      <c r="J861" s="164">
        <v>15</v>
      </c>
      <c r="K861" s="164">
        <v>5</v>
      </c>
      <c r="L861" s="164">
        <v>7</v>
      </c>
      <c r="M861" s="164">
        <v>1</v>
      </c>
      <c r="N861" s="117">
        <v>3.7711313394018203E-2</v>
      </c>
      <c r="O861" s="117">
        <v>3.6988110964332903E-2</v>
      </c>
      <c r="P861" s="116" t="s">
        <v>83</v>
      </c>
      <c r="Q861" s="117">
        <v>8.3333333333333301E-2</v>
      </c>
      <c r="R861" s="115">
        <v>0</v>
      </c>
      <c r="S861" s="117">
        <v>6.3291139240506306E-2</v>
      </c>
      <c r="T861" s="117">
        <v>2.8571428571428598E-2</v>
      </c>
      <c r="U861" s="117">
        <v>3.6458333333333301E-2</v>
      </c>
      <c r="V861" s="117">
        <v>6.6666666666666697E-3</v>
      </c>
      <c r="W861" s="6">
        <v>724</v>
      </c>
      <c r="X861" s="40">
        <f t="shared" si="62"/>
        <v>714</v>
      </c>
      <c r="Y861" s="40">
        <f t="shared" si="63"/>
        <v>724</v>
      </c>
      <c r="Z861" s="59">
        <v>0.4834</v>
      </c>
      <c r="AA861" s="59">
        <v>0.51659999999999995</v>
      </c>
      <c r="AB861" s="61">
        <v>0</v>
      </c>
      <c r="AC861" s="61">
        <v>9.6685082872928173E-3</v>
      </c>
      <c r="AD861" s="61">
        <v>0.58011049723756902</v>
      </c>
      <c r="AE861" s="61">
        <v>1.9337016574585635E-2</v>
      </c>
      <c r="AF861" s="61">
        <v>0</v>
      </c>
      <c r="AG861" s="61">
        <v>0.36740331491712708</v>
      </c>
      <c r="AH861" s="61">
        <v>2.3480662983425413E-2</v>
      </c>
      <c r="AI861" s="61">
        <v>0.63259668508287292</v>
      </c>
      <c r="AJ861" s="59">
        <v>0.83299999999999996</v>
      </c>
      <c r="AK861" s="59">
        <v>6.8999999999999999E-3</v>
      </c>
      <c r="AL861" s="3">
        <v>0</v>
      </c>
      <c r="AM861" s="3">
        <v>10</v>
      </c>
      <c r="AN861" s="3">
        <v>2</v>
      </c>
      <c r="AO861" s="3">
        <v>220</v>
      </c>
      <c r="AP861" s="3">
        <v>161</v>
      </c>
      <c r="AQ861" s="3">
        <v>190</v>
      </c>
      <c r="AR861" s="3">
        <v>141</v>
      </c>
      <c r="AS861" s="59">
        <v>9.0090090090090089E-3</v>
      </c>
      <c r="AT861" s="3">
        <v>8</v>
      </c>
      <c r="AU861" s="3">
        <v>6</v>
      </c>
      <c r="AV861" s="49">
        <v>63.341645885286802</v>
      </c>
      <c r="AW861" s="49">
        <v>16.209476309226901</v>
      </c>
      <c r="AX861" s="49">
        <v>19.451371571072301</v>
      </c>
      <c r="AY861" s="67">
        <v>0.99750623441396502</v>
      </c>
      <c r="AZ861" s="62">
        <v>0.10728476821192053</v>
      </c>
      <c r="BA861" s="62">
        <v>0.20264900662251656</v>
      </c>
      <c r="BB861" s="78">
        <v>91.928495918756397</v>
      </c>
      <c r="BC861" s="49">
        <v>22.793148880105399</v>
      </c>
      <c r="BD861" s="90" t="s">
        <v>83</v>
      </c>
      <c r="BE861" s="49">
        <v>0</v>
      </c>
      <c r="BF861" s="87">
        <v>13.9</v>
      </c>
      <c r="BG861" s="87">
        <v>4</v>
      </c>
      <c r="BH861" s="87">
        <v>3</v>
      </c>
      <c r="BI861" s="87">
        <v>1.4</v>
      </c>
      <c r="BJ861" s="49">
        <v>17.2</v>
      </c>
      <c r="BK861" s="126">
        <v>9337</v>
      </c>
      <c r="BL861" s="126">
        <v>48944</v>
      </c>
      <c r="BM861" s="126">
        <v>48126</v>
      </c>
      <c r="BN861" s="126">
        <v>40375</v>
      </c>
      <c r="BO861" s="59">
        <v>1.3100000000000001E-2</v>
      </c>
      <c r="BP861" s="59">
        <v>0.3755</v>
      </c>
      <c r="BQ861" s="59">
        <v>0.14319999999999999</v>
      </c>
      <c r="BR861" s="59">
        <v>0</v>
      </c>
      <c r="BS861" s="59">
        <v>0</v>
      </c>
      <c r="BT861" s="49">
        <v>13.7</v>
      </c>
      <c r="BU861" s="59">
        <f t="shared" si="64"/>
        <v>0.53180000000000005</v>
      </c>
      <c r="BV861" s="59">
        <v>3.9399999999999998E-2</v>
      </c>
      <c r="BW861" s="59">
        <v>1.3100000000000001E-2</v>
      </c>
      <c r="BX861" s="59">
        <v>3.9399999999999998E-2</v>
      </c>
      <c r="BY861" s="59">
        <v>0</v>
      </c>
      <c r="BZ861" s="59">
        <v>0</v>
      </c>
      <c r="CA861" s="49">
        <v>21</v>
      </c>
      <c r="CB861" s="59">
        <f t="shared" si="65"/>
        <v>9.1899999999999996E-2</v>
      </c>
      <c r="CC861" s="59">
        <v>0.3629</v>
      </c>
      <c r="CD861" s="59">
        <v>0.42149999999999999</v>
      </c>
      <c r="CE861" s="59">
        <v>0.2155</v>
      </c>
      <c r="CF861" s="59">
        <v>0</v>
      </c>
      <c r="CG861" s="59">
        <v>0</v>
      </c>
      <c r="CH861" s="49">
        <v>14</v>
      </c>
      <c r="CI861" s="26" t="s">
        <v>347</v>
      </c>
      <c r="CJ861" s="18" t="s">
        <v>489</v>
      </c>
      <c r="CK861" s="20"/>
    </row>
    <row r="862" spans="1:89" x14ac:dyDescent="0.25">
      <c r="A862" s="18" t="s">
        <v>489</v>
      </c>
      <c r="B862" s="19" t="s">
        <v>348</v>
      </c>
      <c r="C862" s="26" t="s">
        <v>349</v>
      </c>
      <c r="D862" s="6">
        <v>4</v>
      </c>
      <c r="E862" s="40" t="s">
        <v>83</v>
      </c>
      <c r="F862" s="6">
        <v>4</v>
      </c>
      <c r="G862" s="162" t="s">
        <v>83</v>
      </c>
      <c r="H862" s="162" t="s">
        <v>83</v>
      </c>
      <c r="I862" s="162" t="s">
        <v>83</v>
      </c>
      <c r="J862" s="164">
        <v>1</v>
      </c>
      <c r="K862" s="164">
        <v>1</v>
      </c>
      <c r="L862" s="164">
        <v>2</v>
      </c>
      <c r="M862" s="163">
        <v>0</v>
      </c>
      <c r="N862" s="117">
        <v>7.0796460176991097E-3</v>
      </c>
      <c r="O862" s="117">
        <v>7.0796460176991097E-3</v>
      </c>
      <c r="P862" s="116" t="s">
        <v>83</v>
      </c>
      <c r="Q862" s="116" t="s">
        <v>83</v>
      </c>
      <c r="R862" s="116" t="s">
        <v>83</v>
      </c>
      <c r="S862" s="117">
        <v>7.14285714285714E-3</v>
      </c>
      <c r="T862" s="117">
        <v>7.0422535211267599E-3</v>
      </c>
      <c r="U862" s="117">
        <v>1.4388489208633099E-2</v>
      </c>
      <c r="V862" s="115">
        <v>0</v>
      </c>
      <c r="W862" s="6">
        <v>537</v>
      </c>
      <c r="X862" s="40">
        <f t="shared" si="62"/>
        <v>537</v>
      </c>
      <c r="Y862" s="40">
        <f t="shared" si="63"/>
        <v>537</v>
      </c>
      <c r="Z862" s="59">
        <v>0.50649999999999995</v>
      </c>
      <c r="AA862" s="59">
        <v>0.49349999999999999</v>
      </c>
      <c r="AB862" s="61">
        <v>1.3035381750465549E-2</v>
      </c>
      <c r="AC862" s="61">
        <v>3.7243947858472998E-3</v>
      </c>
      <c r="AD862" s="61">
        <v>9.4972067039106142E-2</v>
      </c>
      <c r="AE862" s="61">
        <v>7.6350093109869649E-2</v>
      </c>
      <c r="AF862" s="61">
        <v>0</v>
      </c>
      <c r="AG862" s="61">
        <v>0.79143389199255121</v>
      </c>
      <c r="AH862" s="61">
        <v>2.0484171322160148E-2</v>
      </c>
      <c r="AI862" s="61">
        <v>0.20856610800744879</v>
      </c>
      <c r="AJ862" s="59">
        <v>0.47299999999999998</v>
      </c>
      <c r="AK862" s="59">
        <v>2.6100000000000002E-2</v>
      </c>
      <c r="AL862" s="3">
        <v>0</v>
      </c>
      <c r="AM862" s="3">
        <v>0</v>
      </c>
      <c r="AN862" s="3">
        <v>0</v>
      </c>
      <c r="AO862" s="3">
        <v>133</v>
      </c>
      <c r="AP862" s="3">
        <v>135</v>
      </c>
      <c r="AQ862" s="3">
        <v>128</v>
      </c>
      <c r="AR862" s="3">
        <v>141</v>
      </c>
      <c r="AS862" s="59">
        <v>0</v>
      </c>
      <c r="AT862" s="3">
        <v>9</v>
      </c>
      <c r="AU862" s="3">
        <v>6</v>
      </c>
      <c r="AV862" s="49">
        <v>62.589928057553998</v>
      </c>
      <c r="AW862" s="49">
        <v>26.258992805755398</v>
      </c>
      <c r="AX862" s="49">
        <v>8.9928057553956808</v>
      </c>
      <c r="AY862" s="67">
        <v>2.1582733812949599</v>
      </c>
      <c r="AZ862" s="62">
        <v>6.7495559502664296E-2</v>
      </c>
      <c r="BA862" s="62">
        <v>3.552397868561279E-3</v>
      </c>
      <c r="BB862" s="77">
        <v>94.482945610324805</v>
      </c>
      <c r="BC862" s="49">
        <v>12.433392539964499</v>
      </c>
      <c r="BD862" s="90" t="s">
        <v>83</v>
      </c>
      <c r="BE862" s="90" t="s">
        <v>83</v>
      </c>
      <c r="BF862" s="49">
        <v>0</v>
      </c>
      <c r="BG862" s="87">
        <v>1.5</v>
      </c>
      <c r="BH862" s="49">
        <v>0</v>
      </c>
      <c r="BI862" s="49">
        <v>0</v>
      </c>
      <c r="BJ862" s="49">
        <v>20.9</v>
      </c>
      <c r="BK862" s="126">
        <v>10103</v>
      </c>
      <c r="BL862" s="126">
        <v>49449</v>
      </c>
      <c r="BM862" s="126">
        <v>34862</v>
      </c>
      <c r="BN862" s="126">
        <v>41178</v>
      </c>
      <c r="BO862" s="59">
        <v>0</v>
      </c>
      <c r="BP862" s="59">
        <v>0.4083</v>
      </c>
      <c r="BQ862" s="59">
        <v>0.20280000000000001</v>
      </c>
      <c r="BR862" s="59">
        <v>4.4000000000000003E-3</v>
      </c>
      <c r="BS862" s="59">
        <v>0</v>
      </c>
      <c r="BT862" s="49">
        <v>11.1</v>
      </c>
      <c r="BU862" s="59">
        <f t="shared" si="64"/>
        <v>0.61549999999999994</v>
      </c>
      <c r="BV862" s="59">
        <v>5.33E-2</v>
      </c>
      <c r="BW862" s="59">
        <v>0</v>
      </c>
      <c r="BX862" s="59">
        <v>1.78E-2</v>
      </c>
      <c r="BY862" s="59">
        <v>0</v>
      </c>
      <c r="BZ862" s="59">
        <v>0</v>
      </c>
      <c r="CA862" s="49">
        <v>9.3000000000000007</v>
      </c>
      <c r="CB862" s="59">
        <f t="shared" si="65"/>
        <v>7.1099999999999997E-2</v>
      </c>
      <c r="CC862" s="59">
        <v>0.31819999999999998</v>
      </c>
      <c r="CD862" s="59">
        <v>0.43120000000000003</v>
      </c>
      <c r="CE862" s="59">
        <v>0.24610000000000001</v>
      </c>
      <c r="CF862" s="59">
        <v>4.4000000000000003E-3</v>
      </c>
      <c r="CG862" s="59">
        <v>0</v>
      </c>
      <c r="CH862" s="49">
        <v>11</v>
      </c>
      <c r="CI862" s="26" t="s">
        <v>349</v>
      </c>
      <c r="CJ862" s="18" t="s">
        <v>489</v>
      </c>
      <c r="CK862" s="20"/>
    </row>
    <row r="863" spans="1:89" x14ac:dyDescent="0.25">
      <c r="A863" s="18" t="s">
        <v>489</v>
      </c>
      <c r="B863" s="19" t="s">
        <v>348</v>
      </c>
      <c r="C863" s="26" t="s">
        <v>350</v>
      </c>
      <c r="D863" s="6">
        <v>0</v>
      </c>
      <c r="E863" s="6">
        <v>0</v>
      </c>
      <c r="F863" s="6">
        <v>0</v>
      </c>
      <c r="G863" s="163">
        <v>0</v>
      </c>
      <c r="H863" s="163">
        <v>0</v>
      </c>
      <c r="I863" s="162" t="s">
        <v>83</v>
      </c>
      <c r="J863" s="163">
        <v>0</v>
      </c>
      <c r="K863" s="163">
        <v>0</v>
      </c>
      <c r="L863" s="163">
        <v>0</v>
      </c>
      <c r="M863" s="163">
        <v>0</v>
      </c>
      <c r="N863" s="115">
        <v>0</v>
      </c>
      <c r="O863" s="115">
        <v>0</v>
      </c>
      <c r="P863" s="115">
        <v>0</v>
      </c>
      <c r="Q863" s="115">
        <v>0</v>
      </c>
      <c r="R863" s="116" t="s">
        <v>83</v>
      </c>
      <c r="S863" s="115">
        <v>0</v>
      </c>
      <c r="T863" s="115">
        <v>0</v>
      </c>
      <c r="U863" s="115">
        <v>0</v>
      </c>
      <c r="V863" s="115">
        <v>0</v>
      </c>
      <c r="W863" s="6">
        <v>583</v>
      </c>
      <c r="X863" s="40">
        <f t="shared" si="62"/>
        <v>168</v>
      </c>
      <c r="Y863" s="40">
        <f t="shared" si="63"/>
        <v>261</v>
      </c>
      <c r="Z863" s="59">
        <v>0.50600000000000001</v>
      </c>
      <c r="AA863" s="59">
        <v>0.49399999999999999</v>
      </c>
      <c r="AB863" s="61">
        <v>1.8867924528301886E-2</v>
      </c>
      <c r="AC863" s="61">
        <v>0</v>
      </c>
      <c r="AD863" s="61">
        <v>0.28987993138936535</v>
      </c>
      <c r="AE863" s="61">
        <v>2.9159519725557463E-2</v>
      </c>
      <c r="AF863" s="61">
        <v>0</v>
      </c>
      <c r="AG863" s="61">
        <v>0.58147512864494</v>
      </c>
      <c r="AH863" s="61">
        <v>8.0617495711835338E-2</v>
      </c>
      <c r="AI863" s="61">
        <v>0.41852487135506006</v>
      </c>
      <c r="AJ863" s="59">
        <v>0.71699999999999997</v>
      </c>
      <c r="AK863" s="59">
        <v>6.8999999999999999E-3</v>
      </c>
      <c r="AL863" s="3">
        <v>43</v>
      </c>
      <c r="AM863" s="3">
        <v>50</v>
      </c>
      <c r="AN863" s="3">
        <v>0</v>
      </c>
      <c r="AO863" s="3">
        <v>40</v>
      </c>
      <c r="AP863" s="3">
        <v>43</v>
      </c>
      <c r="AQ863" s="3">
        <v>38</v>
      </c>
      <c r="AR863" s="3">
        <v>47</v>
      </c>
      <c r="AS863" s="59">
        <v>0</v>
      </c>
      <c r="AT863" s="3">
        <v>1</v>
      </c>
      <c r="AU863" s="3">
        <v>6</v>
      </c>
      <c r="AV863" s="49">
        <v>65.502183406113502</v>
      </c>
      <c r="AW863" s="49">
        <v>32.751091703056801</v>
      </c>
      <c r="AX863" s="49">
        <v>1.74672489082969</v>
      </c>
      <c r="AY863" s="67">
        <v>0</v>
      </c>
      <c r="AZ863" s="62">
        <v>0.10185185185185185</v>
      </c>
      <c r="BA863" s="62">
        <v>6.1728395061728392E-3</v>
      </c>
      <c r="BB863" s="78">
        <v>93.050721633581801</v>
      </c>
      <c r="BC863" s="49">
        <v>36.363636363636402</v>
      </c>
      <c r="BD863" s="49">
        <v>0</v>
      </c>
      <c r="BE863" s="49">
        <v>0</v>
      </c>
      <c r="BF863" s="87">
        <v>7.7</v>
      </c>
      <c r="BG863" s="87">
        <v>4.7</v>
      </c>
      <c r="BH863" s="87">
        <v>0</v>
      </c>
      <c r="BI863" s="87">
        <v>2.2000000000000002</v>
      </c>
      <c r="BJ863" s="49">
        <v>17.3</v>
      </c>
      <c r="BK863" s="126">
        <v>11571</v>
      </c>
      <c r="BL863" s="126">
        <v>49741</v>
      </c>
      <c r="BM863" s="126">
        <v>46458</v>
      </c>
      <c r="BN863" s="126">
        <v>41154</v>
      </c>
      <c r="BO863" s="59">
        <v>0</v>
      </c>
      <c r="BP863" s="59">
        <v>0.43630000000000002</v>
      </c>
      <c r="BQ863" s="59">
        <v>0.1076</v>
      </c>
      <c r="BR863" s="59">
        <v>0</v>
      </c>
      <c r="BS863" s="59">
        <v>0</v>
      </c>
      <c r="BT863" s="49">
        <v>17.100000000000001</v>
      </c>
      <c r="BU863" s="59">
        <f t="shared" si="64"/>
        <v>0.54390000000000005</v>
      </c>
      <c r="BV863" s="59">
        <v>2.9700000000000001E-2</v>
      </c>
      <c r="BW863" s="59">
        <v>0</v>
      </c>
      <c r="BX863" s="59">
        <v>3.9199999999999999E-2</v>
      </c>
      <c r="BY863" s="59">
        <v>0</v>
      </c>
      <c r="BZ863" s="59">
        <v>0</v>
      </c>
      <c r="CA863" s="49">
        <v>15.9</v>
      </c>
      <c r="CB863" s="59">
        <f t="shared" si="65"/>
        <v>6.8900000000000003E-2</v>
      </c>
      <c r="CC863" s="59">
        <v>0.33850000000000002</v>
      </c>
      <c r="CD863" s="59">
        <v>0.4708</v>
      </c>
      <c r="CE863" s="59">
        <v>0.19070000000000001</v>
      </c>
      <c r="CF863" s="59">
        <v>0</v>
      </c>
      <c r="CG863" s="59">
        <v>0</v>
      </c>
      <c r="CH863" s="49">
        <v>15.6</v>
      </c>
      <c r="CI863" s="26" t="s">
        <v>350</v>
      </c>
      <c r="CJ863" s="18" t="s">
        <v>489</v>
      </c>
      <c r="CK863" s="20"/>
    </row>
    <row r="864" spans="1:89" x14ac:dyDescent="0.25">
      <c r="A864" s="18" t="s">
        <v>489</v>
      </c>
      <c r="B864" s="19" t="s">
        <v>348</v>
      </c>
      <c r="C864" s="26" t="s">
        <v>351</v>
      </c>
      <c r="D864" s="6">
        <v>6</v>
      </c>
      <c r="E864" s="40" t="s">
        <v>83</v>
      </c>
      <c r="F864" s="6">
        <v>6</v>
      </c>
      <c r="G864" s="162" t="s">
        <v>83</v>
      </c>
      <c r="H864" s="162" t="s">
        <v>83</v>
      </c>
      <c r="I864" s="164">
        <v>2</v>
      </c>
      <c r="J864" s="164">
        <v>2</v>
      </c>
      <c r="K864" s="163">
        <v>0</v>
      </c>
      <c r="L864" s="163">
        <v>0</v>
      </c>
      <c r="M864" s="164">
        <v>2</v>
      </c>
      <c r="N864" s="117">
        <v>1.5665796344647501E-2</v>
      </c>
      <c r="O864" s="117">
        <v>1.5665796344647501E-2</v>
      </c>
      <c r="P864" s="116" t="s">
        <v>83</v>
      </c>
      <c r="Q864" s="116" t="s">
        <v>83</v>
      </c>
      <c r="R864" s="117">
        <v>0.5</v>
      </c>
      <c r="S864" s="117">
        <v>2.06185567010309E-2</v>
      </c>
      <c r="T864" s="115">
        <v>0</v>
      </c>
      <c r="U864" s="115">
        <v>0</v>
      </c>
      <c r="V864" s="117">
        <v>2.02020202020202E-2</v>
      </c>
      <c r="W864" s="6">
        <v>353</v>
      </c>
      <c r="X864" s="40">
        <f t="shared" si="62"/>
        <v>353</v>
      </c>
      <c r="Y864" s="40">
        <f t="shared" si="63"/>
        <v>353</v>
      </c>
      <c r="Z864" s="59">
        <v>0.49009999999999998</v>
      </c>
      <c r="AA864" s="59">
        <v>0.50990000000000002</v>
      </c>
      <c r="AB864" s="61">
        <v>0</v>
      </c>
      <c r="AC864" s="61">
        <v>0</v>
      </c>
      <c r="AD864" s="61">
        <v>0.73087818696883855</v>
      </c>
      <c r="AE864" s="61">
        <v>4.2492917847025496E-2</v>
      </c>
      <c r="AF864" s="61">
        <v>0</v>
      </c>
      <c r="AG864" s="61">
        <v>0.21246458923512748</v>
      </c>
      <c r="AH864" s="61">
        <v>1.4164305949008499E-2</v>
      </c>
      <c r="AI864" s="61">
        <v>0.78753541076487255</v>
      </c>
      <c r="AJ864" s="59">
        <v>0.85</v>
      </c>
      <c r="AK864" s="59">
        <v>2.5499999999999998E-2</v>
      </c>
      <c r="AL864" s="3">
        <v>0</v>
      </c>
      <c r="AM864" s="3">
        <v>0</v>
      </c>
      <c r="AN864" s="3">
        <v>6</v>
      </c>
      <c r="AO864" s="3">
        <v>97</v>
      </c>
      <c r="AP864" s="3">
        <v>85</v>
      </c>
      <c r="AQ864" s="3">
        <v>79</v>
      </c>
      <c r="AR864" s="3">
        <v>86</v>
      </c>
      <c r="AS864" s="59">
        <v>5.8252427184466021E-2</v>
      </c>
      <c r="AT864" s="3">
        <v>9</v>
      </c>
      <c r="AU864" s="3">
        <v>6</v>
      </c>
      <c r="AV864" s="49">
        <v>78.030303030303003</v>
      </c>
      <c r="AW864" s="49">
        <v>14.772727272727302</v>
      </c>
      <c r="AX864" s="49">
        <v>7.1969696969696999</v>
      </c>
      <c r="AY864" s="67">
        <v>0</v>
      </c>
      <c r="AZ864" s="62">
        <v>0.34908136482939633</v>
      </c>
      <c r="BA864" s="62">
        <v>3.4120734908136482E-2</v>
      </c>
      <c r="BB864" s="77">
        <v>92.197949897171</v>
      </c>
      <c r="BC864" s="49">
        <v>27.225130890052402</v>
      </c>
      <c r="BD864" s="90" t="s">
        <v>83</v>
      </c>
      <c r="BE864" s="90" t="s">
        <v>83</v>
      </c>
      <c r="BF864" s="87">
        <v>10.8</v>
      </c>
      <c r="BG864" s="87">
        <v>7</v>
      </c>
      <c r="BH864" s="87">
        <v>8.1</v>
      </c>
      <c r="BI864" s="87">
        <v>4.3</v>
      </c>
      <c r="BJ864" s="49">
        <v>17.3</v>
      </c>
      <c r="BK864" s="126">
        <v>12258</v>
      </c>
      <c r="BL864" s="126">
        <v>50098</v>
      </c>
      <c r="BM864" s="126">
        <v>45454</v>
      </c>
      <c r="BN864" s="126">
        <v>41571</v>
      </c>
      <c r="BO864" s="59">
        <v>2.1000000000000001E-2</v>
      </c>
      <c r="BP864" s="59">
        <v>0.35680000000000001</v>
      </c>
      <c r="BQ864" s="59">
        <v>0.1416</v>
      </c>
      <c r="BR864" s="59">
        <v>0</v>
      </c>
      <c r="BS864" s="59">
        <v>0</v>
      </c>
      <c r="BT864" s="49">
        <v>14.1</v>
      </c>
      <c r="BU864" s="59">
        <f t="shared" si="64"/>
        <v>0.51940000000000008</v>
      </c>
      <c r="BV864" s="59">
        <v>5.7099999999999998E-2</v>
      </c>
      <c r="BW864" s="59">
        <v>0</v>
      </c>
      <c r="BX864" s="59">
        <v>4.2000000000000003E-2</v>
      </c>
      <c r="BY864" s="59">
        <v>0</v>
      </c>
      <c r="BZ864" s="59">
        <v>0</v>
      </c>
      <c r="CA864" s="49">
        <v>21.5</v>
      </c>
      <c r="CB864" s="59">
        <f t="shared" si="65"/>
        <v>9.9099999999999994E-2</v>
      </c>
      <c r="CC864" s="59">
        <v>0.36980000000000002</v>
      </c>
      <c r="CD864" s="59">
        <v>0.3891</v>
      </c>
      <c r="CE864" s="59">
        <v>0.24110000000000001</v>
      </c>
      <c r="CF864" s="59">
        <v>0</v>
      </c>
      <c r="CG864" s="59">
        <v>0</v>
      </c>
      <c r="CH864" s="49">
        <v>15</v>
      </c>
      <c r="CI864" s="26" t="s">
        <v>351</v>
      </c>
      <c r="CJ864" s="18" t="s">
        <v>489</v>
      </c>
      <c r="CK864" s="20"/>
    </row>
    <row r="865" spans="1:99" x14ac:dyDescent="0.25">
      <c r="A865" s="18" t="s">
        <v>489</v>
      </c>
      <c r="B865" s="19" t="s">
        <v>348</v>
      </c>
      <c r="C865" s="26" t="s">
        <v>352</v>
      </c>
      <c r="D865" s="6">
        <v>4</v>
      </c>
      <c r="E865" s="40" t="s">
        <v>83</v>
      </c>
      <c r="F865" s="6">
        <v>4</v>
      </c>
      <c r="G865" s="162" t="s">
        <v>83</v>
      </c>
      <c r="H865" s="162" t="s">
        <v>83</v>
      </c>
      <c r="I865" s="163">
        <v>0</v>
      </c>
      <c r="J865" s="164">
        <v>2</v>
      </c>
      <c r="K865" s="163">
        <v>0</v>
      </c>
      <c r="L865" s="164">
        <v>1</v>
      </c>
      <c r="M865" s="164">
        <v>1</v>
      </c>
      <c r="N865" s="117">
        <v>4.9443757725587097E-3</v>
      </c>
      <c r="O865" s="117">
        <v>4.9443757725587097E-3</v>
      </c>
      <c r="P865" s="116" t="s">
        <v>83</v>
      </c>
      <c r="Q865" s="116" t="s">
        <v>83</v>
      </c>
      <c r="R865" s="115">
        <v>0</v>
      </c>
      <c r="S865" s="117">
        <v>8.0000000000000002E-3</v>
      </c>
      <c r="T865" s="115">
        <v>0</v>
      </c>
      <c r="U865" s="117">
        <v>4.8309178743961402E-3</v>
      </c>
      <c r="V865" s="117">
        <v>6.8027210884353704E-3</v>
      </c>
      <c r="W865" s="6">
        <v>765</v>
      </c>
      <c r="X865" s="40">
        <f t="shared" si="62"/>
        <v>765</v>
      </c>
      <c r="Y865" s="40">
        <f t="shared" si="63"/>
        <v>765</v>
      </c>
      <c r="Z865" s="59">
        <v>0.49149999999999999</v>
      </c>
      <c r="AA865" s="59">
        <v>0.50849999999999995</v>
      </c>
      <c r="AB865" s="61">
        <v>3.9215686274509803E-3</v>
      </c>
      <c r="AC865" s="61">
        <v>4.7058823529411764E-2</v>
      </c>
      <c r="AD865" s="61">
        <v>0.23529411764705882</v>
      </c>
      <c r="AE865" s="61">
        <v>0.17516339869281045</v>
      </c>
      <c r="AF865" s="61">
        <v>0</v>
      </c>
      <c r="AG865" s="61">
        <v>0.51372549019607838</v>
      </c>
      <c r="AH865" s="61">
        <v>2.4836601307189541E-2</v>
      </c>
      <c r="AI865" s="61">
        <v>0.48627450980392156</v>
      </c>
      <c r="AJ865" s="59">
        <v>0.66900000000000004</v>
      </c>
      <c r="AK865" s="59">
        <v>7.3200000000000001E-2</v>
      </c>
      <c r="AL865" s="3">
        <v>0</v>
      </c>
      <c r="AM865" s="3">
        <v>0</v>
      </c>
      <c r="AN865" s="3">
        <v>6</v>
      </c>
      <c r="AO865" s="3">
        <v>231</v>
      </c>
      <c r="AP865" s="3">
        <v>183</v>
      </c>
      <c r="AQ865" s="3">
        <v>197</v>
      </c>
      <c r="AR865" s="3">
        <v>148</v>
      </c>
      <c r="AS865" s="59">
        <v>2.5316455696202531E-2</v>
      </c>
      <c r="AT865" s="3">
        <v>9</v>
      </c>
      <c r="AU865" s="3">
        <v>6</v>
      </c>
      <c r="AV865" s="49">
        <v>63.909774436090203</v>
      </c>
      <c r="AW865" s="49">
        <v>21.303258145363397</v>
      </c>
      <c r="AX865" s="49">
        <v>14.0350877192982</v>
      </c>
      <c r="AY865" s="67">
        <v>0.75187969924812004</v>
      </c>
      <c r="AZ865" s="62">
        <v>0.1515527950310559</v>
      </c>
      <c r="BA865" s="62">
        <v>0</v>
      </c>
      <c r="BB865" s="78">
        <v>94.063005767170395</v>
      </c>
      <c r="BC865" s="49">
        <v>15.5940594059406</v>
      </c>
      <c r="BD865" s="90" t="s">
        <v>83</v>
      </c>
      <c r="BE865" s="90" t="s">
        <v>83</v>
      </c>
      <c r="BF865" s="87">
        <v>6.7</v>
      </c>
      <c r="BG865" s="87">
        <v>3.9</v>
      </c>
      <c r="BH865" s="49">
        <v>0</v>
      </c>
      <c r="BI865" s="49">
        <v>0</v>
      </c>
      <c r="BJ865" s="49">
        <v>19.2</v>
      </c>
      <c r="BK865" s="126">
        <v>10023</v>
      </c>
      <c r="BL865" s="126">
        <v>47709</v>
      </c>
      <c r="BM865" s="126">
        <v>39877</v>
      </c>
      <c r="BN865" s="126">
        <v>42183</v>
      </c>
      <c r="BO865" s="59">
        <v>2.7400000000000001E-2</v>
      </c>
      <c r="BP865" s="59">
        <v>0.46089999999999998</v>
      </c>
      <c r="BQ865" s="59">
        <v>0.17380000000000001</v>
      </c>
      <c r="BR865" s="59">
        <v>0</v>
      </c>
      <c r="BS865" s="59">
        <v>0</v>
      </c>
      <c r="BT865" s="49">
        <v>13.5</v>
      </c>
      <c r="BU865" s="59">
        <f t="shared" si="64"/>
        <v>0.66209999999999991</v>
      </c>
      <c r="BV865" s="59">
        <v>4.1099999999999998E-2</v>
      </c>
      <c r="BW865" s="59">
        <v>0</v>
      </c>
      <c r="BX865" s="59">
        <v>3.9899999999999998E-2</v>
      </c>
      <c r="BY865" s="59">
        <v>0</v>
      </c>
      <c r="BZ865" s="59">
        <v>0</v>
      </c>
      <c r="CA865" s="49">
        <v>15.4</v>
      </c>
      <c r="CB865" s="59">
        <f t="shared" si="65"/>
        <v>8.0999999999999989E-2</v>
      </c>
      <c r="CC865" s="59">
        <v>0.26500000000000001</v>
      </c>
      <c r="CD865" s="59">
        <v>0.4713</v>
      </c>
      <c r="CE865" s="59">
        <v>0.2636</v>
      </c>
      <c r="CF865" s="59">
        <v>0</v>
      </c>
      <c r="CG865" s="59">
        <v>0</v>
      </c>
      <c r="CH865" s="49">
        <v>13.8</v>
      </c>
      <c r="CI865" s="26" t="s">
        <v>352</v>
      </c>
      <c r="CJ865" s="18" t="s">
        <v>489</v>
      </c>
      <c r="CK865" s="20"/>
    </row>
    <row r="866" spans="1:99" x14ac:dyDescent="0.25">
      <c r="A866" s="18" t="s">
        <v>489</v>
      </c>
      <c r="B866" s="19" t="s">
        <v>348</v>
      </c>
      <c r="C866" s="26" t="s">
        <v>353</v>
      </c>
      <c r="D866" s="6">
        <v>3</v>
      </c>
      <c r="E866" s="40" t="s">
        <v>83</v>
      </c>
      <c r="F866" s="6">
        <v>3</v>
      </c>
      <c r="G866" s="162" t="s">
        <v>83</v>
      </c>
      <c r="H866" s="162" t="s">
        <v>83</v>
      </c>
      <c r="I866" s="162" t="s">
        <v>83</v>
      </c>
      <c r="J866" s="164">
        <v>1</v>
      </c>
      <c r="K866" s="163">
        <v>0</v>
      </c>
      <c r="L866" s="164">
        <v>1</v>
      </c>
      <c r="M866" s="164">
        <v>1</v>
      </c>
      <c r="N866" s="117">
        <v>6.13496932515337E-3</v>
      </c>
      <c r="O866" s="117">
        <v>6.13496932515337E-3</v>
      </c>
      <c r="P866" s="116" t="s">
        <v>83</v>
      </c>
      <c r="Q866" s="116" t="s">
        <v>83</v>
      </c>
      <c r="R866" s="116" t="s">
        <v>83</v>
      </c>
      <c r="S866" s="117">
        <v>6.2111801242236003E-3</v>
      </c>
      <c r="T866" s="115">
        <v>0</v>
      </c>
      <c r="U866" s="117">
        <v>9.0909090909090905E-3</v>
      </c>
      <c r="V866" s="117">
        <v>1.05263157894737E-2</v>
      </c>
      <c r="W866" s="6">
        <v>461</v>
      </c>
      <c r="X866" s="40">
        <f t="shared" si="62"/>
        <v>461</v>
      </c>
      <c r="Y866" s="40">
        <f t="shared" si="63"/>
        <v>461</v>
      </c>
      <c r="Z866" s="59">
        <v>0.47510000000000002</v>
      </c>
      <c r="AA866" s="59">
        <v>0.52490000000000003</v>
      </c>
      <c r="AB866" s="61">
        <v>1.0845986984815618E-2</v>
      </c>
      <c r="AC866" s="61">
        <v>0</v>
      </c>
      <c r="AD866" s="61">
        <v>0.42950108459869846</v>
      </c>
      <c r="AE866" s="61">
        <v>4.7722342733188719E-2</v>
      </c>
      <c r="AF866" s="61">
        <v>2.1691973969631237E-3</v>
      </c>
      <c r="AG866" s="61">
        <v>0.48590021691973967</v>
      </c>
      <c r="AH866" s="61">
        <v>2.3861171366594359E-2</v>
      </c>
      <c r="AI866" s="61">
        <v>0.51409978308026028</v>
      </c>
      <c r="AJ866" s="59">
        <v>0.68300000000000005</v>
      </c>
      <c r="AK866" s="59">
        <v>1.7399999999999999E-2</v>
      </c>
      <c r="AL866" s="3">
        <v>0</v>
      </c>
      <c r="AM866" s="3">
        <v>0</v>
      </c>
      <c r="AN866" s="3">
        <v>0</v>
      </c>
      <c r="AO866" s="3">
        <v>150</v>
      </c>
      <c r="AP866" s="3">
        <v>116</v>
      </c>
      <c r="AQ866" s="3">
        <v>103</v>
      </c>
      <c r="AR866" s="3">
        <v>92</v>
      </c>
      <c r="AS866" s="59">
        <v>0</v>
      </c>
      <c r="AT866" s="3">
        <v>9</v>
      </c>
      <c r="AU866" s="3">
        <v>6</v>
      </c>
      <c r="AV866" s="49">
        <v>43.478260869565197</v>
      </c>
      <c r="AW866" s="49">
        <v>36.413043478260896</v>
      </c>
      <c r="AX866" s="49">
        <v>19.565217391304298</v>
      </c>
      <c r="AY866" s="67">
        <v>0.54347826086956508</v>
      </c>
      <c r="AZ866" s="62">
        <v>0.22745901639344263</v>
      </c>
      <c r="BA866" s="62">
        <v>2.4590163934426229E-2</v>
      </c>
      <c r="BB866" s="77">
        <v>93.451577421128903</v>
      </c>
      <c r="BC866" s="49">
        <v>21.267893660531701</v>
      </c>
      <c r="BD866" s="90" t="s">
        <v>83</v>
      </c>
      <c r="BE866" s="90" t="s">
        <v>83</v>
      </c>
      <c r="BF866" s="87">
        <v>9.8000000000000007</v>
      </c>
      <c r="BG866" s="49">
        <v>0</v>
      </c>
      <c r="BH866" s="49">
        <v>0</v>
      </c>
      <c r="BI866" s="87">
        <v>1.1000000000000001</v>
      </c>
      <c r="BJ866" s="49">
        <v>17.8</v>
      </c>
      <c r="BK866" s="126">
        <v>9415</v>
      </c>
      <c r="BL866" s="126">
        <v>44360</v>
      </c>
      <c r="BM866" s="126">
        <v>40280</v>
      </c>
      <c r="BN866" s="126">
        <v>38260</v>
      </c>
      <c r="BO866" s="59">
        <v>0</v>
      </c>
      <c r="BP866" s="59">
        <v>0.31430000000000002</v>
      </c>
      <c r="BQ866" s="59">
        <v>0.24460000000000001</v>
      </c>
      <c r="BR866" s="59">
        <v>5.4000000000000003E-3</v>
      </c>
      <c r="BS866" s="59">
        <v>0</v>
      </c>
      <c r="BT866" s="49">
        <v>8.8000000000000007</v>
      </c>
      <c r="BU866" s="59">
        <f t="shared" si="64"/>
        <v>0.56430000000000002</v>
      </c>
      <c r="BV866" s="59">
        <v>4.2799999999999998E-2</v>
      </c>
      <c r="BW866" s="59">
        <v>0</v>
      </c>
      <c r="BX866" s="59">
        <v>4.0599999999999997E-2</v>
      </c>
      <c r="BY866" s="59">
        <v>0</v>
      </c>
      <c r="BZ866" s="59">
        <v>0</v>
      </c>
      <c r="CA866" s="49">
        <v>10</v>
      </c>
      <c r="CB866" s="59">
        <f t="shared" si="65"/>
        <v>8.3400000000000002E-2</v>
      </c>
      <c r="CC866" s="59">
        <v>0.2676</v>
      </c>
      <c r="CD866" s="59">
        <v>0.4103</v>
      </c>
      <c r="CE866" s="59">
        <v>0.31530000000000002</v>
      </c>
      <c r="CF866" s="59">
        <v>6.7999999999999996E-3</v>
      </c>
      <c r="CG866" s="59">
        <v>0</v>
      </c>
      <c r="CH866" s="49">
        <v>9.1999999999999993</v>
      </c>
      <c r="CI866" s="26" t="s">
        <v>353</v>
      </c>
      <c r="CJ866" s="18" t="s">
        <v>489</v>
      </c>
      <c r="CK866" s="20"/>
    </row>
    <row r="867" spans="1:99" ht="15.75" thickBot="1" x14ac:dyDescent="0.3">
      <c r="A867" s="18" t="s">
        <v>489</v>
      </c>
      <c r="B867" s="19" t="s">
        <v>348</v>
      </c>
      <c r="C867" s="26" t="s">
        <v>354</v>
      </c>
      <c r="D867" s="6">
        <v>1</v>
      </c>
      <c r="E867" s="40" t="s">
        <v>83</v>
      </c>
      <c r="F867" s="6">
        <v>1</v>
      </c>
      <c r="G867" s="162" t="s">
        <v>83</v>
      </c>
      <c r="H867" s="162" t="s">
        <v>83</v>
      </c>
      <c r="I867" s="163">
        <v>0</v>
      </c>
      <c r="J867" s="163">
        <v>0</v>
      </c>
      <c r="K867" s="164">
        <v>1</v>
      </c>
      <c r="L867" s="163">
        <v>0</v>
      </c>
      <c r="M867" s="163">
        <v>0</v>
      </c>
      <c r="N867" s="117">
        <v>2.6809651474530801E-3</v>
      </c>
      <c r="O867" s="117">
        <v>2.6809651474530801E-3</v>
      </c>
      <c r="P867" s="116" t="s">
        <v>83</v>
      </c>
      <c r="Q867" s="116" t="s">
        <v>83</v>
      </c>
      <c r="R867" s="115">
        <v>0</v>
      </c>
      <c r="S867" s="115">
        <v>0</v>
      </c>
      <c r="T867" s="117">
        <v>1.02040816326531E-2</v>
      </c>
      <c r="U867" s="115">
        <v>0</v>
      </c>
      <c r="V867" s="115">
        <v>0</v>
      </c>
      <c r="W867" s="6">
        <v>347</v>
      </c>
      <c r="X867" s="40">
        <f t="shared" si="62"/>
        <v>347</v>
      </c>
      <c r="Y867" s="40">
        <f t="shared" si="63"/>
        <v>347</v>
      </c>
      <c r="Z867" s="59">
        <v>0.50719999999999998</v>
      </c>
      <c r="AA867" s="59">
        <v>0.49280000000000002</v>
      </c>
      <c r="AB867" s="61">
        <v>2.3054755043227664E-2</v>
      </c>
      <c r="AC867" s="61">
        <v>5.763688760806916E-3</v>
      </c>
      <c r="AD867" s="61">
        <v>0.74063400576368876</v>
      </c>
      <c r="AE867" s="61">
        <v>8.6455331412103754E-3</v>
      </c>
      <c r="AF867" s="61">
        <v>0</v>
      </c>
      <c r="AG867" s="61">
        <v>0.17002881844380405</v>
      </c>
      <c r="AH867" s="61">
        <v>5.1873198847262249E-2</v>
      </c>
      <c r="AI867" s="61">
        <v>0.82997118155619598</v>
      </c>
      <c r="AJ867" s="59">
        <v>0.81799999999999995</v>
      </c>
      <c r="AK867" s="59">
        <v>2.8999999999999998E-3</v>
      </c>
      <c r="AL867" s="3">
        <v>0</v>
      </c>
      <c r="AM867" s="3">
        <v>0</v>
      </c>
      <c r="AN867" s="3">
        <v>3</v>
      </c>
      <c r="AO867" s="3">
        <v>113</v>
      </c>
      <c r="AP867" s="3">
        <v>88</v>
      </c>
      <c r="AQ867" s="3">
        <v>72</v>
      </c>
      <c r="AR867" s="3">
        <v>71</v>
      </c>
      <c r="AS867" s="59">
        <v>2.5862068965517241E-2</v>
      </c>
      <c r="AT867" s="3">
        <v>9</v>
      </c>
      <c r="AU867" s="3">
        <v>6</v>
      </c>
      <c r="AV867" s="49">
        <v>74.6666666666667</v>
      </c>
      <c r="AW867" s="49">
        <v>16.8888888888889</v>
      </c>
      <c r="AX867" s="49">
        <v>8</v>
      </c>
      <c r="AY867" s="67">
        <v>0.44444444444444403</v>
      </c>
      <c r="AZ867" s="62">
        <v>0.26541554959785524</v>
      </c>
      <c r="BA867" s="62">
        <v>8.8471849865951746E-2</v>
      </c>
      <c r="BB867" s="78">
        <v>91.507688750144496</v>
      </c>
      <c r="BC867" s="49">
        <v>31.367292225201101</v>
      </c>
      <c r="BD867" s="90" t="s">
        <v>83</v>
      </c>
      <c r="BE867" s="90" t="s">
        <v>83</v>
      </c>
      <c r="BF867" s="87">
        <v>4.5999999999999996</v>
      </c>
      <c r="BG867" s="87">
        <v>3.6</v>
      </c>
      <c r="BH867" s="87">
        <v>0</v>
      </c>
      <c r="BI867" s="87">
        <v>1.5</v>
      </c>
      <c r="BJ867" s="49">
        <v>16.899999999999999</v>
      </c>
      <c r="BK867" s="126">
        <v>11779</v>
      </c>
      <c r="BL867" s="126">
        <v>48828</v>
      </c>
      <c r="BM867" s="126">
        <v>49945</v>
      </c>
      <c r="BN867" s="126">
        <v>39485</v>
      </c>
      <c r="BO867" s="59">
        <v>0</v>
      </c>
      <c r="BP867" s="59">
        <v>0.33750000000000002</v>
      </c>
      <c r="BQ867" s="59">
        <v>0.1351</v>
      </c>
      <c r="BR867" s="59">
        <v>4.2200000000000001E-2</v>
      </c>
      <c r="BS867" s="59">
        <v>0</v>
      </c>
      <c r="BT867" s="49">
        <v>13.8</v>
      </c>
      <c r="BU867" s="59">
        <f t="shared" si="64"/>
        <v>0.51480000000000004</v>
      </c>
      <c r="BV867" s="59">
        <v>4.2200000000000001E-2</v>
      </c>
      <c r="BW867" s="59">
        <v>0</v>
      </c>
      <c r="BX867" s="59">
        <v>2.1100000000000001E-2</v>
      </c>
      <c r="BY867" s="59">
        <v>0</v>
      </c>
      <c r="BZ867" s="59">
        <v>2.1100000000000001E-2</v>
      </c>
      <c r="CA867" s="49">
        <v>17.3</v>
      </c>
      <c r="CB867" s="59">
        <f t="shared" si="65"/>
        <v>8.4400000000000003E-2</v>
      </c>
      <c r="CC867" s="59">
        <v>0.37959999999999999</v>
      </c>
      <c r="CD867" s="59">
        <v>0.37209999999999999</v>
      </c>
      <c r="CE867" s="59">
        <v>0.185</v>
      </c>
      <c r="CF867" s="59">
        <v>4.2200000000000001E-2</v>
      </c>
      <c r="CG867" s="59">
        <v>2.1100000000000001E-2</v>
      </c>
      <c r="CH867" s="49">
        <v>15.1</v>
      </c>
      <c r="CI867" s="26" t="s">
        <v>354</v>
      </c>
      <c r="CJ867" s="18" t="s">
        <v>489</v>
      </c>
      <c r="CK867" s="20"/>
    </row>
    <row r="868" spans="1:99" s="1" customFormat="1" ht="21" customHeight="1" x14ac:dyDescent="0.25">
      <c r="A868" s="21" t="s">
        <v>0</v>
      </c>
      <c r="B868" s="22" t="s">
        <v>1</v>
      </c>
      <c r="C868" s="22" t="s">
        <v>2</v>
      </c>
      <c r="D868" s="9" t="s">
        <v>3</v>
      </c>
      <c r="E868" s="9" t="s">
        <v>4</v>
      </c>
      <c r="F868" s="9" t="s">
        <v>5</v>
      </c>
      <c r="G868" s="161" t="s">
        <v>565</v>
      </c>
      <c r="H868" s="161" t="s">
        <v>566</v>
      </c>
      <c r="I868" s="161" t="s">
        <v>567</v>
      </c>
      <c r="J868" s="161" t="s">
        <v>568</v>
      </c>
      <c r="K868" s="161" t="s">
        <v>569</v>
      </c>
      <c r="L868" s="161" t="s">
        <v>570</v>
      </c>
      <c r="M868" s="161" t="s">
        <v>571</v>
      </c>
      <c r="N868" s="120" t="s">
        <v>6</v>
      </c>
      <c r="O868" s="120" t="s">
        <v>7</v>
      </c>
      <c r="P868" s="120" t="s">
        <v>8</v>
      </c>
      <c r="Q868" s="120" t="s">
        <v>9</v>
      </c>
      <c r="R868" s="120" t="s">
        <v>10</v>
      </c>
      <c r="S868" s="120" t="s">
        <v>11</v>
      </c>
      <c r="T868" s="120" t="s">
        <v>12</v>
      </c>
      <c r="U868" s="120" t="s">
        <v>13</v>
      </c>
      <c r="V868" s="120" t="s">
        <v>14</v>
      </c>
      <c r="W868" s="41" t="s">
        <v>15</v>
      </c>
      <c r="X868" s="41" t="s">
        <v>16</v>
      </c>
      <c r="Y868" s="41" t="s">
        <v>17</v>
      </c>
      <c r="Z868" s="107" t="s">
        <v>18</v>
      </c>
      <c r="AA868" s="107" t="s">
        <v>19</v>
      </c>
      <c r="AB868" s="95" t="s">
        <v>20</v>
      </c>
      <c r="AC868" s="95" t="s">
        <v>21</v>
      </c>
      <c r="AD868" s="95" t="s">
        <v>22</v>
      </c>
      <c r="AE868" s="95" t="s">
        <v>23</v>
      </c>
      <c r="AF868" s="95" t="s">
        <v>24</v>
      </c>
      <c r="AG868" s="95" t="s">
        <v>25</v>
      </c>
      <c r="AH868" s="95" t="s">
        <v>26</v>
      </c>
      <c r="AI868" s="95" t="s">
        <v>27</v>
      </c>
      <c r="AJ868" s="95" t="s">
        <v>28</v>
      </c>
      <c r="AK868" s="107" t="s">
        <v>29</v>
      </c>
      <c r="AL868" s="42" t="s">
        <v>30</v>
      </c>
      <c r="AM868" s="42" t="s">
        <v>31</v>
      </c>
      <c r="AN868" s="42" t="s">
        <v>32</v>
      </c>
      <c r="AO868" s="42" t="s">
        <v>33</v>
      </c>
      <c r="AP868" s="42" t="s">
        <v>34</v>
      </c>
      <c r="AQ868" s="42" t="s">
        <v>35</v>
      </c>
      <c r="AR868" s="42" t="s">
        <v>36</v>
      </c>
      <c r="AS868" s="100" t="s">
        <v>37</v>
      </c>
      <c r="AT868" s="41" t="s">
        <v>38</v>
      </c>
      <c r="AU868" s="23" t="s">
        <v>39</v>
      </c>
      <c r="AV868" s="51" t="s">
        <v>40</v>
      </c>
      <c r="AW868" s="51" t="s">
        <v>41</v>
      </c>
      <c r="AX868" s="51" t="s">
        <v>42</v>
      </c>
      <c r="AY868" s="66" t="s">
        <v>43</v>
      </c>
      <c r="AZ868" s="58" t="s">
        <v>44</v>
      </c>
      <c r="BA868" s="58" t="s">
        <v>45</v>
      </c>
      <c r="BB868" s="75" t="s">
        <v>46</v>
      </c>
      <c r="BC868" s="83" t="s">
        <v>47</v>
      </c>
      <c r="BD868" s="89" t="s">
        <v>48</v>
      </c>
      <c r="BE868" s="89" t="s">
        <v>49</v>
      </c>
      <c r="BF868" s="89" t="s">
        <v>50</v>
      </c>
      <c r="BG868" s="89" t="s">
        <v>51</v>
      </c>
      <c r="BH868" s="89" t="s">
        <v>52</v>
      </c>
      <c r="BI868" s="89" t="s">
        <v>53</v>
      </c>
      <c r="BJ868" s="86" t="s">
        <v>54</v>
      </c>
      <c r="BK868" s="123" t="s">
        <v>55</v>
      </c>
      <c r="BL868" s="123" t="s">
        <v>56</v>
      </c>
      <c r="BM868" s="123" t="s">
        <v>57</v>
      </c>
      <c r="BN868" s="123" t="s">
        <v>58</v>
      </c>
      <c r="BO868" s="131" t="s">
        <v>59</v>
      </c>
      <c r="BP868" s="131" t="s">
        <v>60</v>
      </c>
      <c r="BQ868" s="131" t="s">
        <v>61</v>
      </c>
      <c r="BR868" s="131" t="s">
        <v>62</v>
      </c>
      <c r="BS868" s="131" t="s">
        <v>63</v>
      </c>
      <c r="BT868" s="131" t="s">
        <v>64</v>
      </c>
      <c r="BU868" s="131" t="s">
        <v>65</v>
      </c>
      <c r="BV868" s="132" t="s">
        <v>66</v>
      </c>
      <c r="BW868" s="132" t="s">
        <v>67</v>
      </c>
      <c r="BX868" s="132" t="s">
        <v>68</v>
      </c>
      <c r="BY868" s="132" t="s">
        <v>69</v>
      </c>
      <c r="BZ868" s="132" t="s">
        <v>70</v>
      </c>
      <c r="CA868" s="132" t="s">
        <v>71</v>
      </c>
      <c r="CB868" s="132" t="s">
        <v>72</v>
      </c>
      <c r="CC868" s="123" t="s">
        <v>73</v>
      </c>
      <c r="CD868" s="123" t="s">
        <v>74</v>
      </c>
      <c r="CE868" s="123" t="s">
        <v>75</v>
      </c>
      <c r="CF868" s="123" t="s">
        <v>76</v>
      </c>
      <c r="CG868" s="123" t="s">
        <v>77</v>
      </c>
      <c r="CH868" s="123" t="s">
        <v>78</v>
      </c>
      <c r="CI868" s="22" t="s">
        <v>2</v>
      </c>
      <c r="CJ868" s="21" t="s">
        <v>0</v>
      </c>
      <c r="CK868" s="24" t="s">
        <v>79</v>
      </c>
      <c r="CL868"/>
      <c r="CM868"/>
      <c r="CN868"/>
      <c r="CO868"/>
      <c r="CP868"/>
      <c r="CQ868"/>
      <c r="CU868"/>
    </row>
    <row r="869" spans="1:99" x14ac:dyDescent="0.25">
      <c r="A869" s="18" t="s">
        <v>489</v>
      </c>
      <c r="B869" s="19" t="s">
        <v>355</v>
      </c>
      <c r="C869" s="26" t="s">
        <v>356</v>
      </c>
      <c r="D869" s="6">
        <v>58</v>
      </c>
      <c r="E869" s="40" t="s">
        <v>83</v>
      </c>
      <c r="F869" s="6">
        <v>58</v>
      </c>
      <c r="G869" s="162" t="s">
        <v>83</v>
      </c>
      <c r="H869" s="162" t="s">
        <v>83</v>
      </c>
      <c r="I869" s="163">
        <v>0</v>
      </c>
      <c r="J869" s="163">
        <v>18</v>
      </c>
      <c r="K869" s="163">
        <v>16</v>
      </c>
      <c r="L869" s="163">
        <v>14</v>
      </c>
      <c r="M869" s="163">
        <v>10</v>
      </c>
      <c r="N869" s="115">
        <v>3.4626865671641797E-2</v>
      </c>
      <c r="O869" s="115">
        <v>3.4626865671641797E-2</v>
      </c>
      <c r="P869" s="116" t="s">
        <v>83</v>
      </c>
      <c r="Q869" s="116" t="s">
        <v>83</v>
      </c>
      <c r="R869" s="115">
        <v>0</v>
      </c>
      <c r="S869" s="115">
        <v>3.6734693877551003E-2</v>
      </c>
      <c r="T869" s="115">
        <v>3.82775119617225E-2</v>
      </c>
      <c r="U869" s="115">
        <v>3.5532994923857898E-2</v>
      </c>
      <c r="V869" s="115">
        <v>2.6954177897574101E-2</v>
      </c>
      <c r="W869" s="6">
        <v>1555</v>
      </c>
      <c r="X869" s="40">
        <f t="shared" si="62"/>
        <v>1555</v>
      </c>
      <c r="Y869" s="40">
        <f t="shared" si="63"/>
        <v>1555</v>
      </c>
      <c r="Z869" s="59">
        <v>0.50800000000000001</v>
      </c>
      <c r="AA869" s="59">
        <v>0.49199999999999999</v>
      </c>
      <c r="AB869" s="61">
        <v>1.9292604501607716E-3</v>
      </c>
      <c r="AC869" s="61">
        <v>6.4308681672025723E-3</v>
      </c>
      <c r="AD869" s="61">
        <v>0.18070739549839229</v>
      </c>
      <c r="AE869" s="61">
        <v>5.4662379421221867E-2</v>
      </c>
      <c r="AF869" s="61">
        <v>6.4308681672025725E-4</v>
      </c>
      <c r="AG869" s="61">
        <v>0.74983922829581995</v>
      </c>
      <c r="AH869" s="61">
        <v>5.7877813504823147E-3</v>
      </c>
      <c r="AI869" s="61">
        <v>0.25016077170418005</v>
      </c>
      <c r="AJ869" s="59">
        <v>0.56999999999999995</v>
      </c>
      <c r="AK869" s="59">
        <v>1.8599999999999998E-2</v>
      </c>
      <c r="AL869" s="3">
        <v>0</v>
      </c>
      <c r="AM869" s="3">
        <v>0</v>
      </c>
      <c r="AN869" s="3">
        <v>2</v>
      </c>
      <c r="AO869" s="3">
        <v>441</v>
      </c>
      <c r="AP869" s="3">
        <v>381</v>
      </c>
      <c r="AQ869" s="3">
        <v>372</v>
      </c>
      <c r="AR869" s="3">
        <v>359</v>
      </c>
      <c r="AS869" s="59">
        <v>4.5146726862302479E-3</v>
      </c>
      <c r="AT869" s="3">
        <v>9</v>
      </c>
      <c r="AU869" s="3">
        <v>6</v>
      </c>
      <c r="AV869" s="49">
        <v>60.378787878787897</v>
      </c>
      <c r="AW869" s="49">
        <v>20.075757575757599</v>
      </c>
      <c r="AX869" s="49">
        <v>16.818181818181799</v>
      </c>
      <c r="AY869" s="67">
        <v>2.7272727272727297</v>
      </c>
      <c r="AZ869" s="62">
        <v>0.15662650602409639</v>
      </c>
      <c r="BA869" s="62">
        <v>0.11566265060240964</v>
      </c>
      <c r="BB869" s="77">
        <v>93.658291759557599</v>
      </c>
      <c r="BC869" s="49">
        <v>36.239620403321503</v>
      </c>
      <c r="BD869" s="90" t="s">
        <v>83</v>
      </c>
      <c r="BE869" s="90" t="s">
        <v>83</v>
      </c>
      <c r="BF869" s="87">
        <v>8.6</v>
      </c>
      <c r="BG869" s="87">
        <v>6.9</v>
      </c>
      <c r="BH869" s="87">
        <v>2.2999999999999998</v>
      </c>
      <c r="BI869" s="87">
        <v>3.7</v>
      </c>
      <c r="BJ869" s="49">
        <v>20.3</v>
      </c>
      <c r="BK869" s="126">
        <v>11316</v>
      </c>
      <c r="BL869" s="126">
        <v>54907</v>
      </c>
      <c r="BM869" s="126">
        <v>55352</v>
      </c>
      <c r="BN869" s="126">
        <v>47633</v>
      </c>
      <c r="BO869" s="59">
        <v>0</v>
      </c>
      <c r="BP869" s="59">
        <v>0.42270000000000002</v>
      </c>
      <c r="BQ869" s="59">
        <v>0.214</v>
      </c>
      <c r="BR869" s="59">
        <v>0</v>
      </c>
      <c r="BS869" s="59">
        <v>6.4999999999999997E-3</v>
      </c>
      <c r="BT869" s="49">
        <v>14.6</v>
      </c>
      <c r="BU869" s="59">
        <f t="shared" si="64"/>
        <v>0.64319999999999999</v>
      </c>
      <c r="BV869" s="59">
        <v>3.2300000000000002E-2</v>
      </c>
      <c r="BW869" s="59">
        <v>0</v>
      </c>
      <c r="BX869" s="59">
        <v>2.58E-2</v>
      </c>
      <c r="BY869" s="59">
        <v>0</v>
      </c>
      <c r="BZ869" s="59">
        <v>6.3E-3</v>
      </c>
      <c r="CA869" s="49">
        <v>18.100000000000001</v>
      </c>
      <c r="CB869" s="59">
        <f t="shared" si="65"/>
        <v>6.4399999999999999E-2</v>
      </c>
      <c r="CC869" s="59">
        <v>0.2712</v>
      </c>
      <c r="CD869" s="59">
        <v>0.4486</v>
      </c>
      <c r="CE869" s="59">
        <v>0.26640000000000003</v>
      </c>
      <c r="CF869" s="59">
        <v>1.1000000000000001E-3</v>
      </c>
      <c r="CG869" s="59">
        <v>1.2699999999999999E-2</v>
      </c>
      <c r="CH869" s="49">
        <v>14.1</v>
      </c>
      <c r="CI869" s="26" t="s">
        <v>356</v>
      </c>
      <c r="CJ869" s="18" t="s">
        <v>489</v>
      </c>
      <c r="CK869" s="20"/>
    </row>
    <row r="870" spans="1:99" x14ac:dyDescent="0.25">
      <c r="A870" s="18" t="s">
        <v>489</v>
      </c>
      <c r="B870" s="19" t="s">
        <v>355</v>
      </c>
      <c r="C870" s="26" t="s">
        <v>357</v>
      </c>
      <c r="D870" s="6">
        <v>39</v>
      </c>
      <c r="E870" s="40" t="s">
        <v>83</v>
      </c>
      <c r="F870" s="6">
        <v>39</v>
      </c>
      <c r="G870" s="162" t="s">
        <v>83</v>
      </c>
      <c r="H870" s="162" t="s">
        <v>83</v>
      </c>
      <c r="I870" s="163">
        <v>0</v>
      </c>
      <c r="J870" s="163">
        <v>7</v>
      </c>
      <c r="K870" s="163">
        <v>15</v>
      </c>
      <c r="L870" s="163">
        <v>11</v>
      </c>
      <c r="M870" s="163">
        <v>6</v>
      </c>
      <c r="N870" s="115">
        <v>1.90615835777126E-2</v>
      </c>
      <c r="O870" s="115">
        <v>1.90615835777126E-2</v>
      </c>
      <c r="P870" s="116" t="s">
        <v>83</v>
      </c>
      <c r="Q870" s="116" t="s">
        <v>83</v>
      </c>
      <c r="R870" s="115">
        <v>0</v>
      </c>
      <c r="S870" s="115">
        <v>1.24777183600713E-2</v>
      </c>
      <c r="T870" s="115">
        <v>2.8409090909090901E-2</v>
      </c>
      <c r="U870" s="115">
        <v>2.3554603854389702E-2</v>
      </c>
      <c r="V870" s="115">
        <v>1.26050420168067E-2</v>
      </c>
      <c r="W870" s="6">
        <v>1969</v>
      </c>
      <c r="X870" s="40">
        <f t="shared" si="62"/>
        <v>1969</v>
      </c>
      <c r="Y870" s="40">
        <f t="shared" si="63"/>
        <v>1969</v>
      </c>
      <c r="Z870" s="59">
        <v>0.50629999999999997</v>
      </c>
      <c r="AA870" s="59">
        <v>0.49370000000000003</v>
      </c>
      <c r="AB870" s="61">
        <v>4.0629761300152358E-3</v>
      </c>
      <c r="AC870" s="61">
        <v>2.2854240731335702E-2</v>
      </c>
      <c r="AD870" s="61">
        <v>7.3133570340274248E-2</v>
      </c>
      <c r="AE870" s="61">
        <v>4.6216353478923312E-2</v>
      </c>
      <c r="AF870" s="61">
        <v>0</v>
      </c>
      <c r="AG870" s="61">
        <v>0.84306754697816155</v>
      </c>
      <c r="AH870" s="61">
        <v>1.0665312341289994E-2</v>
      </c>
      <c r="AI870" s="61">
        <v>0.1569324530218385</v>
      </c>
      <c r="AJ870" s="59">
        <v>0.3</v>
      </c>
      <c r="AK870" s="59">
        <v>1.0200000000000001E-2</v>
      </c>
      <c r="AL870" s="3">
        <v>0</v>
      </c>
      <c r="AM870" s="3">
        <v>0</v>
      </c>
      <c r="AN870" s="3">
        <v>13</v>
      </c>
      <c r="AO870" s="3">
        <v>536</v>
      </c>
      <c r="AP870" s="3">
        <v>502</v>
      </c>
      <c r="AQ870" s="3">
        <v>462</v>
      </c>
      <c r="AR870" s="3">
        <v>456</v>
      </c>
      <c r="AS870" s="59">
        <v>2.3679417122040074E-2</v>
      </c>
      <c r="AT870" s="3">
        <v>9</v>
      </c>
      <c r="AU870" s="3">
        <v>6</v>
      </c>
      <c r="AV870" s="49">
        <v>60.754716981132098</v>
      </c>
      <c r="AW870" s="49">
        <v>26.540880503144699</v>
      </c>
      <c r="AX870" s="49">
        <v>11.320754716981101</v>
      </c>
      <c r="AY870" s="67">
        <v>1.3836477987421401</v>
      </c>
      <c r="AZ870" s="62">
        <v>5.4875061244487995E-2</v>
      </c>
      <c r="BA870" s="62">
        <v>5.3405193532582065E-2</v>
      </c>
      <c r="BB870" s="78">
        <v>94.684102758330894</v>
      </c>
      <c r="BC870" s="49">
        <v>22.6451927769644</v>
      </c>
      <c r="BD870" s="90" t="s">
        <v>83</v>
      </c>
      <c r="BE870" s="90" t="s">
        <v>83</v>
      </c>
      <c r="BF870" s="87">
        <v>4.4000000000000004</v>
      </c>
      <c r="BG870" s="87">
        <v>2.2000000000000002</v>
      </c>
      <c r="BH870" s="87">
        <v>2.8</v>
      </c>
      <c r="BI870" s="87">
        <v>1.7</v>
      </c>
      <c r="BJ870" s="49">
        <v>23.8</v>
      </c>
      <c r="BK870" s="126">
        <v>10626</v>
      </c>
      <c r="BL870" s="126">
        <v>54630</v>
      </c>
      <c r="BM870" s="126">
        <v>58500</v>
      </c>
      <c r="BN870" s="126">
        <v>48561</v>
      </c>
      <c r="BO870" s="59">
        <v>0</v>
      </c>
      <c r="BP870" s="59">
        <v>0.38290000000000002</v>
      </c>
      <c r="BQ870" s="59">
        <v>0.30719999999999997</v>
      </c>
      <c r="BR870" s="59">
        <v>0</v>
      </c>
      <c r="BS870" s="59">
        <v>5.7000000000000002E-3</v>
      </c>
      <c r="BT870" s="49">
        <v>15.1</v>
      </c>
      <c r="BU870" s="59">
        <f t="shared" si="64"/>
        <v>0.69579999999999997</v>
      </c>
      <c r="BV870" s="59">
        <v>2.9100000000000001E-2</v>
      </c>
      <c r="BW870" s="59">
        <v>0</v>
      </c>
      <c r="BX870" s="59">
        <v>2.3E-2</v>
      </c>
      <c r="BY870" s="59">
        <v>5.7000000000000002E-3</v>
      </c>
      <c r="BZ870" s="59">
        <v>0</v>
      </c>
      <c r="CA870" s="49">
        <v>22.6</v>
      </c>
      <c r="CB870" s="59">
        <f t="shared" si="65"/>
        <v>5.7800000000000004E-2</v>
      </c>
      <c r="CC870" s="59">
        <v>0.2195</v>
      </c>
      <c r="CD870" s="59">
        <v>0.4078</v>
      </c>
      <c r="CE870" s="59">
        <v>0.35539999999999999</v>
      </c>
      <c r="CF870" s="59">
        <v>1.15E-2</v>
      </c>
      <c r="CG870" s="59">
        <v>5.7000000000000002E-3</v>
      </c>
      <c r="CH870" s="49">
        <v>14.1</v>
      </c>
      <c r="CI870" s="26" t="s">
        <v>357</v>
      </c>
      <c r="CJ870" s="18" t="s">
        <v>489</v>
      </c>
      <c r="CK870" s="20"/>
    </row>
    <row r="871" spans="1:99" x14ac:dyDescent="0.25">
      <c r="A871" s="18" t="s">
        <v>489</v>
      </c>
      <c r="B871" s="19" t="s">
        <v>355</v>
      </c>
      <c r="C871" s="26" t="s">
        <v>358</v>
      </c>
      <c r="D871" s="6">
        <v>24</v>
      </c>
      <c r="E871" s="40" t="s">
        <v>83</v>
      </c>
      <c r="F871" s="6">
        <v>24</v>
      </c>
      <c r="G871" s="162" t="s">
        <v>83</v>
      </c>
      <c r="H871" s="162" t="s">
        <v>83</v>
      </c>
      <c r="I871" s="163">
        <v>0</v>
      </c>
      <c r="J871" s="163">
        <v>7</v>
      </c>
      <c r="K871" s="163">
        <v>6</v>
      </c>
      <c r="L871" s="163">
        <v>6</v>
      </c>
      <c r="M871" s="163">
        <v>5</v>
      </c>
      <c r="N871" s="115">
        <v>2.9739776951672899E-2</v>
      </c>
      <c r="O871" s="115">
        <v>2.9739776951672899E-2</v>
      </c>
      <c r="P871" s="116" t="s">
        <v>83</v>
      </c>
      <c r="Q871" s="116" t="s">
        <v>83</v>
      </c>
      <c r="R871" s="115">
        <v>0</v>
      </c>
      <c r="S871" s="115">
        <v>3.2258064516128997E-2</v>
      </c>
      <c r="T871" s="115">
        <v>2.83018867924528E-2</v>
      </c>
      <c r="U871" s="115">
        <v>3.0769230769230799E-2</v>
      </c>
      <c r="V871" s="115">
        <v>2.9585798816568001E-2</v>
      </c>
      <c r="W871" s="6">
        <v>757</v>
      </c>
      <c r="X871" s="40">
        <f t="shared" si="62"/>
        <v>757</v>
      </c>
      <c r="Y871" s="40">
        <f t="shared" si="63"/>
        <v>757</v>
      </c>
      <c r="Z871" s="59">
        <v>0.47949999999999998</v>
      </c>
      <c r="AA871" s="59">
        <v>0.52049999999999996</v>
      </c>
      <c r="AB871" s="61">
        <v>3.9630118890356669E-3</v>
      </c>
      <c r="AC871" s="61">
        <v>1.321003963011889E-3</v>
      </c>
      <c r="AD871" s="61">
        <v>6.8692206076618231E-2</v>
      </c>
      <c r="AE871" s="61">
        <v>3.8309114927344783E-2</v>
      </c>
      <c r="AF871" s="61">
        <v>0</v>
      </c>
      <c r="AG871" s="61">
        <v>0.88243064729194187</v>
      </c>
      <c r="AH871" s="61">
        <v>5.2840158520475562E-3</v>
      </c>
      <c r="AI871" s="61">
        <v>0.11756935270805813</v>
      </c>
      <c r="AJ871" s="59">
        <v>0.629</v>
      </c>
      <c r="AK871" s="59">
        <v>1.4500000000000001E-2</v>
      </c>
      <c r="AL871" s="3">
        <v>0</v>
      </c>
      <c r="AM871" s="3">
        <v>0</v>
      </c>
      <c r="AN871" s="3">
        <v>14</v>
      </c>
      <c r="AO871" s="3">
        <v>194</v>
      </c>
      <c r="AP871" s="3">
        <v>194</v>
      </c>
      <c r="AQ871" s="3">
        <v>189</v>
      </c>
      <c r="AR871" s="3">
        <v>166</v>
      </c>
      <c r="AS871" s="59">
        <v>6.7307692307692304E-2</v>
      </c>
      <c r="AT871" s="3">
        <v>9</v>
      </c>
      <c r="AU871" s="3">
        <v>6</v>
      </c>
      <c r="AV871" s="49">
        <v>82.207207207207205</v>
      </c>
      <c r="AW871" s="49">
        <v>17.342342342342302</v>
      </c>
      <c r="AX871" s="49">
        <v>0.45045045045045001</v>
      </c>
      <c r="AY871" s="67">
        <v>0</v>
      </c>
      <c r="AZ871" s="62">
        <v>5.46583850931677E-2</v>
      </c>
      <c r="BA871" s="62">
        <v>0.10559006211180125</v>
      </c>
      <c r="BB871" s="77">
        <v>92.502332452184703</v>
      </c>
      <c r="BC871" s="49">
        <v>36.777367773677703</v>
      </c>
      <c r="BD871" s="90" t="s">
        <v>83</v>
      </c>
      <c r="BE871" s="90" t="s">
        <v>83</v>
      </c>
      <c r="BF871" s="87">
        <v>3.8</v>
      </c>
      <c r="BG871" s="87">
        <v>2.2000000000000002</v>
      </c>
      <c r="BH871" s="87">
        <v>1.2</v>
      </c>
      <c r="BI871" s="87">
        <v>1.3</v>
      </c>
      <c r="BJ871" s="49">
        <v>20.100000000000001</v>
      </c>
      <c r="BK871" s="126">
        <v>12961</v>
      </c>
      <c r="BL871" s="126">
        <v>58923</v>
      </c>
      <c r="BM871" s="126">
        <v>56061</v>
      </c>
      <c r="BN871" s="126">
        <v>49210</v>
      </c>
      <c r="BO871" s="59">
        <v>0</v>
      </c>
      <c r="BP871" s="59">
        <v>0.3679</v>
      </c>
      <c r="BQ871" s="59">
        <v>0.24460000000000001</v>
      </c>
      <c r="BR871" s="59">
        <v>0</v>
      </c>
      <c r="BS871" s="59">
        <v>0</v>
      </c>
      <c r="BT871" s="49">
        <v>17</v>
      </c>
      <c r="BU871" s="59">
        <f t="shared" si="64"/>
        <v>0.61250000000000004</v>
      </c>
      <c r="BV871" s="59">
        <v>3.5000000000000003E-2</v>
      </c>
      <c r="BW871" s="59">
        <v>0</v>
      </c>
      <c r="BX871" s="59">
        <v>3.6299999999999999E-2</v>
      </c>
      <c r="BY871" s="59">
        <v>0</v>
      </c>
      <c r="BZ871" s="59">
        <v>0</v>
      </c>
      <c r="CA871" s="49">
        <v>20.5</v>
      </c>
      <c r="CB871" s="59">
        <f t="shared" si="65"/>
        <v>7.1300000000000002E-2</v>
      </c>
      <c r="CC871" s="59">
        <v>0.26329999999999998</v>
      </c>
      <c r="CD871" s="59">
        <v>0.42080000000000001</v>
      </c>
      <c r="CE871" s="59">
        <v>0.31590000000000001</v>
      </c>
      <c r="CF871" s="59">
        <v>0</v>
      </c>
      <c r="CG871" s="59">
        <v>0</v>
      </c>
      <c r="CH871" s="49">
        <v>15.3</v>
      </c>
      <c r="CI871" s="26" t="s">
        <v>358</v>
      </c>
      <c r="CJ871" s="18" t="s">
        <v>489</v>
      </c>
      <c r="CK871" s="20"/>
    </row>
    <row r="872" spans="1:99" x14ac:dyDescent="0.25">
      <c r="A872" s="18" t="s">
        <v>489</v>
      </c>
      <c r="B872" s="19" t="s">
        <v>355</v>
      </c>
      <c r="C872" s="26" t="s">
        <v>359</v>
      </c>
      <c r="D872" s="6">
        <v>57</v>
      </c>
      <c r="E872" s="40" t="s">
        <v>83</v>
      </c>
      <c r="F872" s="6">
        <v>57</v>
      </c>
      <c r="G872" s="162" t="s">
        <v>83</v>
      </c>
      <c r="H872" s="162" t="s">
        <v>83</v>
      </c>
      <c r="I872" s="163">
        <v>2</v>
      </c>
      <c r="J872" s="163">
        <v>20</v>
      </c>
      <c r="K872" s="163">
        <v>13</v>
      </c>
      <c r="L872" s="163">
        <v>11</v>
      </c>
      <c r="M872" s="163">
        <v>11</v>
      </c>
      <c r="N872" s="115">
        <v>5.5992141453831003E-2</v>
      </c>
      <c r="O872" s="115">
        <v>5.5992141453831003E-2</v>
      </c>
      <c r="P872" s="116" t="s">
        <v>83</v>
      </c>
      <c r="Q872" s="116" t="s">
        <v>83</v>
      </c>
      <c r="R872" s="115">
        <v>0.18181818181818199</v>
      </c>
      <c r="S872" s="115">
        <v>6.8259385665528999E-2</v>
      </c>
      <c r="T872" s="115">
        <v>4.81481481481481E-2</v>
      </c>
      <c r="U872" s="115">
        <v>4.9107142857142898E-2</v>
      </c>
      <c r="V872" s="115">
        <v>0.05</v>
      </c>
      <c r="W872" s="6">
        <v>902</v>
      </c>
      <c r="X872" s="40">
        <f t="shared" si="62"/>
        <v>902</v>
      </c>
      <c r="Y872" s="40">
        <f t="shared" si="63"/>
        <v>902</v>
      </c>
      <c r="Z872" s="59">
        <v>0.48</v>
      </c>
      <c r="AA872" s="59">
        <v>0.52</v>
      </c>
      <c r="AB872" s="61">
        <v>4.434589800443459E-3</v>
      </c>
      <c r="AC872" s="61">
        <v>2.3281596452328159E-2</v>
      </c>
      <c r="AD872" s="61">
        <v>0.61197339246119731</v>
      </c>
      <c r="AE872" s="61">
        <v>4.9889135254988913E-2</v>
      </c>
      <c r="AF872" s="61">
        <v>1.1086474501108647E-3</v>
      </c>
      <c r="AG872" s="61">
        <v>0.29822616407982261</v>
      </c>
      <c r="AH872" s="61">
        <v>1.1086474501108648E-2</v>
      </c>
      <c r="AI872" s="61">
        <v>0.70177383592017739</v>
      </c>
      <c r="AJ872" s="59">
        <v>0.68</v>
      </c>
      <c r="AK872" s="59">
        <v>1.77E-2</v>
      </c>
      <c r="AL872" s="3">
        <v>0</v>
      </c>
      <c r="AM872" s="3">
        <v>0</v>
      </c>
      <c r="AN872" s="3">
        <v>6</v>
      </c>
      <c r="AO872" s="3">
        <v>258</v>
      </c>
      <c r="AP872" s="3">
        <v>235</v>
      </c>
      <c r="AQ872" s="3">
        <v>203</v>
      </c>
      <c r="AR872" s="3">
        <v>200</v>
      </c>
      <c r="AS872" s="59">
        <v>2.2727272727272728E-2</v>
      </c>
      <c r="AT872" s="3">
        <v>9</v>
      </c>
      <c r="AU872" s="3">
        <v>6</v>
      </c>
      <c r="AV872" s="49">
        <v>68.345323741007206</v>
      </c>
      <c r="AW872" s="49">
        <v>19.424460431654701</v>
      </c>
      <c r="AX872" s="49">
        <v>11.6306954436451</v>
      </c>
      <c r="AY872" s="67">
        <v>0.59952038369304606</v>
      </c>
      <c r="AZ872" s="62">
        <v>0.24079601990049751</v>
      </c>
      <c r="BA872" s="62">
        <v>0.16716417910447762</v>
      </c>
      <c r="BB872" s="78">
        <v>93.648570137499206</v>
      </c>
      <c r="BC872" s="49">
        <v>35.616438356164402</v>
      </c>
      <c r="BD872" s="90" t="s">
        <v>83</v>
      </c>
      <c r="BE872" s="90" t="s">
        <v>83</v>
      </c>
      <c r="BF872" s="87">
        <v>11.3</v>
      </c>
      <c r="BG872" s="87">
        <v>8.1</v>
      </c>
      <c r="BH872" s="87">
        <v>4.7</v>
      </c>
      <c r="BI872" s="87">
        <v>5.4</v>
      </c>
      <c r="BJ872" s="49">
        <v>18.899999999999999</v>
      </c>
      <c r="BK872" s="126">
        <v>12772</v>
      </c>
      <c r="BL872" s="126">
        <v>53628</v>
      </c>
      <c r="BM872" s="126">
        <v>48677</v>
      </c>
      <c r="BN872" s="126">
        <v>45656</v>
      </c>
      <c r="BO872" s="59">
        <v>9.1999999999999998E-3</v>
      </c>
      <c r="BP872" s="59">
        <v>0.4158</v>
      </c>
      <c r="BQ872" s="59">
        <v>0.1759</v>
      </c>
      <c r="BR872" s="59">
        <v>0</v>
      </c>
      <c r="BS872" s="59">
        <v>0</v>
      </c>
      <c r="BT872" s="49">
        <v>11.9</v>
      </c>
      <c r="BU872" s="59">
        <f t="shared" si="64"/>
        <v>0.60089999999999999</v>
      </c>
      <c r="BV872" s="59">
        <v>4.6100000000000002E-2</v>
      </c>
      <c r="BW872" s="59">
        <v>0</v>
      </c>
      <c r="BX872" s="59">
        <v>2.8199999999999999E-2</v>
      </c>
      <c r="BY872" s="59">
        <v>0</v>
      </c>
      <c r="BZ872" s="59">
        <v>0</v>
      </c>
      <c r="CA872" s="49">
        <v>16.3</v>
      </c>
      <c r="CB872" s="59">
        <f t="shared" si="65"/>
        <v>7.4300000000000005E-2</v>
      </c>
      <c r="CC872" s="59">
        <v>0.2999</v>
      </c>
      <c r="CD872" s="59">
        <v>0.44719999999999999</v>
      </c>
      <c r="CE872" s="59">
        <v>0.25290000000000001</v>
      </c>
      <c r="CF872" s="59">
        <v>0</v>
      </c>
      <c r="CG872" s="59">
        <v>0</v>
      </c>
      <c r="CH872" s="49">
        <v>11.3</v>
      </c>
      <c r="CI872" s="26" t="s">
        <v>359</v>
      </c>
      <c r="CJ872" s="18" t="s">
        <v>489</v>
      </c>
      <c r="CK872" s="20"/>
    </row>
    <row r="873" spans="1:99" x14ac:dyDescent="0.25">
      <c r="A873" s="18" t="s">
        <v>489</v>
      </c>
      <c r="B873" s="19" t="s">
        <v>355</v>
      </c>
      <c r="C873" s="26" t="s">
        <v>360</v>
      </c>
      <c r="D873" s="6">
        <v>72</v>
      </c>
      <c r="E873" s="40" t="s">
        <v>83</v>
      </c>
      <c r="F873" s="6">
        <v>72</v>
      </c>
      <c r="G873" s="162" t="s">
        <v>83</v>
      </c>
      <c r="H873" s="162" t="s">
        <v>83</v>
      </c>
      <c r="I873" s="163">
        <v>1</v>
      </c>
      <c r="J873" s="163">
        <v>27</v>
      </c>
      <c r="K873" s="163">
        <v>15</v>
      </c>
      <c r="L873" s="163">
        <v>16</v>
      </c>
      <c r="M873" s="163">
        <v>13</v>
      </c>
      <c r="N873" s="115">
        <v>4.0909090909090902E-2</v>
      </c>
      <c r="O873" s="115">
        <v>4.0909090909090902E-2</v>
      </c>
      <c r="P873" s="116" t="s">
        <v>83</v>
      </c>
      <c r="Q873" s="116" t="s">
        <v>83</v>
      </c>
      <c r="R873" s="115">
        <v>0.16666666666666699</v>
      </c>
      <c r="S873" s="115">
        <v>4.83005366726297E-2</v>
      </c>
      <c r="T873" s="115">
        <v>3.2822757111597399E-2</v>
      </c>
      <c r="U873" s="115">
        <v>3.9900249376558602E-2</v>
      </c>
      <c r="V873" s="115">
        <v>3.8575667655786398E-2</v>
      </c>
      <c r="W873" s="6">
        <v>1610</v>
      </c>
      <c r="X873" s="40">
        <f t="shared" si="62"/>
        <v>1610</v>
      </c>
      <c r="Y873" s="40">
        <f t="shared" si="63"/>
        <v>1610</v>
      </c>
      <c r="Z873" s="59">
        <v>0.49940000000000001</v>
      </c>
      <c r="AA873" s="59">
        <v>0.50060000000000004</v>
      </c>
      <c r="AB873" s="61">
        <v>1.2422360248447205E-3</v>
      </c>
      <c r="AC873" s="61">
        <v>1.1801242236024845E-2</v>
      </c>
      <c r="AD873" s="61">
        <v>0.3527950310559006</v>
      </c>
      <c r="AE873" s="61">
        <v>4.9689440993788817E-2</v>
      </c>
      <c r="AF873" s="61">
        <v>0</v>
      </c>
      <c r="AG873" s="61">
        <v>0.57018633540372676</v>
      </c>
      <c r="AH873" s="61">
        <v>1.4285714285714285E-2</v>
      </c>
      <c r="AI873" s="61">
        <v>0.42981366459627329</v>
      </c>
      <c r="AJ873" s="59">
        <v>0.55700000000000005</v>
      </c>
      <c r="AK873" s="59">
        <v>1.49E-2</v>
      </c>
      <c r="AL873" s="3">
        <v>0</v>
      </c>
      <c r="AM873" s="3">
        <v>0</v>
      </c>
      <c r="AN873" s="3">
        <v>5</v>
      </c>
      <c r="AO873" s="3">
        <v>504</v>
      </c>
      <c r="AP873" s="3">
        <v>414</v>
      </c>
      <c r="AQ873" s="3">
        <v>367</v>
      </c>
      <c r="AR873" s="3">
        <v>320</v>
      </c>
      <c r="AS873" s="59">
        <v>9.823182711198428E-3</v>
      </c>
      <c r="AT873" s="3">
        <v>9</v>
      </c>
      <c r="AU873" s="3">
        <v>6</v>
      </c>
      <c r="AV873" s="49">
        <v>58.463832960477305</v>
      </c>
      <c r="AW873" s="49">
        <v>36.167039522744197</v>
      </c>
      <c r="AX873" s="49">
        <v>4.3997017151379598</v>
      </c>
      <c r="AY873" s="67">
        <v>0.96942580164056691</v>
      </c>
      <c r="AZ873" s="62">
        <v>0.10841983852364476</v>
      </c>
      <c r="BA873" s="62">
        <v>0.12572087658592848</v>
      </c>
      <c r="BB873" s="77">
        <v>94.247951293914795</v>
      </c>
      <c r="BC873" s="49">
        <v>21.620079863091799</v>
      </c>
      <c r="BD873" s="90" t="s">
        <v>83</v>
      </c>
      <c r="BE873" s="90" t="s">
        <v>83</v>
      </c>
      <c r="BF873" s="87">
        <v>8.9</v>
      </c>
      <c r="BG873" s="87">
        <v>4.0999999999999996</v>
      </c>
      <c r="BH873" s="87">
        <v>2.2999999999999998</v>
      </c>
      <c r="BI873" s="87">
        <v>0.9</v>
      </c>
      <c r="BJ873" s="49">
        <v>21.5</v>
      </c>
      <c r="BK873" s="126">
        <v>11400</v>
      </c>
      <c r="BL873" s="126">
        <v>55094</v>
      </c>
      <c r="BM873" s="126">
        <v>50611</v>
      </c>
      <c r="BN873" s="126">
        <v>47445</v>
      </c>
      <c r="BO873" s="59">
        <v>6.3E-3</v>
      </c>
      <c r="BP873" s="59">
        <v>0.41110000000000002</v>
      </c>
      <c r="BQ873" s="59">
        <v>0.2286</v>
      </c>
      <c r="BR873" s="59">
        <v>6.3E-3</v>
      </c>
      <c r="BS873" s="59">
        <v>6.3E-3</v>
      </c>
      <c r="BT873" s="49">
        <v>15.3</v>
      </c>
      <c r="BU873" s="59">
        <f t="shared" si="64"/>
        <v>0.65859999999999996</v>
      </c>
      <c r="BV873" s="59">
        <v>3.15E-2</v>
      </c>
      <c r="BW873" s="59">
        <v>0</v>
      </c>
      <c r="BX873" s="59">
        <v>2.1399999999999999E-2</v>
      </c>
      <c r="BY873" s="59">
        <v>0</v>
      </c>
      <c r="BZ873" s="59">
        <v>6.3E-3</v>
      </c>
      <c r="CA873" s="49">
        <v>22</v>
      </c>
      <c r="CB873" s="59">
        <f t="shared" si="65"/>
        <v>5.9200000000000003E-2</v>
      </c>
      <c r="CC873" s="59">
        <v>0.27579999999999999</v>
      </c>
      <c r="CD873" s="59">
        <v>0.41110000000000002</v>
      </c>
      <c r="CE873" s="59">
        <v>0.2878</v>
      </c>
      <c r="CF873" s="59">
        <v>6.3E-3</v>
      </c>
      <c r="CG873" s="59">
        <v>1.89E-2</v>
      </c>
      <c r="CH873" s="49">
        <v>14.7</v>
      </c>
      <c r="CI873" s="26" t="s">
        <v>360</v>
      </c>
      <c r="CJ873" s="18" t="s">
        <v>489</v>
      </c>
      <c r="CK873" s="20"/>
    </row>
    <row r="874" spans="1:99" x14ac:dyDescent="0.25">
      <c r="A874" s="18" t="s">
        <v>489</v>
      </c>
      <c r="B874" s="19" t="s">
        <v>355</v>
      </c>
      <c r="C874" s="26" t="s">
        <v>361</v>
      </c>
      <c r="D874" s="6">
        <v>20</v>
      </c>
      <c r="E874" s="40" t="s">
        <v>83</v>
      </c>
      <c r="F874" s="6">
        <v>20</v>
      </c>
      <c r="G874" s="162" t="s">
        <v>83</v>
      </c>
      <c r="H874" s="162" t="s">
        <v>83</v>
      </c>
      <c r="I874" s="163">
        <v>0</v>
      </c>
      <c r="J874" s="163">
        <v>8</v>
      </c>
      <c r="K874" s="163">
        <v>3</v>
      </c>
      <c r="L874" s="163">
        <v>3</v>
      </c>
      <c r="M874" s="163">
        <v>6</v>
      </c>
      <c r="N874" s="115">
        <v>1.1990407673860899E-2</v>
      </c>
      <c r="O874" s="115">
        <v>1.1990407673860899E-2</v>
      </c>
      <c r="P874" s="116" t="s">
        <v>83</v>
      </c>
      <c r="Q874" s="116" t="s">
        <v>83</v>
      </c>
      <c r="R874" s="115">
        <v>0</v>
      </c>
      <c r="S874" s="115">
        <v>1.8264840182648401E-2</v>
      </c>
      <c r="T874" s="115">
        <v>7.0257611241217799E-3</v>
      </c>
      <c r="U874" s="115">
        <v>7.0422535211267599E-3</v>
      </c>
      <c r="V874" s="115">
        <v>1.6085790884718499E-2</v>
      </c>
      <c r="W874" s="6">
        <v>1597</v>
      </c>
      <c r="X874" s="40">
        <f t="shared" si="62"/>
        <v>1597</v>
      </c>
      <c r="Y874" s="40">
        <f t="shared" si="63"/>
        <v>1597</v>
      </c>
      <c r="Z874" s="59">
        <v>0.48780000000000001</v>
      </c>
      <c r="AA874" s="59">
        <v>0.51219999999999999</v>
      </c>
      <c r="AB874" s="61">
        <v>3.1308703819661866E-3</v>
      </c>
      <c r="AC874" s="61">
        <v>2.8804007514088917E-2</v>
      </c>
      <c r="AD874" s="61">
        <v>0.17345021916092673</v>
      </c>
      <c r="AE874" s="61">
        <v>3.8822792736380715E-2</v>
      </c>
      <c r="AF874" s="61">
        <v>3.7570444583594239E-3</v>
      </c>
      <c r="AG874" s="61">
        <v>0.74890419536631181</v>
      </c>
      <c r="AH874" s="61">
        <v>3.1308703819661866E-3</v>
      </c>
      <c r="AI874" s="61">
        <v>0.25109580463368819</v>
      </c>
      <c r="AJ874" s="59">
        <v>0.35599999999999998</v>
      </c>
      <c r="AK874" s="59">
        <v>9.4000000000000004E-3</v>
      </c>
      <c r="AL874" s="3">
        <v>0</v>
      </c>
      <c r="AM874" s="3">
        <v>0</v>
      </c>
      <c r="AN874" s="3">
        <v>4</v>
      </c>
      <c r="AO874" s="3">
        <v>415</v>
      </c>
      <c r="AP874" s="3">
        <v>407</v>
      </c>
      <c r="AQ874" s="3">
        <v>411</v>
      </c>
      <c r="AR874" s="3">
        <v>360</v>
      </c>
      <c r="AS874" s="59">
        <v>9.5465393794749408E-3</v>
      </c>
      <c r="AT874" s="3">
        <v>9</v>
      </c>
      <c r="AU874" s="3">
        <v>6</v>
      </c>
      <c r="AV874" s="49">
        <v>56.840620592383594</v>
      </c>
      <c r="AW874" s="49">
        <v>26.234132581100098</v>
      </c>
      <c r="AX874" s="49">
        <v>15.937940761636099</v>
      </c>
      <c r="AY874" s="67">
        <v>0.98730606488011308</v>
      </c>
      <c r="AZ874" s="62">
        <v>4.103802051901026E-2</v>
      </c>
      <c r="BA874" s="62">
        <v>6.578153289076645E-2</v>
      </c>
      <c r="BB874" s="78">
        <v>95.222145727014095</v>
      </c>
      <c r="BC874" s="49">
        <v>14.819277108433701</v>
      </c>
      <c r="BD874" s="90" t="s">
        <v>83</v>
      </c>
      <c r="BE874" s="90" t="s">
        <v>83</v>
      </c>
      <c r="BF874" s="87">
        <v>5.4</v>
      </c>
      <c r="BG874" s="87">
        <v>2.8</v>
      </c>
      <c r="BH874" s="87">
        <v>2.5</v>
      </c>
      <c r="BI874" s="87">
        <v>2</v>
      </c>
      <c r="BJ874" s="49">
        <v>22.5</v>
      </c>
      <c r="BK874" s="126">
        <v>10787</v>
      </c>
      <c r="BL874" s="126">
        <v>56952</v>
      </c>
      <c r="BM874" s="126">
        <v>52519</v>
      </c>
      <c r="BN874" s="126">
        <v>49539</v>
      </c>
      <c r="BO874" s="59">
        <v>0</v>
      </c>
      <c r="BP874" s="59">
        <v>0.38829999999999998</v>
      </c>
      <c r="BQ874" s="59">
        <v>0.26869999999999999</v>
      </c>
      <c r="BR874" s="59">
        <v>7.0000000000000001E-3</v>
      </c>
      <c r="BS874" s="59">
        <v>1.4E-2</v>
      </c>
      <c r="BT874" s="49">
        <v>17</v>
      </c>
      <c r="BU874" s="59">
        <f t="shared" si="64"/>
        <v>0.67800000000000005</v>
      </c>
      <c r="BV874" s="59">
        <v>2.8000000000000001E-2</v>
      </c>
      <c r="BW874" s="59">
        <v>7.0000000000000001E-3</v>
      </c>
      <c r="BX874" s="59">
        <v>2.1000000000000001E-2</v>
      </c>
      <c r="BY874" s="59">
        <v>7.0000000000000001E-3</v>
      </c>
      <c r="BZ874" s="59">
        <v>0</v>
      </c>
      <c r="CA874" s="49">
        <v>14.4</v>
      </c>
      <c r="CB874" s="59">
        <f t="shared" si="65"/>
        <v>6.3000000000000014E-2</v>
      </c>
      <c r="CC874" s="59">
        <v>0.23089999999999999</v>
      </c>
      <c r="CD874" s="59">
        <v>0.4093</v>
      </c>
      <c r="CE874" s="59">
        <v>0.33189999999999997</v>
      </c>
      <c r="CF874" s="59">
        <v>1.4E-2</v>
      </c>
      <c r="CG874" s="59">
        <v>1.4E-2</v>
      </c>
      <c r="CH874" s="49">
        <v>14.9</v>
      </c>
      <c r="CI874" s="26" t="s">
        <v>361</v>
      </c>
      <c r="CJ874" s="18" t="s">
        <v>489</v>
      </c>
      <c r="CK874" s="20"/>
    </row>
    <row r="875" spans="1:99" x14ac:dyDescent="0.25">
      <c r="A875" s="18" t="s">
        <v>489</v>
      </c>
      <c r="B875" s="19" t="s">
        <v>355</v>
      </c>
      <c r="C875" s="26" t="s">
        <v>362</v>
      </c>
      <c r="D875" s="6">
        <v>29</v>
      </c>
      <c r="E875" s="40" t="s">
        <v>83</v>
      </c>
      <c r="F875" s="6">
        <v>29</v>
      </c>
      <c r="G875" s="162" t="s">
        <v>83</v>
      </c>
      <c r="H875" s="162" t="s">
        <v>83</v>
      </c>
      <c r="I875" s="163">
        <v>1</v>
      </c>
      <c r="J875" s="163">
        <v>8</v>
      </c>
      <c r="K875" s="163">
        <v>7</v>
      </c>
      <c r="L875" s="163">
        <v>9</v>
      </c>
      <c r="M875" s="163">
        <v>4</v>
      </c>
      <c r="N875" s="115">
        <v>1.62556053811659E-2</v>
      </c>
      <c r="O875" s="115">
        <v>1.62556053811659E-2</v>
      </c>
      <c r="P875" s="116" t="s">
        <v>83</v>
      </c>
      <c r="Q875" s="116" t="s">
        <v>83</v>
      </c>
      <c r="R875" s="115">
        <v>0.33333333333333298</v>
      </c>
      <c r="S875" s="115">
        <v>1.5968063872255502E-2</v>
      </c>
      <c r="T875" s="115">
        <v>1.5384615384615399E-2</v>
      </c>
      <c r="U875" s="115">
        <v>2.0881670533642701E-2</v>
      </c>
      <c r="V875" s="115">
        <v>1.01522842639594E-2</v>
      </c>
      <c r="W875" s="6">
        <v>1701</v>
      </c>
      <c r="X875" s="40">
        <f t="shared" si="62"/>
        <v>1701</v>
      </c>
      <c r="Y875" s="40">
        <f t="shared" si="63"/>
        <v>1701</v>
      </c>
      <c r="Z875" s="59">
        <v>0.51319999999999999</v>
      </c>
      <c r="AA875" s="59">
        <v>0.48680000000000001</v>
      </c>
      <c r="AB875" s="61">
        <v>1.7636684303350969E-3</v>
      </c>
      <c r="AC875" s="61">
        <v>1.7048794826572605E-2</v>
      </c>
      <c r="AD875" s="61">
        <v>9.2298647854203414E-2</v>
      </c>
      <c r="AE875" s="61">
        <v>4.9970605526161081E-2</v>
      </c>
      <c r="AF875" s="61">
        <v>5.8788947677836567E-4</v>
      </c>
      <c r="AG875" s="61">
        <v>0.83127572016460904</v>
      </c>
      <c r="AH875" s="61">
        <v>7.0546737213403876E-3</v>
      </c>
      <c r="AI875" s="61">
        <v>0.16872427983539096</v>
      </c>
      <c r="AJ875" s="59">
        <v>0.33600000000000002</v>
      </c>
      <c r="AK875" s="59">
        <v>0.01</v>
      </c>
      <c r="AL875" s="3">
        <v>0</v>
      </c>
      <c r="AM875" s="3">
        <v>0</v>
      </c>
      <c r="AN875" s="3">
        <v>0</v>
      </c>
      <c r="AO875" s="3">
        <v>470</v>
      </c>
      <c r="AP875" s="3">
        <v>434</v>
      </c>
      <c r="AQ875" s="3">
        <v>411</v>
      </c>
      <c r="AR875" s="3">
        <v>386</v>
      </c>
      <c r="AS875" s="59">
        <v>0</v>
      </c>
      <c r="AT875" s="3">
        <v>9</v>
      </c>
      <c r="AU875" s="3">
        <v>6</v>
      </c>
      <c r="AV875" s="49">
        <v>59.081419624217105</v>
      </c>
      <c r="AW875" s="49">
        <v>23.660403618650001</v>
      </c>
      <c r="AX875" s="49">
        <v>15.309672929714699</v>
      </c>
      <c r="AY875" s="67">
        <v>1.9485038274182302</v>
      </c>
      <c r="AZ875" s="62">
        <v>8.0382237211916813E-2</v>
      </c>
      <c r="BA875" s="62">
        <v>5.4525014052838675E-2</v>
      </c>
      <c r="BB875" s="77">
        <v>95.026550964900906</v>
      </c>
      <c r="BC875" s="49">
        <v>19.798657718120801</v>
      </c>
      <c r="BD875" s="90" t="s">
        <v>83</v>
      </c>
      <c r="BE875" s="90" t="s">
        <v>83</v>
      </c>
      <c r="BF875" s="87">
        <v>3.3</v>
      </c>
      <c r="BG875" s="87">
        <v>2.1</v>
      </c>
      <c r="BH875" s="87">
        <v>1.3</v>
      </c>
      <c r="BI875" s="87">
        <v>2.1</v>
      </c>
      <c r="BJ875" s="49">
        <v>23.1</v>
      </c>
      <c r="BK875" s="126">
        <v>11458</v>
      </c>
      <c r="BL875" s="126">
        <v>56646</v>
      </c>
      <c r="BM875" s="126">
        <v>57022</v>
      </c>
      <c r="BN875" s="126">
        <v>49616</v>
      </c>
      <c r="BO875" s="59">
        <v>6.0000000000000001E-3</v>
      </c>
      <c r="BP875" s="59">
        <v>0.34360000000000002</v>
      </c>
      <c r="BQ875" s="59">
        <v>0.30199999999999999</v>
      </c>
      <c r="BR875" s="59">
        <v>0</v>
      </c>
      <c r="BS875" s="59">
        <v>1.2E-2</v>
      </c>
      <c r="BT875" s="49">
        <v>15.7</v>
      </c>
      <c r="BU875" s="59">
        <f t="shared" si="64"/>
        <v>0.66359999999999997</v>
      </c>
      <c r="BV875" s="59">
        <v>3.5900000000000001E-2</v>
      </c>
      <c r="BW875" s="59">
        <v>0</v>
      </c>
      <c r="BX875" s="59">
        <v>2.9899999999999999E-2</v>
      </c>
      <c r="BY875" s="59">
        <v>0</v>
      </c>
      <c r="BZ875" s="59">
        <v>0</v>
      </c>
      <c r="CA875" s="49">
        <v>22.7</v>
      </c>
      <c r="CB875" s="59">
        <f t="shared" si="65"/>
        <v>6.5799999999999997E-2</v>
      </c>
      <c r="CC875" s="59">
        <v>0.25190000000000001</v>
      </c>
      <c r="CD875" s="59">
        <v>0.35560000000000003</v>
      </c>
      <c r="CE875" s="59">
        <v>0.37459999999999999</v>
      </c>
      <c r="CF875" s="59">
        <v>0</v>
      </c>
      <c r="CG875" s="59">
        <v>1.7999999999999999E-2</v>
      </c>
      <c r="CH875" s="49">
        <v>15.1</v>
      </c>
      <c r="CI875" s="26" t="s">
        <v>362</v>
      </c>
      <c r="CJ875" s="18" t="s">
        <v>489</v>
      </c>
      <c r="CK875" s="20"/>
    </row>
    <row r="876" spans="1:99" x14ac:dyDescent="0.25">
      <c r="A876" s="18" t="s">
        <v>489</v>
      </c>
      <c r="B876" s="19" t="s">
        <v>355</v>
      </c>
      <c r="C876" s="26" t="s">
        <v>363</v>
      </c>
      <c r="D876" s="6">
        <v>28</v>
      </c>
      <c r="E876" s="40" t="s">
        <v>83</v>
      </c>
      <c r="F876" s="6">
        <v>28</v>
      </c>
      <c r="G876" s="162" t="s">
        <v>83</v>
      </c>
      <c r="H876" s="162" t="s">
        <v>83</v>
      </c>
      <c r="I876" s="163">
        <v>1</v>
      </c>
      <c r="J876" s="163">
        <v>7</v>
      </c>
      <c r="K876" s="163">
        <v>5</v>
      </c>
      <c r="L876" s="163">
        <v>9</v>
      </c>
      <c r="M876" s="163">
        <v>6</v>
      </c>
      <c r="N876" s="115">
        <v>2.5806451612903201E-2</v>
      </c>
      <c r="O876" s="115">
        <v>2.5806451612903201E-2</v>
      </c>
      <c r="P876" s="116" t="s">
        <v>83</v>
      </c>
      <c r="Q876" s="116" t="s">
        <v>83</v>
      </c>
      <c r="R876" s="115">
        <v>8.3333333333333301E-2</v>
      </c>
      <c r="S876" s="115">
        <v>2.25806451612903E-2</v>
      </c>
      <c r="T876" s="115">
        <v>1.9230769230769201E-2</v>
      </c>
      <c r="U876" s="115">
        <v>3.5019455252918302E-2</v>
      </c>
      <c r="V876" s="115">
        <v>2.4390243902439001E-2</v>
      </c>
      <c r="W876" s="6">
        <v>1028</v>
      </c>
      <c r="X876" s="40">
        <f t="shared" si="62"/>
        <v>1028</v>
      </c>
      <c r="Y876" s="40">
        <f t="shared" si="63"/>
        <v>1028</v>
      </c>
      <c r="Z876" s="59">
        <v>0.48830000000000001</v>
      </c>
      <c r="AA876" s="59">
        <v>0.51170000000000004</v>
      </c>
      <c r="AB876" s="61">
        <v>1.9455252918287938E-3</v>
      </c>
      <c r="AC876" s="61">
        <v>8.7548638132295721E-3</v>
      </c>
      <c r="AD876" s="61">
        <v>0.1517509727626459</v>
      </c>
      <c r="AE876" s="61">
        <v>4.1828793774319063E-2</v>
      </c>
      <c r="AF876" s="61">
        <v>0</v>
      </c>
      <c r="AG876" s="61">
        <v>0.7811284046692607</v>
      </c>
      <c r="AH876" s="61">
        <v>1.4591439688715954E-2</v>
      </c>
      <c r="AI876" s="61">
        <v>0.2188715953307393</v>
      </c>
      <c r="AJ876" s="59">
        <v>0.34799999999999998</v>
      </c>
      <c r="AK876" s="59">
        <v>4.8999999999999998E-3</v>
      </c>
      <c r="AL876" s="3">
        <v>0</v>
      </c>
      <c r="AM876" s="3">
        <v>0</v>
      </c>
      <c r="AN876" s="3">
        <v>10</v>
      </c>
      <c r="AO876" s="3">
        <v>294</v>
      </c>
      <c r="AP876" s="3">
        <v>245</v>
      </c>
      <c r="AQ876" s="3">
        <v>245</v>
      </c>
      <c r="AR876" s="3">
        <v>234</v>
      </c>
      <c r="AS876" s="59">
        <v>3.2894736842105261E-2</v>
      </c>
      <c r="AT876" s="3">
        <v>9</v>
      </c>
      <c r="AU876" s="3">
        <v>6</v>
      </c>
      <c r="AV876" s="49">
        <v>65.0267379679144</v>
      </c>
      <c r="AW876" s="49">
        <v>22.032085561497301</v>
      </c>
      <c r="AX876" s="49">
        <v>12.727272727272702</v>
      </c>
      <c r="AY876" s="67">
        <v>0.21390374331550799</v>
      </c>
      <c r="AZ876" s="62">
        <v>8.72794800371402E-2</v>
      </c>
      <c r="BA876" s="62">
        <v>7.1494893221912714E-2</v>
      </c>
      <c r="BB876" s="78">
        <v>95.506497749587396</v>
      </c>
      <c r="BC876" s="49">
        <v>13.5859519408503</v>
      </c>
      <c r="BD876" s="90" t="s">
        <v>83</v>
      </c>
      <c r="BE876" s="90" t="s">
        <v>83</v>
      </c>
      <c r="BF876" s="87">
        <v>4.0999999999999996</v>
      </c>
      <c r="BG876" s="87">
        <v>4.3</v>
      </c>
      <c r="BH876" s="87">
        <v>2.6</v>
      </c>
      <c r="BI876" s="87">
        <v>1.3</v>
      </c>
      <c r="BJ876" s="49">
        <v>22.6</v>
      </c>
      <c r="BK876" s="126">
        <v>11218</v>
      </c>
      <c r="BL876" s="126">
        <v>54551</v>
      </c>
      <c r="BM876" s="126">
        <v>49834</v>
      </c>
      <c r="BN876" s="126">
        <v>47260</v>
      </c>
      <c r="BO876" s="59">
        <v>0</v>
      </c>
      <c r="BP876" s="59">
        <v>0.34510000000000002</v>
      </c>
      <c r="BQ876" s="59">
        <v>0.28610000000000002</v>
      </c>
      <c r="BR876" s="59">
        <v>0</v>
      </c>
      <c r="BS876" s="59">
        <v>9.9000000000000008E-3</v>
      </c>
      <c r="BT876" s="49">
        <v>13.4</v>
      </c>
      <c r="BU876" s="59">
        <f t="shared" si="64"/>
        <v>0.6411</v>
      </c>
      <c r="BV876" s="59">
        <v>2.8299999999999999E-2</v>
      </c>
      <c r="BW876" s="59">
        <v>1.0500000000000001E-2</v>
      </c>
      <c r="BX876" s="59">
        <v>2.9600000000000001E-2</v>
      </c>
      <c r="BY876" s="59">
        <v>0</v>
      </c>
      <c r="BZ876" s="59">
        <v>0</v>
      </c>
      <c r="CA876" s="49">
        <v>13.7</v>
      </c>
      <c r="CB876" s="59">
        <f t="shared" si="65"/>
        <v>6.8400000000000002E-2</v>
      </c>
      <c r="CC876" s="59">
        <v>0.2616</v>
      </c>
      <c r="CD876" s="59">
        <v>0.36549999999999999</v>
      </c>
      <c r="CE876" s="59">
        <v>0.36299999999999999</v>
      </c>
      <c r="CF876" s="59">
        <v>0</v>
      </c>
      <c r="CG876" s="59">
        <v>9.9000000000000008E-3</v>
      </c>
      <c r="CH876" s="49">
        <v>12.5</v>
      </c>
      <c r="CI876" s="26" t="s">
        <v>363</v>
      </c>
      <c r="CJ876" s="18" t="s">
        <v>489</v>
      </c>
      <c r="CK876" s="20"/>
    </row>
    <row r="877" spans="1:99" x14ac:dyDescent="0.25">
      <c r="A877" s="18" t="s">
        <v>489</v>
      </c>
      <c r="B877" s="19" t="s">
        <v>364</v>
      </c>
      <c r="C877" s="26" t="s">
        <v>496</v>
      </c>
      <c r="D877" s="6">
        <v>32</v>
      </c>
      <c r="E877" s="40" t="s">
        <v>83</v>
      </c>
      <c r="F877" s="6">
        <v>32</v>
      </c>
      <c r="G877" s="162" t="s">
        <v>83</v>
      </c>
      <c r="H877" s="162" t="s">
        <v>83</v>
      </c>
      <c r="I877" s="162" t="s">
        <v>83</v>
      </c>
      <c r="J877" s="163">
        <v>17</v>
      </c>
      <c r="K877" s="163">
        <v>6</v>
      </c>
      <c r="L877" s="163">
        <v>3</v>
      </c>
      <c r="M877" s="163">
        <v>6</v>
      </c>
      <c r="N877" s="115">
        <v>6.5306122448979598E-2</v>
      </c>
      <c r="O877" s="115">
        <v>6.5306122448979598E-2</v>
      </c>
      <c r="P877" s="116" t="s">
        <v>83</v>
      </c>
      <c r="Q877" s="116" t="s">
        <v>83</v>
      </c>
      <c r="R877" s="116" t="s">
        <v>83</v>
      </c>
      <c r="S877" s="115">
        <v>0.11333333333333299</v>
      </c>
      <c r="T877" s="115">
        <v>4.6511627906976702E-2</v>
      </c>
      <c r="U877" s="115">
        <v>2.83018867924528E-2</v>
      </c>
      <c r="V877" s="115">
        <v>5.7142857142857099E-2</v>
      </c>
      <c r="W877" s="6">
        <v>421</v>
      </c>
      <c r="X877" s="40">
        <f t="shared" si="62"/>
        <v>421</v>
      </c>
      <c r="Y877" s="40">
        <f t="shared" si="63"/>
        <v>421</v>
      </c>
      <c r="Z877" s="59">
        <v>0.54390000000000005</v>
      </c>
      <c r="AA877" s="59">
        <v>0.45610000000000001</v>
      </c>
      <c r="AB877" s="61">
        <v>0</v>
      </c>
      <c r="AC877" s="61">
        <v>4.7505938242280287E-3</v>
      </c>
      <c r="AD877" s="61">
        <v>0.76247030878859856</v>
      </c>
      <c r="AE877" s="61">
        <v>9.5011876484560574E-3</v>
      </c>
      <c r="AF877" s="61">
        <v>0</v>
      </c>
      <c r="AG877" s="61">
        <v>0.17577197149643706</v>
      </c>
      <c r="AH877" s="61">
        <v>4.7505938242280284E-2</v>
      </c>
      <c r="AI877" s="61">
        <v>0.82422802850356292</v>
      </c>
      <c r="AJ877" s="59">
        <v>0.93799999999999994</v>
      </c>
      <c r="AK877" s="59">
        <v>2.3999999999999998E-3</v>
      </c>
      <c r="AL877" s="3">
        <v>0</v>
      </c>
      <c r="AM877" s="3">
        <v>0</v>
      </c>
      <c r="AN877" s="3">
        <v>0</v>
      </c>
      <c r="AO877" s="3">
        <v>124</v>
      </c>
      <c r="AP877" s="3">
        <v>119</v>
      </c>
      <c r="AQ877" s="3">
        <v>89</v>
      </c>
      <c r="AR877" s="3">
        <v>89</v>
      </c>
      <c r="AS877" s="59">
        <v>0</v>
      </c>
      <c r="AT877" s="3">
        <v>9</v>
      </c>
      <c r="AU877" s="3">
        <v>6</v>
      </c>
      <c r="AV877" s="49">
        <v>81.447963800905001</v>
      </c>
      <c r="AW877" s="49">
        <v>14.4796380090498</v>
      </c>
      <c r="AX877" s="49">
        <v>4.0723981900452495</v>
      </c>
      <c r="AY877" s="67">
        <v>0</v>
      </c>
      <c r="AZ877" s="62">
        <v>0.24947589098532494</v>
      </c>
      <c r="BA877" s="62">
        <v>0.28930817610062892</v>
      </c>
      <c r="BB877" s="77">
        <v>90.368171193798005</v>
      </c>
      <c r="BC877" s="49">
        <v>57.023060796645701</v>
      </c>
      <c r="BD877" s="90" t="s">
        <v>83</v>
      </c>
      <c r="BE877" s="90" t="s">
        <v>83</v>
      </c>
      <c r="BF877" s="87">
        <v>6.7</v>
      </c>
      <c r="BG877" s="87">
        <v>2.9</v>
      </c>
      <c r="BH877" s="87">
        <v>3.4</v>
      </c>
      <c r="BI877" s="87">
        <v>1.1000000000000001</v>
      </c>
      <c r="BJ877" s="49">
        <v>16.3</v>
      </c>
      <c r="BK877" s="126">
        <v>13155</v>
      </c>
      <c r="BL877" s="126">
        <v>46790</v>
      </c>
      <c r="BM877" s="126">
        <v>66501</v>
      </c>
      <c r="BN877" s="126">
        <v>34508</v>
      </c>
      <c r="BO877" s="59">
        <v>2.3999999999999998E-3</v>
      </c>
      <c r="BP877" s="59">
        <v>0.35780000000000001</v>
      </c>
      <c r="BQ877" s="59">
        <v>0.1045</v>
      </c>
      <c r="BR877" s="59">
        <v>0</v>
      </c>
      <c r="BS877" s="59">
        <v>1.3299999999999999E-2</v>
      </c>
      <c r="BT877" s="49">
        <v>10.4</v>
      </c>
      <c r="BU877" s="59">
        <f t="shared" si="64"/>
        <v>0.47799999999999998</v>
      </c>
      <c r="BV877" s="59">
        <v>0</v>
      </c>
      <c r="BW877" s="59">
        <v>5.7000000000000002E-3</v>
      </c>
      <c r="BX877" s="59">
        <v>3.6400000000000002E-2</v>
      </c>
      <c r="BY877" s="59">
        <v>0</v>
      </c>
      <c r="BZ877" s="59">
        <v>0</v>
      </c>
      <c r="CA877" s="49">
        <v>16.5</v>
      </c>
      <c r="CB877" s="59">
        <f t="shared" si="65"/>
        <v>4.2099999999999999E-2</v>
      </c>
      <c r="CC877" s="59">
        <v>0.441</v>
      </c>
      <c r="CD877" s="59">
        <v>0.39179999999999998</v>
      </c>
      <c r="CE877" s="59">
        <v>0.15390000000000001</v>
      </c>
      <c r="CF877" s="59">
        <v>0</v>
      </c>
      <c r="CG877" s="59">
        <v>1.3299999999999999E-2</v>
      </c>
      <c r="CH877" s="49">
        <v>10</v>
      </c>
      <c r="CI877" s="26" t="s">
        <v>496</v>
      </c>
      <c r="CJ877" s="18" t="s">
        <v>489</v>
      </c>
      <c r="CK877" s="20"/>
    </row>
    <row r="878" spans="1:99" x14ac:dyDescent="0.25">
      <c r="A878" s="18" t="s">
        <v>489</v>
      </c>
      <c r="B878" s="19" t="s">
        <v>364</v>
      </c>
      <c r="C878" s="26" t="s">
        <v>366</v>
      </c>
      <c r="D878" s="6">
        <v>116</v>
      </c>
      <c r="E878" s="40" t="s">
        <v>83</v>
      </c>
      <c r="F878" s="6">
        <v>116</v>
      </c>
      <c r="G878" s="162" t="s">
        <v>83</v>
      </c>
      <c r="H878" s="162" t="s">
        <v>83</v>
      </c>
      <c r="I878" s="162" t="s">
        <v>83</v>
      </c>
      <c r="J878" s="163">
        <v>39</v>
      </c>
      <c r="K878" s="163">
        <v>33</v>
      </c>
      <c r="L878" s="163">
        <v>20</v>
      </c>
      <c r="M878" s="163">
        <v>24</v>
      </c>
      <c r="N878" s="115">
        <v>6.8639053254437907E-2</v>
      </c>
      <c r="O878" s="115">
        <v>6.8639053254437907E-2</v>
      </c>
      <c r="P878" s="116" t="s">
        <v>83</v>
      </c>
      <c r="Q878" s="116" t="s">
        <v>83</v>
      </c>
      <c r="R878" s="116" t="s">
        <v>83</v>
      </c>
      <c r="S878" s="115">
        <v>7.18232044198895E-2</v>
      </c>
      <c r="T878" s="115">
        <v>7.9710144927536197E-2</v>
      </c>
      <c r="U878" s="115">
        <v>5.0377833753148603E-2</v>
      </c>
      <c r="V878" s="115">
        <v>7.1428571428571397E-2</v>
      </c>
      <c r="W878" s="6">
        <v>1453</v>
      </c>
      <c r="X878" s="40">
        <f t="shared" si="62"/>
        <v>1453</v>
      </c>
      <c r="Y878" s="40">
        <f t="shared" si="63"/>
        <v>1453</v>
      </c>
      <c r="Z878" s="59">
        <v>0.52439999999999998</v>
      </c>
      <c r="AA878" s="59">
        <v>0.47560000000000002</v>
      </c>
      <c r="AB878" s="61">
        <v>0</v>
      </c>
      <c r="AC878" s="61">
        <v>1.307639366827254E-2</v>
      </c>
      <c r="AD878" s="61">
        <v>0.52443220922229872</v>
      </c>
      <c r="AE878" s="61">
        <v>5.8499655884377152E-2</v>
      </c>
      <c r="AF878" s="61">
        <v>0</v>
      </c>
      <c r="AG878" s="61">
        <v>0.34549208534067449</v>
      </c>
      <c r="AH878" s="61">
        <v>5.8499655884377152E-2</v>
      </c>
      <c r="AI878" s="61">
        <v>0.65450791465932556</v>
      </c>
      <c r="AJ878" s="59">
        <v>0.76500000000000001</v>
      </c>
      <c r="AK878" s="59">
        <v>2.1299999999999999E-2</v>
      </c>
      <c r="AL878" s="3">
        <v>0</v>
      </c>
      <c r="AM878" s="3">
        <v>0</v>
      </c>
      <c r="AN878" s="3">
        <v>0</v>
      </c>
      <c r="AO878" s="3">
        <v>445</v>
      </c>
      <c r="AP878" s="3">
        <v>364</v>
      </c>
      <c r="AQ878" s="3">
        <v>357</v>
      </c>
      <c r="AR878" s="3">
        <v>287</v>
      </c>
      <c r="AS878" s="59">
        <v>0</v>
      </c>
      <c r="AT878" s="3">
        <v>9</v>
      </c>
      <c r="AU878" s="3">
        <v>6</v>
      </c>
      <c r="AV878" s="49">
        <v>46.843853820598</v>
      </c>
      <c r="AW878" s="49">
        <v>24.418604651162802</v>
      </c>
      <c r="AX878" s="49">
        <v>24.086378737541501</v>
      </c>
      <c r="AY878" s="67">
        <v>4.6511627906976702</v>
      </c>
      <c r="AZ878" s="62">
        <v>0.22021660649819494</v>
      </c>
      <c r="BA878" s="62">
        <v>0.14139590854392298</v>
      </c>
      <c r="BB878" s="78">
        <v>90.659041959405897</v>
      </c>
      <c r="BC878" s="49">
        <v>53.749250149970003</v>
      </c>
      <c r="BD878" s="90" t="s">
        <v>83</v>
      </c>
      <c r="BE878" s="90" t="s">
        <v>83</v>
      </c>
      <c r="BF878" s="87">
        <v>6.7</v>
      </c>
      <c r="BG878" s="87">
        <v>3.4</v>
      </c>
      <c r="BH878" s="87">
        <v>2.7</v>
      </c>
      <c r="BI878" s="87">
        <v>1.7</v>
      </c>
      <c r="BJ878" s="49">
        <v>18.899999999999999</v>
      </c>
      <c r="BK878" s="126">
        <v>9179</v>
      </c>
      <c r="BL878" s="126">
        <v>44934</v>
      </c>
      <c r="BM878" s="126">
        <v>59901</v>
      </c>
      <c r="BN878" s="126">
        <v>36054</v>
      </c>
      <c r="BO878" s="59">
        <v>5.1999999999999998E-3</v>
      </c>
      <c r="BP878" s="59">
        <v>0.41449999999999998</v>
      </c>
      <c r="BQ878" s="59">
        <v>0.15049999999999999</v>
      </c>
      <c r="BR878" s="59">
        <v>0</v>
      </c>
      <c r="BS878" s="59">
        <v>6.6E-3</v>
      </c>
      <c r="BT878" s="49">
        <v>7.5</v>
      </c>
      <c r="BU878" s="59">
        <f t="shared" si="64"/>
        <v>0.57679999999999998</v>
      </c>
      <c r="BV878" s="59">
        <v>1.1999999999999999E-3</v>
      </c>
      <c r="BW878" s="59">
        <v>0</v>
      </c>
      <c r="BX878" s="59">
        <v>1.3100000000000001E-2</v>
      </c>
      <c r="BY878" s="59">
        <v>0</v>
      </c>
      <c r="BZ878" s="59">
        <v>4.8999999999999998E-3</v>
      </c>
      <c r="CA878" s="49">
        <v>12.2</v>
      </c>
      <c r="CB878" s="59">
        <f t="shared" si="65"/>
        <v>1.9200000000000002E-2</v>
      </c>
      <c r="CC878" s="59">
        <v>0.3448</v>
      </c>
      <c r="CD878" s="59">
        <v>0.4405</v>
      </c>
      <c r="CE878" s="59">
        <v>0.20050000000000001</v>
      </c>
      <c r="CF878" s="59">
        <v>2.8E-3</v>
      </c>
      <c r="CG878" s="59">
        <v>1.15E-2</v>
      </c>
      <c r="CH878" s="49">
        <v>8.4</v>
      </c>
      <c r="CI878" s="26" t="s">
        <v>366</v>
      </c>
      <c r="CJ878" s="18" t="s">
        <v>489</v>
      </c>
      <c r="CK878" s="20"/>
    </row>
    <row r="879" spans="1:99" x14ac:dyDescent="0.25">
      <c r="A879" s="18" t="s">
        <v>489</v>
      </c>
      <c r="B879" s="19" t="s">
        <v>364</v>
      </c>
      <c r="C879" s="26" t="s">
        <v>497</v>
      </c>
      <c r="D879" s="6">
        <v>27</v>
      </c>
      <c r="E879" s="40" t="s">
        <v>83</v>
      </c>
      <c r="F879" s="6">
        <v>27</v>
      </c>
      <c r="G879" s="162" t="s">
        <v>83</v>
      </c>
      <c r="H879" s="162" t="s">
        <v>83</v>
      </c>
      <c r="I879" s="162" t="s">
        <v>83</v>
      </c>
      <c r="J879" s="163">
        <v>6</v>
      </c>
      <c r="K879" s="163">
        <v>4</v>
      </c>
      <c r="L879" s="163">
        <v>9</v>
      </c>
      <c r="M879" s="163">
        <v>8</v>
      </c>
      <c r="N879" s="115">
        <v>6.1643835616438401E-2</v>
      </c>
      <c r="O879" s="115">
        <v>6.1643835616438401E-2</v>
      </c>
      <c r="P879" s="116" t="s">
        <v>83</v>
      </c>
      <c r="Q879" s="116" t="s">
        <v>83</v>
      </c>
      <c r="R879" s="116" t="s">
        <v>83</v>
      </c>
      <c r="S879" s="115">
        <v>4.1958041958042001E-2</v>
      </c>
      <c r="T879" s="115">
        <v>4.0404040404040401E-2</v>
      </c>
      <c r="U879" s="115">
        <v>8.2568807339449504E-2</v>
      </c>
      <c r="V879" s="115">
        <v>9.1954022988505704E-2</v>
      </c>
      <c r="W879" s="6">
        <v>366</v>
      </c>
      <c r="X879" s="40">
        <f t="shared" si="62"/>
        <v>366</v>
      </c>
      <c r="Y879" s="40">
        <f t="shared" si="63"/>
        <v>366</v>
      </c>
      <c r="Z879" s="59">
        <v>0.42899999999999999</v>
      </c>
      <c r="AA879" s="59">
        <v>0.57099999999999995</v>
      </c>
      <c r="AB879" s="61">
        <v>0</v>
      </c>
      <c r="AC879" s="61">
        <v>0</v>
      </c>
      <c r="AD879" s="61">
        <v>0.56010928961748629</v>
      </c>
      <c r="AE879" s="61">
        <v>0.14207650273224043</v>
      </c>
      <c r="AF879" s="61">
        <v>0</v>
      </c>
      <c r="AG879" s="61">
        <v>0.24316939890710382</v>
      </c>
      <c r="AH879" s="61">
        <v>5.4644808743169397E-2</v>
      </c>
      <c r="AI879" s="61">
        <v>0.75683060109289613</v>
      </c>
      <c r="AJ879" s="59">
        <v>0.94799999999999995</v>
      </c>
      <c r="AK879" s="59">
        <v>4.3700000000000003E-2</v>
      </c>
      <c r="AL879" s="3">
        <v>0</v>
      </c>
      <c r="AM879" s="3">
        <v>0</v>
      </c>
      <c r="AN879" s="3">
        <v>0</v>
      </c>
      <c r="AO879" s="3">
        <v>112</v>
      </c>
      <c r="AP879" s="3">
        <v>96</v>
      </c>
      <c r="AQ879" s="3">
        <v>92</v>
      </c>
      <c r="AR879" s="3">
        <v>66</v>
      </c>
      <c r="AS879" s="59">
        <v>0</v>
      </c>
      <c r="AT879" s="3">
        <v>9</v>
      </c>
      <c r="AU879" s="3">
        <v>6</v>
      </c>
      <c r="AV879" s="49">
        <v>84.251968503937007</v>
      </c>
      <c r="AW879" s="49">
        <v>14.173228346456701</v>
      </c>
      <c r="AX879" s="49">
        <v>1.5748031496063</v>
      </c>
      <c r="AY879" s="67">
        <v>0</v>
      </c>
      <c r="AZ879" s="62">
        <v>0.5488372093023256</v>
      </c>
      <c r="BA879" s="62">
        <v>0.41627906976744183</v>
      </c>
      <c r="BB879" s="77">
        <v>88.450854167706296</v>
      </c>
      <c r="BC879" s="49">
        <v>48.498845265588898</v>
      </c>
      <c r="BD879" s="90" t="s">
        <v>83</v>
      </c>
      <c r="BE879" s="90" t="s">
        <v>83</v>
      </c>
      <c r="BF879" s="87">
        <v>4.9000000000000004</v>
      </c>
      <c r="BG879" s="87">
        <v>3.6</v>
      </c>
      <c r="BH879" s="87">
        <v>9.1999999999999993</v>
      </c>
      <c r="BI879" s="87">
        <v>0</v>
      </c>
      <c r="BJ879" s="49">
        <v>16.100000000000001</v>
      </c>
      <c r="BK879" s="126">
        <v>12025</v>
      </c>
      <c r="BL879" s="126">
        <v>45740</v>
      </c>
      <c r="BM879" s="126">
        <v>59742</v>
      </c>
      <c r="BN879" s="126">
        <v>38654</v>
      </c>
      <c r="BO879" s="59">
        <v>0</v>
      </c>
      <c r="BP879" s="59">
        <v>0.4526</v>
      </c>
      <c r="BQ879" s="59">
        <v>0.1293</v>
      </c>
      <c r="BR879" s="59">
        <v>1.9400000000000001E-2</v>
      </c>
      <c r="BS879" s="59">
        <v>0</v>
      </c>
      <c r="BT879" s="49">
        <v>7.5</v>
      </c>
      <c r="BU879" s="59">
        <f t="shared" si="64"/>
        <v>0.60129999999999995</v>
      </c>
      <c r="BV879" s="59">
        <v>0</v>
      </c>
      <c r="BW879" s="59">
        <v>1.9400000000000001E-2</v>
      </c>
      <c r="BX879" s="59">
        <v>3.8600000000000002E-2</v>
      </c>
      <c r="BY879" s="59">
        <v>0</v>
      </c>
      <c r="BZ879" s="59">
        <v>0</v>
      </c>
      <c r="CA879" s="49">
        <v>11.3</v>
      </c>
      <c r="CB879" s="59">
        <f t="shared" si="65"/>
        <v>5.8000000000000003E-2</v>
      </c>
      <c r="CC879" s="59">
        <v>0.2727</v>
      </c>
      <c r="CD879" s="59">
        <v>0.49130000000000001</v>
      </c>
      <c r="CE879" s="59">
        <v>0.2167</v>
      </c>
      <c r="CF879" s="59">
        <v>1.9400000000000001E-2</v>
      </c>
      <c r="CG879" s="59">
        <v>0</v>
      </c>
      <c r="CH879" s="49">
        <v>9</v>
      </c>
      <c r="CI879" s="26" t="s">
        <v>497</v>
      </c>
      <c r="CJ879" s="18" t="s">
        <v>489</v>
      </c>
      <c r="CK879" s="20"/>
    </row>
    <row r="880" spans="1:99" x14ac:dyDescent="0.25">
      <c r="A880" s="18" t="s">
        <v>489</v>
      </c>
      <c r="B880" s="19" t="s">
        <v>364</v>
      </c>
      <c r="C880" s="26" t="s">
        <v>368</v>
      </c>
      <c r="D880" s="6">
        <v>6</v>
      </c>
      <c r="E880" s="6">
        <v>0</v>
      </c>
      <c r="F880" s="6">
        <v>6</v>
      </c>
      <c r="G880" s="163">
        <v>0</v>
      </c>
      <c r="H880" s="163">
        <v>0</v>
      </c>
      <c r="I880" s="162" t="s">
        <v>83</v>
      </c>
      <c r="J880" s="163">
        <v>1</v>
      </c>
      <c r="K880" s="163">
        <v>3</v>
      </c>
      <c r="L880" s="163">
        <v>0</v>
      </c>
      <c r="M880" s="163">
        <v>2</v>
      </c>
      <c r="N880" s="115">
        <v>1.9230769230769201E-2</v>
      </c>
      <c r="O880" s="115">
        <v>2.8846153846153799E-2</v>
      </c>
      <c r="P880" s="115">
        <v>0</v>
      </c>
      <c r="Q880" s="115">
        <v>0</v>
      </c>
      <c r="R880" s="116" t="s">
        <v>83</v>
      </c>
      <c r="S880" s="115">
        <v>1.5625E-2</v>
      </c>
      <c r="T880" s="115">
        <v>0.06</v>
      </c>
      <c r="U880" s="115">
        <v>0</v>
      </c>
      <c r="V880" s="115">
        <v>4.08163265306122E-2</v>
      </c>
      <c r="W880" s="6">
        <v>288</v>
      </c>
      <c r="X880" s="40">
        <f t="shared" si="62"/>
        <v>193</v>
      </c>
      <c r="Y880" s="40">
        <f t="shared" si="63"/>
        <v>288</v>
      </c>
      <c r="Z880" s="59">
        <v>0.5</v>
      </c>
      <c r="AA880" s="59">
        <v>0.5</v>
      </c>
      <c r="AB880" s="61">
        <v>0</v>
      </c>
      <c r="AC880" s="61">
        <v>0</v>
      </c>
      <c r="AD880" s="61">
        <v>0.9375</v>
      </c>
      <c r="AE880" s="61">
        <v>3.472222222222222E-3</v>
      </c>
      <c r="AF880" s="61">
        <v>0</v>
      </c>
      <c r="AG880" s="61">
        <v>4.1666666666666664E-2</v>
      </c>
      <c r="AH880" s="61">
        <v>1.7361111111111112E-2</v>
      </c>
      <c r="AI880" s="61">
        <v>0.95833333333333337</v>
      </c>
      <c r="AJ880" s="59">
        <v>0.97599999999999998</v>
      </c>
      <c r="AK880" s="59">
        <v>0</v>
      </c>
      <c r="AL880" s="3">
        <v>43</v>
      </c>
      <c r="AM880" s="3">
        <v>52</v>
      </c>
      <c r="AN880" s="3">
        <v>0</v>
      </c>
      <c r="AO880" s="3">
        <v>56</v>
      </c>
      <c r="AP880" s="3">
        <v>47</v>
      </c>
      <c r="AQ880" s="3">
        <v>44</v>
      </c>
      <c r="AR880" s="3">
        <v>46</v>
      </c>
      <c r="AS880" s="59">
        <v>0</v>
      </c>
      <c r="AT880" s="3">
        <v>7</v>
      </c>
      <c r="AU880" s="3">
        <v>6</v>
      </c>
      <c r="AV880" s="49">
        <v>93.283582089552198</v>
      </c>
      <c r="AW880" s="49">
        <v>6.3432835820895495</v>
      </c>
      <c r="AX880" s="49">
        <v>0.37313432835820898</v>
      </c>
      <c r="AY880" s="67">
        <v>0</v>
      </c>
      <c r="AZ880" s="62">
        <v>0.32580645161290323</v>
      </c>
      <c r="BA880" s="62">
        <v>0.34838709677419355</v>
      </c>
      <c r="BB880" s="78">
        <v>90.510418003679504</v>
      </c>
      <c r="BC880" s="49">
        <v>59.615384615384599</v>
      </c>
      <c r="BD880" s="87">
        <v>0</v>
      </c>
      <c r="BE880" s="87">
        <v>2</v>
      </c>
      <c r="BF880" s="87">
        <v>2</v>
      </c>
      <c r="BG880" s="87">
        <v>5.3</v>
      </c>
      <c r="BH880" s="87">
        <v>0</v>
      </c>
      <c r="BI880" s="87">
        <v>0</v>
      </c>
      <c r="BJ880" s="49">
        <v>16.8</v>
      </c>
      <c r="BK880" s="126">
        <v>14126</v>
      </c>
      <c r="BL880" s="126">
        <v>45622</v>
      </c>
      <c r="BM880" s="126">
        <v>64553</v>
      </c>
      <c r="BN880" s="126">
        <v>40959</v>
      </c>
      <c r="BO880" s="59">
        <v>4.0399999999999998E-2</v>
      </c>
      <c r="BP880" s="59">
        <v>0.47139999999999999</v>
      </c>
      <c r="BQ880" s="59">
        <v>0.12670000000000001</v>
      </c>
      <c r="BR880" s="59">
        <v>0</v>
      </c>
      <c r="BS880" s="59">
        <v>2.1299999999999999E-2</v>
      </c>
      <c r="BT880" s="49">
        <v>7.6</v>
      </c>
      <c r="BU880" s="59">
        <f t="shared" si="64"/>
        <v>0.65980000000000005</v>
      </c>
      <c r="BV880" s="59">
        <v>0</v>
      </c>
      <c r="BW880" s="59">
        <v>0</v>
      </c>
      <c r="BX880" s="59">
        <v>4.1700000000000001E-2</v>
      </c>
      <c r="BY880" s="59">
        <v>0</v>
      </c>
      <c r="BZ880" s="59">
        <v>0</v>
      </c>
      <c r="CA880" s="49">
        <v>14.2</v>
      </c>
      <c r="CB880" s="59">
        <f t="shared" si="65"/>
        <v>4.1700000000000001E-2</v>
      </c>
      <c r="CC880" s="59">
        <v>0.29630000000000001</v>
      </c>
      <c r="CD880" s="59">
        <v>0.47139999999999999</v>
      </c>
      <c r="CE880" s="59">
        <v>0.21099999999999999</v>
      </c>
      <c r="CF880" s="59">
        <v>0</v>
      </c>
      <c r="CG880" s="59">
        <v>2.1299999999999999E-2</v>
      </c>
      <c r="CH880" s="49">
        <v>10</v>
      </c>
      <c r="CI880" s="26" t="s">
        <v>368</v>
      </c>
      <c r="CJ880" s="18" t="s">
        <v>489</v>
      </c>
      <c r="CK880" s="20"/>
    </row>
    <row r="881" spans="1:89" x14ac:dyDescent="0.25">
      <c r="A881" s="18" t="s">
        <v>489</v>
      </c>
      <c r="B881" s="19" t="s">
        <v>364</v>
      </c>
      <c r="C881" s="26" t="s">
        <v>369</v>
      </c>
      <c r="D881" s="6">
        <v>41</v>
      </c>
      <c r="E881" s="40" t="s">
        <v>83</v>
      </c>
      <c r="F881" s="6">
        <v>41</v>
      </c>
      <c r="G881" s="162" t="s">
        <v>83</v>
      </c>
      <c r="H881" s="162" t="s">
        <v>83</v>
      </c>
      <c r="I881" s="162" t="s">
        <v>83</v>
      </c>
      <c r="J881" s="163">
        <v>14</v>
      </c>
      <c r="K881" s="163">
        <v>9</v>
      </c>
      <c r="L881" s="163">
        <v>8</v>
      </c>
      <c r="M881" s="163">
        <v>10</v>
      </c>
      <c r="N881" s="115">
        <v>5.5555555555555601E-2</v>
      </c>
      <c r="O881" s="115">
        <v>5.5555555555555601E-2</v>
      </c>
      <c r="P881" s="116" t="s">
        <v>83</v>
      </c>
      <c r="Q881" s="116" t="s">
        <v>83</v>
      </c>
      <c r="R881" s="116" t="s">
        <v>83</v>
      </c>
      <c r="S881" s="115">
        <v>6.7307692307692304E-2</v>
      </c>
      <c r="T881" s="115">
        <v>5.0847457627118599E-2</v>
      </c>
      <c r="U881" s="115">
        <v>4.1450777202072499E-2</v>
      </c>
      <c r="V881" s="115">
        <v>6.25E-2</v>
      </c>
      <c r="W881" s="6">
        <v>665</v>
      </c>
      <c r="X881" s="40">
        <f t="shared" si="62"/>
        <v>665</v>
      </c>
      <c r="Y881" s="40">
        <f t="shared" si="63"/>
        <v>665</v>
      </c>
      <c r="Z881" s="59">
        <v>0.49619999999999997</v>
      </c>
      <c r="AA881" s="59">
        <v>0.50380000000000003</v>
      </c>
      <c r="AB881" s="61">
        <v>3.0075187969924814E-3</v>
      </c>
      <c r="AC881" s="61">
        <v>0</v>
      </c>
      <c r="AD881" s="61">
        <v>0.31428571428571428</v>
      </c>
      <c r="AE881" s="61">
        <v>1.8045112781954888E-2</v>
      </c>
      <c r="AF881" s="61">
        <v>0</v>
      </c>
      <c r="AG881" s="61">
        <v>0.61804511278195484</v>
      </c>
      <c r="AH881" s="61">
        <v>4.6616541353383459E-2</v>
      </c>
      <c r="AI881" s="61">
        <v>0.3819548872180451</v>
      </c>
      <c r="AJ881" s="59">
        <v>0.68300000000000005</v>
      </c>
      <c r="AK881" s="59">
        <v>0</v>
      </c>
      <c r="AL881" s="3">
        <v>0</v>
      </c>
      <c r="AM881" s="3">
        <v>0</v>
      </c>
      <c r="AN881" s="3">
        <v>0</v>
      </c>
      <c r="AO881" s="3">
        <v>183</v>
      </c>
      <c r="AP881" s="3">
        <v>164</v>
      </c>
      <c r="AQ881" s="3">
        <v>170</v>
      </c>
      <c r="AR881" s="3">
        <v>148</v>
      </c>
      <c r="AS881" s="59">
        <v>0</v>
      </c>
      <c r="AT881" s="3">
        <v>9</v>
      </c>
      <c r="AU881" s="3">
        <v>6</v>
      </c>
      <c r="AV881" s="49">
        <v>69.252873563218401</v>
      </c>
      <c r="AW881" s="49">
        <v>18.965517241379303</v>
      </c>
      <c r="AX881" s="49">
        <v>11.206896551724101</v>
      </c>
      <c r="AY881" s="67">
        <v>0.57471264367816099</v>
      </c>
      <c r="AZ881" s="62">
        <v>7.9889807162534437E-2</v>
      </c>
      <c r="BA881" s="62">
        <v>8.1267217630853997E-2</v>
      </c>
      <c r="BB881" s="77">
        <v>89.820345894514702</v>
      </c>
      <c r="BC881" s="49">
        <v>57.005494505494497</v>
      </c>
      <c r="BD881" s="90" t="s">
        <v>83</v>
      </c>
      <c r="BE881" s="90" t="s">
        <v>83</v>
      </c>
      <c r="BF881" s="87">
        <v>1.2</v>
      </c>
      <c r="BG881" s="87">
        <v>0</v>
      </c>
      <c r="BH881" s="87">
        <v>1.2</v>
      </c>
      <c r="BI881" s="87">
        <v>1.4</v>
      </c>
      <c r="BJ881" s="49">
        <v>18.5</v>
      </c>
      <c r="BK881" s="126">
        <v>10310</v>
      </c>
      <c r="BL881" s="126">
        <v>47970</v>
      </c>
      <c r="BM881" s="126">
        <v>67654</v>
      </c>
      <c r="BN881" s="126">
        <v>38076</v>
      </c>
      <c r="BO881" s="59">
        <v>1.24E-2</v>
      </c>
      <c r="BP881" s="59">
        <v>0.40079999999999999</v>
      </c>
      <c r="BQ881" s="59">
        <v>0.13569999999999999</v>
      </c>
      <c r="BR881" s="59">
        <v>1.2500000000000001E-2</v>
      </c>
      <c r="BS881" s="59">
        <v>0</v>
      </c>
      <c r="BT881" s="49">
        <v>9.6</v>
      </c>
      <c r="BU881" s="59">
        <f t="shared" si="64"/>
        <v>0.5613999999999999</v>
      </c>
      <c r="BV881" s="59">
        <v>0</v>
      </c>
      <c r="BW881" s="59">
        <v>0</v>
      </c>
      <c r="BX881" s="59">
        <v>3.5200000000000002E-2</v>
      </c>
      <c r="BY881" s="59">
        <v>0</v>
      </c>
      <c r="BZ881" s="59">
        <v>0</v>
      </c>
      <c r="CA881" s="49">
        <v>16</v>
      </c>
      <c r="CB881" s="59">
        <f t="shared" si="65"/>
        <v>3.5200000000000002E-2</v>
      </c>
      <c r="CC881" s="59">
        <v>0.37719999999999998</v>
      </c>
      <c r="CD881" s="59">
        <v>0.41339999999999999</v>
      </c>
      <c r="CE881" s="59">
        <v>0.18429999999999999</v>
      </c>
      <c r="CF881" s="59">
        <v>1.2500000000000001E-2</v>
      </c>
      <c r="CG881" s="59">
        <v>1.2500000000000001E-2</v>
      </c>
      <c r="CH881" s="49">
        <v>10.7</v>
      </c>
      <c r="CI881" s="26" t="s">
        <v>369</v>
      </c>
      <c r="CJ881" s="18" t="s">
        <v>489</v>
      </c>
      <c r="CK881" s="20"/>
    </row>
    <row r="882" spans="1:89" x14ac:dyDescent="0.25">
      <c r="A882" s="18" t="s">
        <v>489</v>
      </c>
      <c r="B882" s="19" t="s">
        <v>364</v>
      </c>
      <c r="C882" s="26" t="s">
        <v>370</v>
      </c>
      <c r="D882" s="6">
        <v>82</v>
      </c>
      <c r="E882" s="40" t="s">
        <v>83</v>
      </c>
      <c r="F882" s="6">
        <v>82</v>
      </c>
      <c r="G882" s="162" t="s">
        <v>83</v>
      </c>
      <c r="H882" s="162" t="s">
        <v>83</v>
      </c>
      <c r="I882" s="162" t="s">
        <v>83</v>
      </c>
      <c r="J882" s="163">
        <v>22</v>
      </c>
      <c r="K882" s="163">
        <v>23</v>
      </c>
      <c r="L882" s="163">
        <v>16</v>
      </c>
      <c r="M882" s="163">
        <v>21</v>
      </c>
      <c r="N882" s="115">
        <v>4.13306451612903E-2</v>
      </c>
      <c r="O882" s="115">
        <v>4.13306451612903E-2</v>
      </c>
      <c r="P882" s="116" t="s">
        <v>83</v>
      </c>
      <c r="Q882" s="116" t="s">
        <v>83</v>
      </c>
      <c r="R882" s="116" t="s">
        <v>83</v>
      </c>
      <c r="S882" s="115">
        <v>3.48101265822785E-2</v>
      </c>
      <c r="T882" s="115">
        <v>4.2047531992687397E-2</v>
      </c>
      <c r="U882" s="115">
        <v>4.01002506265664E-2</v>
      </c>
      <c r="V882" s="115">
        <v>5.1724137931034503E-2</v>
      </c>
      <c r="W882" s="6">
        <v>1802</v>
      </c>
      <c r="X882" s="40">
        <f t="shared" si="62"/>
        <v>1802</v>
      </c>
      <c r="Y882" s="40">
        <f t="shared" si="63"/>
        <v>1802</v>
      </c>
      <c r="Z882" s="59">
        <v>0.48559999999999998</v>
      </c>
      <c r="AA882" s="59">
        <v>0.51439999999999997</v>
      </c>
      <c r="AB882" s="61">
        <v>0</v>
      </c>
      <c r="AC882" s="61">
        <v>5.5493895671476137E-3</v>
      </c>
      <c r="AD882" s="61">
        <v>0.26470588235294118</v>
      </c>
      <c r="AE882" s="61">
        <v>3.2741398446170925E-2</v>
      </c>
      <c r="AF882" s="61">
        <v>0</v>
      </c>
      <c r="AG882" s="61">
        <v>0.64483906770255273</v>
      </c>
      <c r="AH882" s="61">
        <v>5.2164261931187568E-2</v>
      </c>
      <c r="AI882" s="61">
        <v>0.35516093229744727</v>
      </c>
      <c r="AJ882" s="59">
        <v>0.64600000000000002</v>
      </c>
      <c r="AK882" s="59">
        <v>7.7999999999999996E-3</v>
      </c>
      <c r="AL882" s="3">
        <v>0</v>
      </c>
      <c r="AM882" s="3">
        <v>0</v>
      </c>
      <c r="AN882" s="3">
        <v>0</v>
      </c>
      <c r="AO882" s="3">
        <v>573</v>
      </c>
      <c r="AP882" s="3">
        <v>498</v>
      </c>
      <c r="AQ882" s="3">
        <v>363</v>
      </c>
      <c r="AR882" s="3">
        <v>368</v>
      </c>
      <c r="AS882" s="59">
        <v>0</v>
      </c>
      <c r="AT882" s="3">
        <v>9</v>
      </c>
      <c r="AU882" s="3">
        <v>6</v>
      </c>
      <c r="AV882" s="49">
        <v>49.301675977653595</v>
      </c>
      <c r="AW882" s="49">
        <v>25.2793296089386</v>
      </c>
      <c r="AX882" s="49">
        <v>24.581005586592202</v>
      </c>
      <c r="AY882" s="67">
        <v>0.83798882681564191</v>
      </c>
      <c r="AZ882" s="62">
        <v>0.15135967162647512</v>
      </c>
      <c r="BA882" s="62">
        <v>0.10979989738327348</v>
      </c>
      <c r="BB882" s="78">
        <v>92.770787727971395</v>
      </c>
      <c r="BC882" s="49">
        <v>44.905273937532002</v>
      </c>
      <c r="BD882" s="90" t="s">
        <v>83</v>
      </c>
      <c r="BE882" s="90" t="s">
        <v>83</v>
      </c>
      <c r="BF882" s="87">
        <v>10.5</v>
      </c>
      <c r="BG882" s="87">
        <v>5.2</v>
      </c>
      <c r="BH882" s="87">
        <v>4.9000000000000004</v>
      </c>
      <c r="BI882" s="87">
        <v>1.9</v>
      </c>
      <c r="BJ882" s="49">
        <v>20</v>
      </c>
      <c r="BK882" s="126">
        <v>9071</v>
      </c>
      <c r="BL882" s="126">
        <v>51346</v>
      </c>
      <c r="BM882" s="126">
        <v>76141</v>
      </c>
      <c r="BN882" s="126">
        <v>39706</v>
      </c>
      <c r="BO882" s="59">
        <v>1.17E-2</v>
      </c>
      <c r="BP882" s="59">
        <v>0.40350000000000003</v>
      </c>
      <c r="BQ882" s="59">
        <v>0.1638</v>
      </c>
      <c r="BR882" s="59">
        <v>0</v>
      </c>
      <c r="BS882" s="59">
        <v>5.7999999999999996E-3</v>
      </c>
      <c r="BT882" s="49">
        <v>14.2</v>
      </c>
      <c r="BU882" s="59">
        <f t="shared" si="64"/>
        <v>0.58479999999999999</v>
      </c>
      <c r="BV882" s="59">
        <v>0</v>
      </c>
      <c r="BW882" s="59">
        <v>0</v>
      </c>
      <c r="BX882" s="59">
        <v>1.66E-2</v>
      </c>
      <c r="BY882" s="59">
        <v>0</v>
      </c>
      <c r="BZ882" s="59">
        <v>0</v>
      </c>
      <c r="CA882" s="49">
        <v>23.6</v>
      </c>
      <c r="CB882" s="59">
        <f t="shared" si="65"/>
        <v>1.66E-2</v>
      </c>
      <c r="CC882" s="59">
        <v>0.37730000000000002</v>
      </c>
      <c r="CD882" s="59">
        <v>0.41410000000000002</v>
      </c>
      <c r="CE882" s="59">
        <v>0.20269999999999999</v>
      </c>
      <c r="CF882" s="59">
        <v>0</v>
      </c>
      <c r="CG882" s="59">
        <v>5.7999999999999996E-3</v>
      </c>
      <c r="CH882" s="49">
        <v>12.8</v>
      </c>
      <c r="CI882" s="26" t="s">
        <v>370</v>
      </c>
      <c r="CJ882" s="18" t="s">
        <v>489</v>
      </c>
      <c r="CK882" s="20"/>
    </row>
    <row r="883" spans="1:89" x14ac:dyDescent="0.25">
      <c r="A883" s="18" t="s">
        <v>489</v>
      </c>
      <c r="B883" s="19" t="s">
        <v>364</v>
      </c>
      <c r="C883" s="26" t="s">
        <v>371</v>
      </c>
      <c r="D883" s="6">
        <v>18</v>
      </c>
      <c r="E883" s="40" t="s">
        <v>83</v>
      </c>
      <c r="F883" s="6">
        <v>18</v>
      </c>
      <c r="G883" s="162" t="s">
        <v>83</v>
      </c>
      <c r="H883" s="162" t="s">
        <v>83</v>
      </c>
      <c r="I883" s="163">
        <v>0</v>
      </c>
      <c r="J883" s="163">
        <v>5</v>
      </c>
      <c r="K883" s="163">
        <v>8</v>
      </c>
      <c r="L883" s="163">
        <v>3</v>
      </c>
      <c r="M883" s="163">
        <v>2</v>
      </c>
      <c r="N883" s="115">
        <v>3.6511156186612603E-2</v>
      </c>
      <c r="O883" s="115">
        <v>3.6511156186612603E-2</v>
      </c>
      <c r="P883" s="116" t="s">
        <v>83</v>
      </c>
      <c r="Q883" s="116" t="s">
        <v>83</v>
      </c>
      <c r="R883" s="115">
        <v>0</v>
      </c>
      <c r="S883" s="115">
        <v>3.4013605442176902E-2</v>
      </c>
      <c r="T883" s="115">
        <v>6.6666666666666693E-2</v>
      </c>
      <c r="U883" s="115">
        <v>2.80373831775701E-2</v>
      </c>
      <c r="V883" s="115">
        <v>1.6949152542372899E-2</v>
      </c>
      <c r="W883" s="6">
        <v>455</v>
      </c>
      <c r="X883" s="40">
        <f t="shared" si="62"/>
        <v>455</v>
      </c>
      <c r="Y883" s="40">
        <f t="shared" si="63"/>
        <v>455</v>
      </c>
      <c r="Z883" s="59">
        <v>0.52310000000000001</v>
      </c>
      <c r="AA883" s="59">
        <v>0.47689999999999999</v>
      </c>
      <c r="AB883" s="61">
        <v>4.3956043956043956E-3</v>
      </c>
      <c r="AC883" s="61">
        <v>0</v>
      </c>
      <c r="AD883" s="61">
        <v>0.31208791208791209</v>
      </c>
      <c r="AE883" s="61">
        <v>1.5384615384615385E-2</v>
      </c>
      <c r="AF883" s="61">
        <v>0</v>
      </c>
      <c r="AG883" s="61">
        <v>0.643956043956044</v>
      </c>
      <c r="AH883" s="61">
        <v>2.4175824175824177E-2</v>
      </c>
      <c r="AI883" s="61">
        <v>0.35604395604395606</v>
      </c>
      <c r="AJ883" s="59">
        <v>0.745</v>
      </c>
      <c r="AK883" s="59">
        <v>2.2000000000000001E-3</v>
      </c>
      <c r="AL883" s="3">
        <v>0</v>
      </c>
      <c r="AM883" s="3">
        <v>0</v>
      </c>
      <c r="AN883" s="3">
        <v>1</v>
      </c>
      <c r="AO883" s="3">
        <v>130</v>
      </c>
      <c r="AP883" s="3">
        <v>112</v>
      </c>
      <c r="AQ883" s="3">
        <v>105</v>
      </c>
      <c r="AR883" s="3">
        <v>107</v>
      </c>
      <c r="AS883" s="59">
        <v>7.6335877862595417E-3</v>
      </c>
      <c r="AT883" s="3">
        <v>9</v>
      </c>
      <c r="AU883" s="3">
        <v>6</v>
      </c>
      <c r="AV883" s="49">
        <v>67.600000000000009</v>
      </c>
      <c r="AW883" s="49">
        <v>28.799999999999997</v>
      </c>
      <c r="AX883" s="49">
        <v>3.5999999999999996</v>
      </c>
      <c r="AY883" s="67">
        <v>0</v>
      </c>
      <c r="AZ883" s="62">
        <v>0.36082474226804123</v>
      </c>
      <c r="BA883" s="62">
        <v>0.12989690721649486</v>
      </c>
      <c r="BB883" s="77">
        <v>90.330753271624602</v>
      </c>
      <c r="BC883" s="49">
        <v>50.411522633744902</v>
      </c>
      <c r="BD883" s="90" t="s">
        <v>83</v>
      </c>
      <c r="BE883" s="90" t="s">
        <v>83</v>
      </c>
      <c r="BF883" s="87">
        <v>0.8</v>
      </c>
      <c r="BG883" s="87">
        <v>3.9</v>
      </c>
      <c r="BH883" s="87">
        <v>1.1000000000000001</v>
      </c>
      <c r="BI883" s="87">
        <v>0</v>
      </c>
      <c r="BJ883" s="49">
        <v>18.3</v>
      </c>
      <c r="BK883" s="126">
        <v>11622</v>
      </c>
      <c r="BL883" s="126">
        <v>50806</v>
      </c>
      <c r="BM883" s="126">
        <v>70773</v>
      </c>
      <c r="BN883" s="126">
        <v>38805</v>
      </c>
      <c r="BO883" s="59">
        <v>0</v>
      </c>
      <c r="BP883" s="59">
        <v>0.35599999999999998</v>
      </c>
      <c r="BQ883" s="59">
        <v>0.15160000000000001</v>
      </c>
      <c r="BR883" s="59">
        <v>0</v>
      </c>
      <c r="BS883" s="59">
        <v>0</v>
      </c>
      <c r="BT883" s="49">
        <v>13.9</v>
      </c>
      <c r="BU883" s="59">
        <f t="shared" si="64"/>
        <v>0.50760000000000005</v>
      </c>
      <c r="BV883" s="59">
        <v>0</v>
      </c>
      <c r="BW883" s="59">
        <v>1.4E-2</v>
      </c>
      <c r="BX883" s="59">
        <v>3.0599999999999999E-2</v>
      </c>
      <c r="BY883" s="59">
        <v>0</v>
      </c>
      <c r="BZ883" s="59">
        <v>0</v>
      </c>
      <c r="CA883" s="49">
        <v>28.2</v>
      </c>
      <c r="CB883" s="59">
        <f t="shared" si="65"/>
        <v>4.4600000000000001E-2</v>
      </c>
      <c r="CC883" s="59">
        <v>0.39829999999999999</v>
      </c>
      <c r="CD883" s="59">
        <v>0.38650000000000001</v>
      </c>
      <c r="CE883" s="59">
        <v>0.21529999999999999</v>
      </c>
      <c r="CF883" s="59">
        <v>0</v>
      </c>
      <c r="CG883" s="59">
        <v>0</v>
      </c>
      <c r="CH883" s="49">
        <v>13.6</v>
      </c>
      <c r="CI883" s="26" t="s">
        <v>371</v>
      </c>
      <c r="CJ883" s="18" t="s">
        <v>489</v>
      </c>
      <c r="CK883" s="20"/>
    </row>
    <row r="884" spans="1:89" x14ac:dyDescent="0.25">
      <c r="A884" s="18" t="s">
        <v>489</v>
      </c>
      <c r="B884" s="19" t="s">
        <v>372</v>
      </c>
      <c r="C884" s="26" t="s">
        <v>373</v>
      </c>
      <c r="D884" s="6">
        <v>2</v>
      </c>
      <c r="E884" s="6">
        <v>0</v>
      </c>
      <c r="F884" s="6">
        <v>2</v>
      </c>
      <c r="G884" s="163">
        <v>0</v>
      </c>
      <c r="H884" s="163">
        <v>0</v>
      </c>
      <c r="I884" s="162" t="s">
        <v>83</v>
      </c>
      <c r="J884" s="163">
        <v>1</v>
      </c>
      <c r="K884" s="163">
        <v>0</v>
      </c>
      <c r="L884" s="163">
        <v>1</v>
      </c>
      <c r="M884" s="163">
        <v>0</v>
      </c>
      <c r="N884" s="115">
        <v>6.7796610169491497E-3</v>
      </c>
      <c r="O884" s="115">
        <v>9.2165898617511503E-3</v>
      </c>
      <c r="P884" s="115">
        <v>0</v>
      </c>
      <c r="Q884" s="115">
        <v>0</v>
      </c>
      <c r="R884" s="116" t="s">
        <v>83</v>
      </c>
      <c r="S884" s="115">
        <v>1.58730158730159E-2</v>
      </c>
      <c r="T884" s="115">
        <v>0</v>
      </c>
      <c r="U884" s="115">
        <v>0.02</v>
      </c>
      <c r="V884" s="115">
        <v>0</v>
      </c>
      <c r="W884" s="6">
        <v>266</v>
      </c>
      <c r="X884" s="40">
        <f t="shared" si="62"/>
        <v>202</v>
      </c>
      <c r="Y884" s="40">
        <f t="shared" si="63"/>
        <v>266</v>
      </c>
      <c r="Z884" s="59">
        <v>0.42109999999999997</v>
      </c>
      <c r="AA884" s="59">
        <v>0.57889999999999997</v>
      </c>
      <c r="AB884" s="61">
        <v>0</v>
      </c>
      <c r="AC884" s="61">
        <v>7.5187969924812026E-3</v>
      </c>
      <c r="AD884" s="61">
        <v>0.87969924812030076</v>
      </c>
      <c r="AE884" s="61">
        <v>3.7593984962406013E-3</v>
      </c>
      <c r="AF884" s="61">
        <v>0</v>
      </c>
      <c r="AG884" s="61">
        <v>0.10150375939849623</v>
      </c>
      <c r="AH884" s="61">
        <v>7.5187969924812026E-3</v>
      </c>
      <c r="AI884" s="61">
        <v>0.89849624060150379</v>
      </c>
      <c r="AJ884" s="59">
        <v>0.91700000000000004</v>
      </c>
      <c r="AK884" s="59">
        <v>3.8E-3</v>
      </c>
      <c r="AL884" s="3">
        <v>38</v>
      </c>
      <c r="AM884" s="3">
        <v>26</v>
      </c>
      <c r="AN884" s="3">
        <v>0</v>
      </c>
      <c r="AO884" s="3">
        <v>54</v>
      </c>
      <c r="AP884" s="3">
        <v>52</v>
      </c>
      <c r="AQ884" s="3">
        <v>47</v>
      </c>
      <c r="AR884" s="3">
        <v>49</v>
      </c>
      <c r="AS884" s="59">
        <v>0</v>
      </c>
      <c r="AT884" s="3">
        <v>7</v>
      </c>
      <c r="AU884" s="3">
        <v>6</v>
      </c>
      <c r="AV884" s="49">
        <v>70.866141732283509</v>
      </c>
      <c r="AW884" s="49">
        <v>20.4724409448819</v>
      </c>
      <c r="AX884" s="49">
        <v>8.6614173228346498</v>
      </c>
      <c r="AY884" s="67">
        <v>0</v>
      </c>
      <c r="AZ884" s="62">
        <v>0.40677966101694918</v>
      </c>
      <c r="BA884" s="62">
        <v>3.7288135593220341E-2</v>
      </c>
      <c r="BB884" s="78">
        <v>93.649169916671994</v>
      </c>
      <c r="BC884" s="49">
        <v>55.0675675675676</v>
      </c>
      <c r="BD884" s="87">
        <v>2.6</v>
      </c>
      <c r="BE884" s="87">
        <v>8</v>
      </c>
      <c r="BF884" s="87">
        <v>1.9</v>
      </c>
      <c r="BG884" s="87">
        <v>4.3</v>
      </c>
      <c r="BH884" s="87">
        <v>0</v>
      </c>
      <c r="BI884" s="87">
        <v>0</v>
      </c>
      <c r="BJ884" s="49">
        <v>16.8</v>
      </c>
      <c r="BK884" s="126">
        <v>14741</v>
      </c>
      <c r="BL884" s="126">
        <v>38977</v>
      </c>
      <c r="BM884" s="126">
        <v>30227</v>
      </c>
      <c r="BN884" s="126">
        <v>28651</v>
      </c>
      <c r="BO884" s="59">
        <v>0</v>
      </c>
      <c r="BP884" s="59">
        <v>0.33210000000000001</v>
      </c>
      <c r="BQ884" s="59">
        <v>0.13420000000000001</v>
      </c>
      <c r="BR884" s="59">
        <v>0</v>
      </c>
      <c r="BS884" s="59">
        <v>0</v>
      </c>
      <c r="BT884" s="49">
        <v>13.4</v>
      </c>
      <c r="BU884" s="59">
        <f t="shared" si="64"/>
        <v>0.46630000000000005</v>
      </c>
      <c r="BV884" s="59">
        <v>5.2600000000000001E-2</v>
      </c>
      <c r="BW884" s="59">
        <v>0</v>
      </c>
      <c r="BX884" s="59">
        <v>4.6800000000000001E-2</v>
      </c>
      <c r="BY884" s="59">
        <v>0</v>
      </c>
      <c r="BZ884" s="59">
        <v>0</v>
      </c>
      <c r="CA884" s="49">
        <v>22.2</v>
      </c>
      <c r="CB884" s="59">
        <f t="shared" si="65"/>
        <v>9.9400000000000002E-2</v>
      </c>
      <c r="CC884" s="59">
        <v>0.44169999999999998</v>
      </c>
      <c r="CD884" s="59">
        <v>0.35420000000000001</v>
      </c>
      <c r="CE884" s="59">
        <v>0.2041</v>
      </c>
      <c r="CF884" s="59">
        <v>0</v>
      </c>
      <c r="CG884" s="59">
        <v>0</v>
      </c>
      <c r="CH884" s="49">
        <v>14.8</v>
      </c>
      <c r="CI884" s="26" t="s">
        <v>373</v>
      </c>
      <c r="CJ884" s="18" t="s">
        <v>489</v>
      </c>
      <c r="CK884" s="20"/>
    </row>
    <row r="885" spans="1:89" x14ac:dyDescent="0.25">
      <c r="A885" s="18" t="s">
        <v>489</v>
      </c>
      <c r="B885" s="19" t="s">
        <v>374</v>
      </c>
      <c r="C885" s="26" t="s">
        <v>375</v>
      </c>
      <c r="D885" s="6">
        <v>54</v>
      </c>
      <c r="E885" s="40" t="s">
        <v>83</v>
      </c>
      <c r="F885" s="6">
        <v>54</v>
      </c>
      <c r="G885" s="162" t="s">
        <v>83</v>
      </c>
      <c r="H885" s="162" t="s">
        <v>83</v>
      </c>
      <c r="I885" s="163">
        <v>1</v>
      </c>
      <c r="J885" s="163">
        <v>17</v>
      </c>
      <c r="K885" s="163">
        <v>15</v>
      </c>
      <c r="L885" s="163">
        <v>11</v>
      </c>
      <c r="M885" s="163">
        <v>10</v>
      </c>
      <c r="N885" s="115">
        <v>3.1990521327014201E-2</v>
      </c>
      <c r="O885" s="115">
        <v>3.1990521327014201E-2</v>
      </c>
      <c r="P885" s="116" t="s">
        <v>83</v>
      </c>
      <c r="Q885" s="116" t="s">
        <v>83</v>
      </c>
      <c r="R885" s="115">
        <v>1.49253731343284E-2</v>
      </c>
      <c r="S885" s="115">
        <v>4.2606516290726801E-2</v>
      </c>
      <c r="T885" s="115">
        <v>3.2537960954446901E-2</v>
      </c>
      <c r="U885" s="115">
        <v>2.62529832935561E-2</v>
      </c>
      <c r="V885" s="115">
        <v>2.9239766081871298E-2</v>
      </c>
      <c r="W885" s="6">
        <v>1507</v>
      </c>
      <c r="X885" s="40">
        <f t="shared" si="62"/>
        <v>1507</v>
      </c>
      <c r="Y885" s="40">
        <f t="shared" si="63"/>
        <v>1507</v>
      </c>
      <c r="Z885" s="59">
        <v>0.50829999999999997</v>
      </c>
      <c r="AA885" s="59">
        <v>0.49170000000000003</v>
      </c>
      <c r="AB885" s="61">
        <v>3.7823490378234903E-2</v>
      </c>
      <c r="AC885" s="61">
        <v>7.9628400796284016E-3</v>
      </c>
      <c r="AD885" s="61">
        <v>0.33974784339747843</v>
      </c>
      <c r="AE885" s="61">
        <v>4.8440610484406108E-2</v>
      </c>
      <c r="AF885" s="61">
        <v>0</v>
      </c>
      <c r="AG885" s="61">
        <v>0.54611811546118116</v>
      </c>
      <c r="AH885" s="61">
        <v>1.9907100199071003E-2</v>
      </c>
      <c r="AI885" s="61">
        <v>0.45388188453881884</v>
      </c>
      <c r="AJ885" s="59">
        <v>0.63</v>
      </c>
      <c r="AK885" s="59">
        <v>1.06E-2</v>
      </c>
      <c r="AL885" s="3">
        <v>0</v>
      </c>
      <c r="AM885" s="3">
        <v>0</v>
      </c>
      <c r="AN885" s="3">
        <v>57</v>
      </c>
      <c r="AO885" s="3">
        <v>335</v>
      </c>
      <c r="AP885" s="3">
        <v>403</v>
      </c>
      <c r="AQ885" s="3">
        <v>389</v>
      </c>
      <c r="AR885" s="3">
        <v>323</v>
      </c>
      <c r="AS885" s="59">
        <v>0.14540816326530612</v>
      </c>
      <c r="AT885" s="3">
        <v>9</v>
      </c>
      <c r="AU885" s="3">
        <v>6</v>
      </c>
      <c r="AV885" s="49">
        <v>62.440570522979399</v>
      </c>
      <c r="AW885" s="49">
        <v>28.0507131537242</v>
      </c>
      <c r="AX885" s="49">
        <v>9.5087163232963601</v>
      </c>
      <c r="AY885" s="67">
        <v>0</v>
      </c>
      <c r="AZ885" s="62">
        <v>0.21306471306471306</v>
      </c>
      <c r="BA885" s="62">
        <v>0.13614163614163613</v>
      </c>
      <c r="BB885" s="77">
        <v>91.913090583992499</v>
      </c>
      <c r="BC885" s="49">
        <v>51.697438951757</v>
      </c>
      <c r="BD885" s="90" t="s">
        <v>83</v>
      </c>
      <c r="BE885" s="90" t="s">
        <v>83</v>
      </c>
      <c r="BF885" s="87">
        <v>2.5</v>
      </c>
      <c r="BG885" s="87">
        <v>2.6</v>
      </c>
      <c r="BH885" s="87">
        <v>1.9</v>
      </c>
      <c r="BI885" s="87">
        <v>2.2000000000000002</v>
      </c>
      <c r="BJ885" s="49">
        <v>19.399999999999999</v>
      </c>
      <c r="BK885" s="126">
        <v>8747</v>
      </c>
      <c r="BL885" s="126">
        <v>49247</v>
      </c>
      <c r="BM885" s="126">
        <v>56364</v>
      </c>
      <c r="BN885" s="126">
        <v>44582</v>
      </c>
      <c r="BO885" s="59">
        <v>0</v>
      </c>
      <c r="BP885" s="59">
        <v>0.50700000000000001</v>
      </c>
      <c r="BQ885" s="59">
        <v>0.1464</v>
      </c>
      <c r="BR885" s="59">
        <v>0</v>
      </c>
      <c r="BS885" s="59">
        <v>8.5000000000000006E-3</v>
      </c>
      <c r="BT885" s="49">
        <v>11.5</v>
      </c>
      <c r="BU885" s="59">
        <f t="shared" si="64"/>
        <v>0.66189999999999993</v>
      </c>
      <c r="BV885" s="59">
        <v>2.5000000000000001E-2</v>
      </c>
      <c r="BW885" s="59">
        <v>0</v>
      </c>
      <c r="BX885" s="59">
        <v>3.3700000000000001E-2</v>
      </c>
      <c r="BY885" s="59">
        <v>0</v>
      </c>
      <c r="BZ885" s="59">
        <v>0</v>
      </c>
      <c r="CA885" s="49">
        <v>14.7</v>
      </c>
      <c r="CB885" s="59">
        <f t="shared" si="65"/>
        <v>5.8700000000000002E-2</v>
      </c>
      <c r="CC885" s="59">
        <v>0.22389999999999999</v>
      </c>
      <c r="CD885" s="59">
        <v>0.53210000000000002</v>
      </c>
      <c r="CE885" s="59">
        <v>0.2354</v>
      </c>
      <c r="CF885" s="59">
        <v>0</v>
      </c>
      <c r="CG885" s="59">
        <v>8.5000000000000006E-3</v>
      </c>
      <c r="CH885" s="49">
        <v>12.5</v>
      </c>
      <c r="CI885" s="26" t="s">
        <v>375</v>
      </c>
      <c r="CJ885" s="18" t="s">
        <v>489</v>
      </c>
      <c r="CK885" s="20"/>
    </row>
    <row r="886" spans="1:89" x14ac:dyDescent="0.25">
      <c r="A886" s="18" t="s">
        <v>489</v>
      </c>
      <c r="B886" s="19" t="s">
        <v>374</v>
      </c>
      <c r="C886" s="26" t="s">
        <v>376</v>
      </c>
      <c r="D886" s="6">
        <v>46</v>
      </c>
      <c r="E886" s="40" t="s">
        <v>83</v>
      </c>
      <c r="F886" s="6">
        <v>46</v>
      </c>
      <c r="G886" s="162" t="s">
        <v>83</v>
      </c>
      <c r="H886" s="162" t="s">
        <v>83</v>
      </c>
      <c r="I886" s="163">
        <v>3</v>
      </c>
      <c r="J886" s="163">
        <v>16</v>
      </c>
      <c r="K886" s="163">
        <v>12</v>
      </c>
      <c r="L886" s="163">
        <v>5</v>
      </c>
      <c r="M886" s="163">
        <v>10</v>
      </c>
      <c r="N886" s="115">
        <v>4.0315512708150703E-2</v>
      </c>
      <c r="O886" s="115">
        <v>4.0315512708150703E-2</v>
      </c>
      <c r="P886" s="116" t="s">
        <v>83</v>
      </c>
      <c r="Q886" s="116" t="s">
        <v>83</v>
      </c>
      <c r="R886" s="115">
        <v>5.6603773584905703E-2</v>
      </c>
      <c r="S886" s="115">
        <v>5.49828178694158E-2</v>
      </c>
      <c r="T886" s="115">
        <v>3.7499999999999999E-2</v>
      </c>
      <c r="U886" s="115">
        <v>1.8656716417910401E-2</v>
      </c>
      <c r="V886" s="115">
        <v>4.7846889952153103E-2</v>
      </c>
      <c r="W886" s="6">
        <v>996</v>
      </c>
      <c r="X886" s="40">
        <f t="shared" si="62"/>
        <v>996</v>
      </c>
      <c r="Y886" s="40">
        <f t="shared" si="63"/>
        <v>996</v>
      </c>
      <c r="Z886" s="59">
        <v>0.47589999999999999</v>
      </c>
      <c r="AA886" s="59">
        <v>0.52410000000000001</v>
      </c>
      <c r="AB886" s="61">
        <v>0.18574297188755021</v>
      </c>
      <c r="AC886" s="61">
        <v>1.8072289156626505E-2</v>
      </c>
      <c r="AD886" s="61">
        <v>0.37248995983935745</v>
      </c>
      <c r="AE886" s="61">
        <v>7.9317269076305222E-2</v>
      </c>
      <c r="AF886" s="61">
        <v>0</v>
      </c>
      <c r="AG886" s="61">
        <v>0.30020080321285142</v>
      </c>
      <c r="AH886" s="61">
        <v>4.4176706827309238E-2</v>
      </c>
      <c r="AI886" s="61">
        <v>0.69979919678714864</v>
      </c>
      <c r="AJ886" s="59">
        <v>0.78700000000000003</v>
      </c>
      <c r="AK886" s="59">
        <v>3.7100000000000001E-2</v>
      </c>
      <c r="AL886" s="3">
        <v>0</v>
      </c>
      <c r="AM886" s="3">
        <v>0</v>
      </c>
      <c r="AN886" s="3">
        <v>46</v>
      </c>
      <c r="AO886" s="3">
        <v>240</v>
      </c>
      <c r="AP886" s="3">
        <v>285</v>
      </c>
      <c r="AQ886" s="3">
        <v>247</v>
      </c>
      <c r="AR886" s="3">
        <v>178</v>
      </c>
      <c r="AS886" s="59">
        <v>0.16083916083916083</v>
      </c>
      <c r="AT886" s="3">
        <v>9</v>
      </c>
      <c r="AU886" s="3">
        <v>6</v>
      </c>
      <c r="AV886" s="49">
        <v>64.058679706601495</v>
      </c>
      <c r="AW886" s="49">
        <v>29.828850855745699</v>
      </c>
      <c r="AX886" s="49">
        <v>5.8679706601466997</v>
      </c>
      <c r="AY886" s="67">
        <v>0.24449877750611199</v>
      </c>
      <c r="AZ886" s="62">
        <v>0.27848101265822783</v>
      </c>
      <c r="BA886" s="62">
        <v>0.19258589511754068</v>
      </c>
      <c r="BB886" s="78">
        <v>90.158812062836802</v>
      </c>
      <c r="BC886" s="49">
        <v>57.4614065180103</v>
      </c>
      <c r="BD886" s="90" t="s">
        <v>83</v>
      </c>
      <c r="BE886" s="90" t="s">
        <v>83</v>
      </c>
      <c r="BF886" s="87">
        <v>3.2</v>
      </c>
      <c r="BG886" s="87">
        <v>2.2000000000000002</v>
      </c>
      <c r="BH886" s="87">
        <v>3</v>
      </c>
      <c r="BI886" s="87">
        <v>1.5</v>
      </c>
      <c r="BJ886" s="49">
        <v>18.2</v>
      </c>
      <c r="BK886" s="126">
        <v>10323</v>
      </c>
      <c r="BL886" s="126">
        <v>49061</v>
      </c>
      <c r="BM886" s="126">
        <v>55162</v>
      </c>
      <c r="BN886" s="126">
        <v>43652</v>
      </c>
      <c r="BO886" s="59">
        <v>0</v>
      </c>
      <c r="BP886" s="59">
        <v>0.44219999999999998</v>
      </c>
      <c r="BQ886" s="59">
        <v>0.1865</v>
      </c>
      <c r="BR886" s="59">
        <v>0</v>
      </c>
      <c r="BS886" s="59">
        <v>0</v>
      </c>
      <c r="BT886" s="49">
        <v>12.4</v>
      </c>
      <c r="BU886" s="59">
        <f t="shared" si="64"/>
        <v>0.62870000000000004</v>
      </c>
      <c r="BV886" s="59">
        <v>3.15E-2</v>
      </c>
      <c r="BW886" s="59">
        <v>0</v>
      </c>
      <c r="BX886" s="59">
        <v>4.1000000000000002E-2</v>
      </c>
      <c r="BY886" s="59">
        <v>0</v>
      </c>
      <c r="BZ886" s="59">
        <v>0</v>
      </c>
      <c r="CA886" s="49">
        <v>21.1</v>
      </c>
      <c r="CB886" s="59">
        <f t="shared" si="65"/>
        <v>7.2500000000000009E-2</v>
      </c>
      <c r="CC886" s="59">
        <v>0.24779999999999999</v>
      </c>
      <c r="CD886" s="59">
        <v>0.46110000000000001</v>
      </c>
      <c r="CE886" s="59">
        <v>0.29110000000000003</v>
      </c>
      <c r="CF886" s="59">
        <v>0</v>
      </c>
      <c r="CG886" s="59">
        <v>0</v>
      </c>
      <c r="CH886" s="49">
        <v>13.3</v>
      </c>
      <c r="CI886" s="26" t="s">
        <v>376</v>
      </c>
      <c r="CJ886" s="18" t="s">
        <v>489</v>
      </c>
      <c r="CK886" s="20"/>
    </row>
    <row r="887" spans="1:89" x14ac:dyDescent="0.25">
      <c r="A887" s="18" t="s">
        <v>489</v>
      </c>
      <c r="B887" s="19" t="s">
        <v>374</v>
      </c>
      <c r="C887" s="26" t="s">
        <v>377</v>
      </c>
      <c r="D887" s="6">
        <v>37</v>
      </c>
      <c r="E887" s="40" t="s">
        <v>83</v>
      </c>
      <c r="F887" s="6">
        <v>37</v>
      </c>
      <c r="G887" s="162" t="s">
        <v>83</v>
      </c>
      <c r="H887" s="162" t="s">
        <v>83</v>
      </c>
      <c r="I887" s="163">
        <v>1</v>
      </c>
      <c r="J887" s="163">
        <v>10</v>
      </c>
      <c r="K887" s="163">
        <v>9</v>
      </c>
      <c r="L887" s="163">
        <v>13</v>
      </c>
      <c r="M887" s="163">
        <v>4</v>
      </c>
      <c r="N887" s="115">
        <v>3.4547152194210999E-2</v>
      </c>
      <c r="O887" s="115">
        <v>3.4547152194210999E-2</v>
      </c>
      <c r="P887" s="116" t="s">
        <v>83</v>
      </c>
      <c r="Q887" s="116" t="s">
        <v>83</v>
      </c>
      <c r="R887" s="115">
        <v>0.02</v>
      </c>
      <c r="S887" s="115">
        <v>3.5842293906809999E-2</v>
      </c>
      <c r="T887" s="115">
        <v>3.3333333333333298E-2</v>
      </c>
      <c r="U887" s="115">
        <v>4.9056603773584902E-2</v>
      </c>
      <c r="V887" s="115">
        <v>1.9323671497584499E-2</v>
      </c>
      <c r="W887" s="6">
        <v>1009</v>
      </c>
      <c r="X887" s="40">
        <f t="shared" si="62"/>
        <v>1009</v>
      </c>
      <c r="Y887" s="40">
        <f t="shared" si="63"/>
        <v>1009</v>
      </c>
      <c r="Z887" s="59">
        <v>0.49359999999999998</v>
      </c>
      <c r="AA887" s="59">
        <v>0.50639999999999996</v>
      </c>
      <c r="AB887" s="61">
        <v>0.14866204162537167</v>
      </c>
      <c r="AC887" s="61">
        <v>4.9554013875123884E-3</v>
      </c>
      <c r="AD887" s="61">
        <v>9.7125867195242813E-2</v>
      </c>
      <c r="AE887" s="61">
        <v>1.4866204162537165E-2</v>
      </c>
      <c r="AF887" s="61">
        <v>1.9821605550049554E-3</v>
      </c>
      <c r="AG887" s="61">
        <v>0.67492566897918727</v>
      </c>
      <c r="AH887" s="61">
        <v>5.7482656095143705E-2</v>
      </c>
      <c r="AI887" s="61">
        <v>0.32507433102081268</v>
      </c>
      <c r="AJ887" s="59">
        <v>0.54500000000000004</v>
      </c>
      <c r="AK887" s="59">
        <v>5.0000000000000001E-3</v>
      </c>
      <c r="AL887" s="3">
        <v>0</v>
      </c>
      <c r="AM887" s="3">
        <v>0</v>
      </c>
      <c r="AN887" s="3">
        <v>46</v>
      </c>
      <c r="AO887" s="3">
        <v>253</v>
      </c>
      <c r="AP887" s="3">
        <v>256</v>
      </c>
      <c r="AQ887" s="3">
        <v>253</v>
      </c>
      <c r="AR887" s="3">
        <v>201</v>
      </c>
      <c r="AS887" s="59">
        <v>0.15384615384615385</v>
      </c>
      <c r="AT887" s="3">
        <v>9</v>
      </c>
      <c r="AU887" s="3">
        <v>6</v>
      </c>
      <c r="AV887" s="49">
        <v>63.963963963963998</v>
      </c>
      <c r="AW887" s="49">
        <v>22.747747747747702</v>
      </c>
      <c r="AX887" s="49">
        <v>12.387387387387399</v>
      </c>
      <c r="AY887" s="67">
        <v>0.90090090090090102</v>
      </c>
      <c r="AZ887" s="62">
        <v>0.15177713736791545</v>
      </c>
      <c r="BA887" s="62">
        <v>0.13448607108549471</v>
      </c>
      <c r="BB887" s="78">
        <v>91.961827963130105</v>
      </c>
      <c r="BC887" s="49">
        <v>53.8317757009346</v>
      </c>
      <c r="BD887" s="90" t="s">
        <v>83</v>
      </c>
      <c r="BE887" s="90" t="s">
        <v>83</v>
      </c>
      <c r="BF887" s="87">
        <v>4.5999999999999996</v>
      </c>
      <c r="BG887" s="87">
        <v>4.5999999999999996</v>
      </c>
      <c r="BH887" s="87">
        <v>3.4</v>
      </c>
      <c r="BI887" s="87">
        <v>1.5</v>
      </c>
      <c r="BJ887" s="49">
        <v>20.2</v>
      </c>
      <c r="BK887" s="126">
        <v>10321</v>
      </c>
      <c r="BL887" s="126">
        <v>54478</v>
      </c>
      <c r="BM887" s="126">
        <v>54937</v>
      </c>
      <c r="BN887" s="126">
        <v>48313</v>
      </c>
      <c r="BO887" s="59">
        <v>0</v>
      </c>
      <c r="BP887" s="59">
        <v>0.47389999999999999</v>
      </c>
      <c r="BQ887" s="59">
        <v>0.16250000000000001</v>
      </c>
      <c r="BR887" s="59">
        <v>0</v>
      </c>
      <c r="BS887" s="59">
        <v>0</v>
      </c>
      <c r="BT887" s="49">
        <v>16.5</v>
      </c>
      <c r="BU887" s="59">
        <f t="shared" si="64"/>
        <v>0.63639999999999997</v>
      </c>
      <c r="BV887" s="59">
        <v>2.8199999999999999E-2</v>
      </c>
      <c r="BW887" s="59">
        <v>0</v>
      </c>
      <c r="BX887" s="59">
        <v>2.2200000000000001E-2</v>
      </c>
      <c r="BY887" s="59">
        <v>0</v>
      </c>
      <c r="BZ887" s="59">
        <v>1.11E-2</v>
      </c>
      <c r="CA887" s="49">
        <v>18.899999999999999</v>
      </c>
      <c r="CB887" s="59">
        <f t="shared" si="65"/>
        <v>6.1499999999999999E-2</v>
      </c>
      <c r="CC887" s="59">
        <v>0.2492</v>
      </c>
      <c r="CD887" s="59">
        <v>0.49690000000000001</v>
      </c>
      <c r="CE887" s="59">
        <v>0.24279999999999999</v>
      </c>
      <c r="CF887" s="59">
        <v>0</v>
      </c>
      <c r="CG887" s="59">
        <v>1.11E-2</v>
      </c>
      <c r="CH887" s="49">
        <v>16.2</v>
      </c>
      <c r="CI887" s="26" t="s">
        <v>377</v>
      </c>
      <c r="CJ887" s="18" t="s">
        <v>489</v>
      </c>
      <c r="CK887" s="20"/>
    </row>
    <row r="888" spans="1:89" x14ac:dyDescent="0.25">
      <c r="A888" s="18" t="s">
        <v>489</v>
      </c>
      <c r="B888" s="19" t="s">
        <v>374</v>
      </c>
      <c r="C888" s="26" t="s">
        <v>378</v>
      </c>
      <c r="D888" s="6">
        <v>38</v>
      </c>
      <c r="E888" s="40" t="s">
        <v>83</v>
      </c>
      <c r="F888" s="6">
        <v>38</v>
      </c>
      <c r="G888" s="162" t="s">
        <v>83</v>
      </c>
      <c r="H888" s="162" t="s">
        <v>83</v>
      </c>
      <c r="I888" s="163">
        <v>0</v>
      </c>
      <c r="J888" s="163">
        <v>14</v>
      </c>
      <c r="K888" s="163">
        <v>13</v>
      </c>
      <c r="L888" s="163">
        <v>7</v>
      </c>
      <c r="M888" s="163">
        <v>4</v>
      </c>
      <c r="N888" s="115">
        <v>3.5348837209302299E-2</v>
      </c>
      <c r="O888" s="115">
        <v>3.5348837209302299E-2</v>
      </c>
      <c r="P888" s="116" t="s">
        <v>83</v>
      </c>
      <c r="Q888" s="116" t="s">
        <v>83</v>
      </c>
      <c r="R888" s="115">
        <v>0</v>
      </c>
      <c r="S888" s="115">
        <v>0.31111111111111101</v>
      </c>
      <c r="T888" s="115">
        <v>3.2581453634085197E-2</v>
      </c>
      <c r="U888" s="115">
        <v>2.0231213872832401E-2</v>
      </c>
      <c r="V888" s="115">
        <v>1.41342756183746E-2</v>
      </c>
      <c r="W888" s="6">
        <v>968</v>
      </c>
      <c r="X888" s="40">
        <f t="shared" si="62"/>
        <v>968</v>
      </c>
      <c r="Y888" s="40">
        <f t="shared" si="63"/>
        <v>968</v>
      </c>
      <c r="Z888" s="59">
        <v>0.501</v>
      </c>
      <c r="AA888" s="59">
        <v>0.499</v>
      </c>
      <c r="AB888" s="61">
        <v>5.4752066115702477E-2</v>
      </c>
      <c r="AC888" s="61">
        <v>1.5495867768595042E-2</v>
      </c>
      <c r="AD888" s="61">
        <v>0.31198347107438018</v>
      </c>
      <c r="AE888" s="61">
        <v>4.7520661157024795E-2</v>
      </c>
      <c r="AF888" s="61">
        <v>1.0330578512396695E-3</v>
      </c>
      <c r="AG888" s="61">
        <v>0.55681818181818177</v>
      </c>
      <c r="AH888" s="61">
        <v>1.2396694214876033E-2</v>
      </c>
      <c r="AI888" s="61">
        <v>0.44318181818181818</v>
      </c>
      <c r="AJ888" s="59">
        <v>0.56299999999999994</v>
      </c>
      <c r="AK888" s="59">
        <v>1.8599999999999998E-2</v>
      </c>
      <c r="AL888" s="3">
        <v>0</v>
      </c>
      <c r="AM888" s="3">
        <v>0</v>
      </c>
      <c r="AN888" s="3">
        <v>2</v>
      </c>
      <c r="AO888" s="3">
        <v>24</v>
      </c>
      <c r="AP888" s="3">
        <v>354</v>
      </c>
      <c r="AQ888" s="3">
        <v>314</v>
      </c>
      <c r="AR888" s="3">
        <v>274</v>
      </c>
      <c r="AS888" s="59">
        <v>7.6923076923076927E-2</v>
      </c>
      <c r="AT888" s="3">
        <v>9</v>
      </c>
      <c r="AU888" s="3">
        <v>6</v>
      </c>
      <c r="AV888" s="49">
        <v>60.8108108108108</v>
      </c>
      <c r="AW888" s="49">
        <v>21.351351351351401</v>
      </c>
      <c r="AX888" s="49">
        <v>16.756756756756801</v>
      </c>
      <c r="AY888" s="67">
        <v>1.08108108108108</v>
      </c>
      <c r="AZ888" s="62">
        <v>0.35530085959885388</v>
      </c>
      <c r="BA888" s="62">
        <v>0.12225405921680993</v>
      </c>
      <c r="BB888" s="77">
        <v>92.321362984727998</v>
      </c>
      <c r="BC888" s="49">
        <v>56.700091157702801</v>
      </c>
      <c r="BD888" s="90" t="s">
        <v>83</v>
      </c>
      <c r="BE888" s="90" t="s">
        <v>83</v>
      </c>
      <c r="BF888" s="87">
        <v>16.7</v>
      </c>
      <c r="BG888" s="87">
        <v>2.1</v>
      </c>
      <c r="BH888" s="87">
        <v>2.2000000000000002</v>
      </c>
      <c r="BI888" s="87">
        <v>0.7</v>
      </c>
      <c r="BJ888" s="49">
        <v>20.3</v>
      </c>
      <c r="BK888" s="126">
        <v>9210</v>
      </c>
      <c r="BL888" s="126">
        <v>51577</v>
      </c>
      <c r="BM888" s="126">
        <v>55671</v>
      </c>
      <c r="BN888" s="126">
        <v>45966</v>
      </c>
      <c r="BO888" s="59">
        <v>0</v>
      </c>
      <c r="BP888" s="59">
        <v>0.41470000000000001</v>
      </c>
      <c r="BQ888" s="59">
        <v>0.23</v>
      </c>
      <c r="BR888" s="59">
        <v>0</v>
      </c>
      <c r="BS888" s="59">
        <v>0</v>
      </c>
      <c r="BT888" s="49">
        <v>15.6</v>
      </c>
      <c r="BU888" s="59">
        <f t="shared" si="64"/>
        <v>0.64470000000000005</v>
      </c>
      <c r="BV888" s="59">
        <v>2.4799999999999999E-2</v>
      </c>
      <c r="BW888" s="59">
        <v>0</v>
      </c>
      <c r="BX888" s="59">
        <v>3.7199999999999997E-2</v>
      </c>
      <c r="BY888" s="59">
        <v>0</v>
      </c>
      <c r="BZ888" s="59">
        <v>0</v>
      </c>
      <c r="CA888" s="49">
        <v>22.2</v>
      </c>
      <c r="CB888" s="59">
        <f t="shared" si="65"/>
        <v>6.2E-2</v>
      </c>
      <c r="CC888" s="59">
        <v>0.22900000000000001</v>
      </c>
      <c r="CD888" s="59">
        <v>0.44800000000000001</v>
      </c>
      <c r="CE888" s="59">
        <v>0.31059999999999999</v>
      </c>
      <c r="CF888" s="59">
        <v>0</v>
      </c>
      <c r="CG888" s="59">
        <v>1.24E-2</v>
      </c>
      <c r="CH888" s="49">
        <v>15</v>
      </c>
      <c r="CI888" s="26" t="s">
        <v>378</v>
      </c>
      <c r="CJ888" s="18" t="s">
        <v>489</v>
      </c>
      <c r="CK888" s="20"/>
    </row>
    <row r="889" spans="1:89" x14ac:dyDescent="0.25">
      <c r="A889" s="18" t="s">
        <v>489</v>
      </c>
      <c r="B889" s="19" t="s">
        <v>379</v>
      </c>
      <c r="C889" s="26" t="s">
        <v>498</v>
      </c>
      <c r="D889" s="6">
        <v>6</v>
      </c>
      <c r="E889" s="6">
        <v>0</v>
      </c>
      <c r="F889" s="6">
        <v>6</v>
      </c>
      <c r="G889" s="163">
        <v>0</v>
      </c>
      <c r="H889" s="163">
        <v>0</v>
      </c>
      <c r="I889" s="162" t="s">
        <v>83</v>
      </c>
      <c r="J889" s="163">
        <v>1</v>
      </c>
      <c r="K889" s="163">
        <v>2</v>
      </c>
      <c r="L889" s="163">
        <v>2</v>
      </c>
      <c r="M889" s="163">
        <v>1</v>
      </c>
      <c r="N889" s="115">
        <v>3.3149171270718203E-2</v>
      </c>
      <c r="O889" s="115">
        <v>5.3571428571428603E-2</v>
      </c>
      <c r="P889" s="115">
        <v>0</v>
      </c>
      <c r="Q889" s="115">
        <v>0</v>
      </c>
      <c r="R889" s="116" t="s">
        <v>83</v>
      </c>
      <c r="S889" s="115">
        <v>2.9411764705882401E-2</v>
      </c>
      <c r="T889" s="115">
        <v>5.7142857142857099E-2</v>
      </c>
      <c r="U889" s="115">
        <v>8.6956521739130405E-2</v>
      </c>
      <c r="V889" s="115">
        <v>0.05</v>
      </c>
      <c r="W889" s="6">
        <v>381</v>
      </c>
      <c r="X889" s="40">
        <f t="shared" si="62"/>
        <v>104</v>
      </c>
      <c r="Y889" s="40">
        <f t="shared" si="63"/>
        <v>163</v>
      </c>
      <c r="Z889" s="59">
        <v>0.49080000000000001</v>
      </c>
      <c r="AA889" s="59">
        <v>0.50919999999999999</v>
      </c>
      <c r="AB889" s="61">
        <v>0</v>
      </c>
      <c r="AC889" s="61">
        <v>0</v>
      </c>
      <c r="AD889" s="61">
        <v>1.8372703412073491E-2</v>
      </c>
      <c r="AE889" s="61">
        <v>5.5118110236220472E-2</v>
      </c>
      <c r="AF889" s="61">
        <v>2.6246719160104987E-3</v>
      </c>
      <c r="AG889" s="61">
        <v>0.91601049868766404</v>
      </c>
      <c r="AH889" s="61">
        <v>7.874015748031496E-3</v>
      </c>
      <c r="AI889" s="61">
        <v>8.3989501312335957E-2</v>
      </c>
      <c r="AJ889" s="59">
        <v>0.70299999999999996</v>
      </c>
      <c r="AK889" s="59">
        <v>2.3599999999999999E-2</v>
      </c>
      <c r="AL889" s="3">
        <v>29</v>
      </c>
      <c r="AM889" s="3">
        <v>30</v>
      </c>
      <c r="AN889" s="3">
        <v>0</v>
      </c>
      <c r="AO889" s="3">
        <v>33</v>
      </c>
      <c r="AP889" s="3">
        <v>33</v>
      </c>
      <c r="AQ889" s="3">
        <v>19</v>
      </c>
      <c r="AR889" s="3">
        <v>19</v>
      </c>
      <c r="AS889" s="59">
        <v>0</v>
      </c>
      <c r="AT889" s="3">
        <v>1</v>
      </c>
      <c r="AU889" s="3">
        <v>3</v>
      </c>
      <c r="AV889" s="49">
        <v>83.966244725738406</v>
      </c>
      <c r="AW889" s="49">
        <v>11.3924050632911</v>
      </c>
      <c r="AX889" s="49">
        <v>4.6413502109704599</v>
      </c>
      <c r="AY889" s="67">
        <v>0</v>
      </c>
      <c r="AZ889" s="62">
        <v>8.9086859688195987E-3</v>
      </c>
      <c r="BA889" s="62">
        <v>5.3452115812917596E-2</v>
      </c>
      <c r="BB889" s="78">
        <v>92.072826938136302</v>
      </c>
      <c r="BC889" s="49">
        <v>38.927738927738901</v>
      </c>
      <c r="BD889" s="87">
        <v>6.9</v>
      </c>
      <c r="BE889" s="87">
        <v>0</v>
      </c>
      <c r="BF889" s="87">
        <v>0</v>
      </c>
      <c r="BG889" s="87">
        <v>0</v>
      </c>
      <c r="BH889" s="87">
        <v>5.3</v>
      </c>
      <c r="BI889" s="87">
        <v>5.9</v>
      </c>
      <c r="BJ889" s="49">
        <v>17.7</v>
      </c>
      <c r="BK889" s="126">
        <v>11429</v>
      </c>
      <c r="BL889" s="126">
        <v>46424</v>
      </c>
      <c r="BM889" s="126">
        <v>45096</v>
      </c>
      <c r="BN889" s="126">
        <v>37260</v>
      </c>
      <c r="BO889" s="59">
        <v>0</v>
      </c>
      <c r="BP889" s="59">
        <v>0.39340000000000003</v>
      </c>
      <c r="BQ889" s="59">
        <v>0.17230000000000001</v>
      </c>
      <c r="BR889" s="59">
        <v>0</v>
      </c>
      <c r="BS889" s="59">
        <v>0</v>
      </c>
      <c r="BT889" s="49">
        <v>8.9</v>
      </c>
      <c r="BU889" s="59">
        <f t="shared" si="64"/>
        <v>0.56570000000000009</v>
      </c>
      <c r="BV889" s="59">
        <v>4.3099999999999999E-2</v>
      </c>
      <c r="BW889" s="59">
        <v>0</v>
      </c>
      <c r="BX889" s="59">
        <v>2.1499999999999998E-2</v>
      </c>
      <c r="BY889" s="59">
        <v>0</v>
      </c>
      <c r="BZ889" s="59">
        <v>0</v>
      </c>
      <c r="CA889" s="49">
        <v>10</v>
      </c>
      <c r="CB889" s="59">
        <f t="shared" si="65"/>
        <v>6.4599999999999991E-2</v>
      </c>
      <c r="CC889" s="59">
        <v>0.3911</v>
      </c>
      <c r="CD889" s="59">
        <v>0.39350000000000002</v>
      </c>
      <c r="CE889" s="59">
        <v>0.21540000000000001</v>
      </c>
      <c r="CF889" s="59">
        <v>0</v>
      </c>
      <c r="CG889" s="59">
        <v>0</v>
      </c>
      <c r="CH889" s="49">
        <v>9.3000000000000007</v>
      </c>
      <c r="CI889" s="26" t="s">
        <v>498</v>
      </c>
      <c r="CJ889" s="18" t="s">
        <v>489</v>
      </c>
      <c r="CK889" s="20"/>
    </row>
    <row r="890" spans="1:89" x14ac:dyDescent="0.25">
      <c r="A890" s="18" t="s">
        <v>489</v>
      </c>
      <c r="B890" s="19" t="s">
        <v>379</v>
      </c>
      <c r="C890" s="26" t="s">
        <v>381</v>
      </c>
      <c r="D890" s="6">
        <v>7</v>
      </c>
      <c r="E890" s="40" t="s">
        <v>83</v>
      </c>
      <c r="F890" s="6">
        <v>7</v>
      </c>
      <c r="G890" s="162" t="s">
        <v>83</v>
      </c>
      <c r="H890" s="162" t="s">
        <v>83</v>
      </c>
      <c r="I890" s="163">
        <v>1</v>
      </c>
      <c r="J890" s="163">
        <v>1</v>
      </c>
      <c r="K890" s="163">
        <v>2</v>
      </c>
      <c r="L890" s="163">
        <v>1</v>
      </c>
      <c r="M890" s="163">
        <v>2</v>
      </c>
      <c r="N890" s="115">
        <v>1.15702479338843E-2</v>
      </c>
      <c r="O890" s="115">
        <v>1.15702479338843E-2</v>
      </c>
      <c r="P890" s="116" t="s">
        <v>83</v>
      </c>
      <c r="Q890" s="116" t="s">
        <v>83</v>
      </c>
      <c r="R890" s="115">
        <v>3.125E-2</v>
      </c>
      <c r="S890" s="115">
        <v>7.6923076923076901E-3</v>
      </c>
      <c r="T890" s="115">
        <v>1.1494252873563199E-2</v>
      </c>
      <c r="U890" s="115">
        <v>6.7567567567567597E-3</v>
      </c>
      <c r="V890" s="115">
        <v>1.6528925619834701E-2</v>
      </c>
      <c r="W890" s="6">
        <v>561</v>
      </c>
      <c r="X890" s="40">
        <f t="shared" si="62"/>
        <v>561</v>
      </c>
      <c r="Y890" s="40">
        <f t="shared" si="63"/>
        <v>561</v>
      </c>
      <c r="Z890" s="59">
        <v>0.47060000000000002</v>
      </c>
      <c r="AA890" s="59">
        <v>0.52939999999999998</v>
      </c>
      <c r="AB890" s="61">
        <v>0</v>
      </c>
      <c r="AC890" s="61">
        <v>5.3475935828877002E-3</v>
      </c>
      <c r="AD890" s="61">
        <v>0.5579322638146168</v>
      </c>
      <c r="AE890" s="61">
        <v>0.12834224598930483</v>
      </c>
      <c r="AF890" s="61">
        <v>0</v>
      </c>
      <c r="AG890" s="61">
        <v>0.30124777183600715</v>
      </c>
      <c r="AH890" s="61">
        <v>7.1301247771836003E-3</v>
      </c>
      <c r="AI890" s="61">
        <v>0.69875222816399285</v>
      </c>
      <c r="AJ890" s="59">
        <v>0.84299999999999997</v>
      </c>
      <c r="AK890" s="59">
        <v>3.9199999999999999E-2</v>
      </c>
      <c r="AL890" s="3">
        <v>0</v>
      </c>
      <c r="AM890" s="3">
        <v>0</v>
      </c>
      <c r="AN890" s="3">
        <v>31</v>
      </c>
      <c r="AO890" s="3">
        <v>118</v>
      </c>
      <c r="AP890" s="3">
        <v>158</v>
      </c>
      <c r="AQ890" s="3">
        <v>139</v>
      </c>
      <c r="AR890" s="3">
        <v>115</v>
      </c>
      <c r="AS890" s="59">
        <v>0.20805369127516779</v>
      </c>
      <c r="AT890" s="3">
        <v>9</v>
      </c>
      <c r="AU890" s="3">
        <v>6</v>
      </c>
      <c r="AV890" s="49">
        <v>70.870870870870888</v>
      </c>
      <c r="AW890" s="49">
        <v>22.2222222222222</v>
      </c>
      <c r="AX890" s="49">
        <v>4.8048048048047995</v>
      </c>
      <c r="AY890" s="67">
        <v>2.1021021021021</v>
      </c>
      <c r="AZ890" s="62">
        <v>6.6555740432612309E-2</v>
      </c>
      <c r="BA890" s="62">
        <v>0.20465890183028287</v>
      </c>
      <c r="BB890" s="77">
        <v>90.234467091022097</v>
      </c>
      <c r="BC890" s="49">
        <v>31.621187800963099</v>
      </c>
      <c r="BD890" s="90" t="s">
        <v>83</v>
      </c>
      <c r="BE890" s="90" t="s">
        <v>83</v>
      </c>
      <c r="BF890" s="87">
        <v>0</v>
      </c>
      <c r="BG890" s="87">
        <v>1.4</v>
      </c>
      <c r="BH890" s="87">
        <v>0</v>
      </c>
      <c r="BI890" s="87">
        <v>6.6</v>
      </c>
      <c r="BJ890" s="49">
        <v>17</v>
      </c>
      <c r="BK890" s="126">
        <v>13977</v>
      </c>
      <c r="BL890" s="126">
        <v>47332</v>
      </c>
      <c r="BM890" s="126">
        <v>50072</v>
      </c>
      <c r="BN890" s="126">
        <v>37212</v>
      </c>
      <c r="BO890" s="59">
        <v>0</v>
      </c>
      <c r="BP890" s="59">
        <v>0.28889999999999999</v>
      </c>
      <c r="BQ890" s="59">
        <v>0.2359</v>
      </c>
      <c r="BR890" s="59">
        <v>0</v>
      </c>
      <c r="BS890" s="59">
        <v>0</v>
      </c>
      <c r="BT890" s="49">
        <v>11.8</v>
      </c>
      <c r="BU890" s="59">
        <f t="shared" si="64"/>
        <v>0.52479999999999993</v>
      </c>
      <c r="BV890" s="59">
        <v>2.41E-2</v>
      </c>
      <c r="BW890" s="59">
        <v>1.2E-2</v>
      </c>
      <c r="BX890" s="59">
        <v>3.09E-2</v>
      </c>
      <c r="BY890" s="59">
        <v>0</v>
      </c>
      <c r="BZ890" s="59">
        <v>0</v>
      </c>
      <c r="CA890" s="49">
        <v>28.1</v>
      </c>
      <c r="CB890" s="59">
        <f t="shared" si="65"/>
        <v>6.7000000000000004E-2</v>
      </c>
      <c r="CC890" s="59">
        <v>0.35</v>
      </c>
      <c r="CD890" s="59">
        <v>0.32500000000000001</v>
      </c>
      <c r="CE890" s="59">
        <v>0.32500000000000001</v>
      </c>
      <c r="CF890" s="59">
        <v>0</v>
      </c>
      <c r="CG890" s="59">
        <v>0</v>
      </c>
      <c r="CH890" s="49">
        <v>13.6</v>
      </c>
      <c r="CI890" s="26" t="s">
        <v>381</v>
      </c>
      <c r="CJ890" s="18" t="s">
        <v>489</v>
      </c>
      <c r="CK890" s="20"/>
    </row>
    <row r="891" spans="1:89" x14ac:dyDescent="0.25">
      <c r="A891" s="18" t="s">
        <v>489</v>
      </c>
      <c r="B891" s="19" t="s">
        <v>482</v>
      </c>
      <c r="C891" s="26" t="s">
        <v>383</v>
      </c>
      <c r="D891" s="6">
        <v>4</v>
      </c>
      <c r="E891" s="40" t="s">
        <v>83</v>
      </c>
      <c r="F891" s="6">
        <v>4</v>
      </c>
      <c r="G891" s="162" t="s">
        <v>83</v>
      </c>
      <c r="H891" s="162" t="s">
        <v>83</v>
      </c>
      <c r="I891" s="163">
        <v>0</v>
      </c>
      <c r="J891" s="163">
        <v>1</v>
      </c>
      <c r="K891" s="163">
        <v>1</v>
      </c>
      <c r="L891" s="163">
        <v>0</v>
      </c>
      <c r="M891" s="163">
        <v>2</v>
      </c>
      <c r="N891" s="115">
        <v>5.6497175141242903E-3</v>
      </c>
      <c r="O891" s="115">
        <v>5.6497175141242903E-3</v>
      </c>
      <c r="P891" s="116" t="s">
        <v>83</v>
      </c>
      <c r="Q891" s="116" t="s">
        <v>83</v>
      </c>
      <c r="R891" s="115">
        <v>0</v>
      </c>
      <c r="S891" s="115">
        <v>4.7619047619047597E-3</v>
      </c>
      <c r="T891" s="115">
        <v>5.5865921787709499E-3</v>
      </c>
      <c r="U891" s="115">
        <v>0</v>
      </c>
      <c r="V891" s="115">
        <v>1.4492753623188401E-2</v>
      </c>
      <c r="W891" s="6">
        <v>653</v>
      </c>
      <c r="X891" s="40">
        <f t="shared" si="62"/>
        <v>653</v>
      </c>
      <c r="Y891" s="40">
        <f t="shared" si="63"/>
        <v>653</v>
      </c>
      <c r="Z891" s="59">
        <v>0.51759999999999995</v>
      </c>
      <c r="AA891" s="59">
        <v>0.4824</v>
      </c>
      <c r="AB891" s="61">
        <v>0</v>
      </c>
      <c r="AC891" s="61">
        <v>6.738131699846861E-2</v>
      </c>
      <c r="AD891" s="61">
        <v>0.47013782542113325</v>
      </c>
      <c r="AE891" s="61">
        <v>6.278713629402756E-2</v>
      </c>
      <c r="AF891" s="61">
        <v>0</v>
      </c>
      <c r="AG891" s="61">
        <v>0.35681470137825422</v>
      </c>
      <c r="AH891" s="61">
        <v>4.2879019908116385E-2</v>
      </c>
      <c r="AI891" s="61">
        <v>0.64318529862174578</v>
      </c>
      <c r="AJ891" s="59">
        <v>0.84699999999999998</v>
      </c>
      <c r="AK891" s="59">
        <v>2.4500000000000001E-2</v>
      </c>
      <c r="AL891" s="3">
        <v>0</v>
      </c>
      <c r="AM891" s="3">
        <v>0</v>
      </c>
      <c r="AN891" s="3">
        <v>11</v>
      </c>
      <c r="AO891" s="3">
        <v>189</v>
      </c>
      <c r="AP891" s="3">
        <v>162</v>
      </c>
      <c r="AQ891" s="3">
        <v>158</v>
      </c>
      <c r="AR891" s="3">
        <v>133</v>
      </c>
      <c r="AS891" s="59">
        <v>5.5E-2</v>
      </c>
      <c r="AT891" s="3">
        <v>9</v>
      </c>
      <c r="AU891" s="3">
        <v>6</v>
      </c>
      <c r="AV891" s="49">
        <v>68.76640419947509</v>
      </c>
      <c r="AW891" s="49">
        <v>23.097112860892398</v>
      </c>
      <c r="AX891" s="49">
        <v>7.8740157480314998</v>
      </c>
      <c r="AY891" s="67">
        <v>0.26246719160104998</v>
      </c>
      <c r="AZ891" s="62">
        <v>0.30780141843971631</v>
      </c>
      <c r="BA891" s="62">
        <v>0.13333333333333333</v>
      </c>
      <c r="BB891" s="78">
        <v>92.624627806294896</v>
      </c>
      <c r="BC891" s="49">
        <v>17.696629213483099</v>
      </c>
      <c r="BD891" s="90" t="s">
        <v>83</v>
      </c>
      <c r="BE891" s="90" t="s">
        <v>83</v>
      </c>
      <c r="BF891" s="87">
        <v>2.9</v>
      </c>
      <c r="BG891" s="87">
        <v>3.9</v>
      </c>
      <c r="BH891" s="87">
        <v>2</v>
      </c>
      <c r="BI891" s="87">
        <v>2.2000000000000002</v>
      </c>
      <c r="BJ891" s="49">
        <v>17.899999999999999</v>
      </c>
      <c r="BK891" s="126">
        <v>10826</v>
      </c>
      <c r="BL891" s="126">
        <v>50260</v>
      </c>
      <c r="BM891" s="126">
        <v>53348</v>
      </c>
      <c r="BN891" s="126">
        <v>39498</v>
      </c>
      <c r="BO891" s="59">
        <v>3.6799999999999999E-2</v>
      </c>
      <c r="BP891" s="59">
        <v>0.37709999999999999</v>
      </c>
      <c r="BQ891" s="59">
        <v>0.1205</v>
      </c>
      <c r="BR891" s="59">
        <v>0</v>
      </c>
      <c r="BS891" s="59">
        <v>0</v>
      </c>
      <c r="BT891" s="49">
        <v>15.3</v>
      </c>
      <c r="BU891" s="59">
        <f t="shared" si="64"/>
        <v>0.53439999999999999</v>
      </c>
      <c r="BV891" s="59">
        <v>2.4500000000000001E-2</v>
      </c>
      <c r="BW891" s="59">
        <v>0</v>
      </c>
      <c r="BX891" s="59">
        <v>2.4500000000000001E-2</v>
      </c>
      <c r="BY891" s="59">
        <v>0</v>
      </c>
      <c r="BZ891" s="59">
        <v>1.23E-2</v>
      </c>
      <c r="CA891" s="49">
        <v>20.399999999999999</v>
      </c>
      <c r="CB891" s="59">
        <f t="shared" si="65"/>
        <v>6.13E-2</v>
      </c>
      <c r="CC891" s="59">
        <v>0.3987</v>
      </c>
      <c r="CD891" s="59">
        <v>0.4037</v>
      </c>
      <c r="CE891" s="59">
        <v>0.18540000000000001</v>
      </c>
      <c r="CF891" s="59">
        <v>0</v>
      </c>
      <c r="CG891" s="59">
        <v>1.23E-2</v>
      </c>
      <c r="CH891" s="49">
        <v>14</v>
      </c>
      <c r="CI891" s="26" t="s">
        <v>383</v>
      </c>
      <c r="CJ891" s="18" t="s">
        <v>489</v>
      </c>
      <c r="CK891" s="20"/>
    </row>
    <row r="892" spans="1:89" x14ac:dyDescent="0.25">
      <c r="A892" s="18" t="s">
        <v>489</v>
      </c>
      <c r="B892" s="19" t="s">
        <v>482</v>
      </c>
      <c r="C892" s="26" t="s">
        <v>384</v>
      </c>
      <c r="D892" s="6">
        <v>0</v>
      </c>
      <c r="E892" s="40" t="s">
        <v>83</v>
      </c>
      <c r="F892" s="6">
        <v>0</v>
      </c>
      <c r="G892" s="162" t="s">
        <v>83</v>
      </c>
      <c r="H892" s="162" t="s">
        <v>83</v>
      </c>
      <c r="I892" s="163">
        <v>0</v>
      </c>
      <c r="J892" s="163">
        <v>0</v>
      </c>
      <c r="K892" s="163">
        <v>0</v>
      </c>
      <c r="L892" s="163">
        <v>0</v>
      </c>
      <c r="M892" s="163">
        <v>0</v>
      </c>
      <c r="N892" s="115">
        <v>0</v>
      </c>
      <c r="O892" s="115">
        <v>0</v>
      </c>
      <c r="P892" s="116" t="s">
        <v>83</v>
      </c>
      <c r="Q892" s="116" t="s">
        <v>83</v>
      </c>
      <c r="R892" s="115">
        <v>0</v>
      </c>
      <c r="S892" s="115">
        <v>0</v>
      </c>
      <c r="T892" s="115">
        <v>0</v>
      </c>
      <c r="U892" s="115">
        <v>0</v>
      </c>
      <c r="V892" s="115">
        <v>0</v>
      </c>
      <c r="W892" s="6">
        <v>573</v>
      </c>
      <c r="X892" s="40">
        <f t="shared" si="62"/>
        <v>573</v>
      </c>
      <c r="Y892" s="40">
        <f t="shared" si="63"/>
        <v>573</v>
      </c>
      <c r="Z892" s="59">
        <v>0.5131</v>
      </c>
      <c r="AA892" s="59">
        <v>0.4869</v>
      </c>
      <c r="AB892" s="61">
        <v>0</v>
      </c>
      <c r="AC892" s="61">
        <v>2.7923211169284468E-2</v>
      </c>
      <c r="AD892" s="61">
        <v>3.6649214659685861E-2</v>
      </c>
      <c r="AE892" s="61">
        <v>2.2687609075043629E-2</v>
      </c>
      <c r="AF892" s="61">
        <v>0</v>
      </c>
      <c r="AG892" s="61">
        <v>0.90052356020942403</v>
      </c>
      <c r="AH892" s="61">
        <v>1.2216404886561954E-2</v>
      </c>
      <c r="AI892" s="61">
        <v>9.947643979057591E-2</v>
      </c>
      <c r="AJ892" s="59">
        <v>0.53200000000000003</v>
      </c>
      <c r="AK892" s="59">
        <v>7.0000000000000001E-3</v>
      </c>
      <c r="AL892" s="3">
        <v>0</v>
      </c>
      <c r="AM892" s="3">
        <v>0</v>
      </c>
      <c r="AN892" s="3">
        <v>4</v>
      </c>
      <c r="AO892" s="3">
        <v>155</v>
      </c>
      <c r="AP892" s="3">
        <v>152</v>
      </c>
      <c r="AQ892" s="3">
        <v>130</v>
      </c>
      <c r="AR892" s="3">
        <v>132</v>
      </c>
      <c r="AS892" s="59">
        <v>2.5157232704402517E-2</v>
      </c>
      <c r="AT892" s="3">
        <v>9</v>
      </c>
      <c r="AU892" s="3">
        <v>6</v>
      </c>
      <c r="AV892" s="49">
        <v>56.704980842911901</v>
      </c>
      <c r="AW892" s="49">
        <v>31.034482758620701</v>
      </c>
      <c r="AX892" s="49">
        <v>11.1111111111111</v>
      </c>
      <c r="AY892" s="67">
        <v>1.14942528735632</v>
      </c>
      <c r="AZ892" s="62">
        <v>0.19023569023569023</v>
      </c>
      <c r="BA892" s="62">
        <v>7.0707070707070704E-2</v>
      </c>
      <c r="BB892" s="77">
        <v>95.516803530354593</v>
      </c>
      <c r="BC892" s="49">
        <v>11.764705882352899</v>
      </c>
      <c r="BD892" s="90" t="s">
        <v>83</v>
      </c>
      <c r="BE892" s="90" t="s">
        <v>83</v>
      </c>
      <c r="BF892" s="87">
        <v>2.1</v>
      </c>
      <c r="BG892" s="87">
        <v>0</v>
      </c>
      <c r="BH892" s="87">
        <v>0</v>
      </c>
      <c r="BI892" s="87">
        <v>1.6</v>
      </c>
      <c r="BJ892" s="49">
        <v>21.1</v>
      </c>
      <c r="BK892" s="126">
        <v>9961</v>
      </c>
      <c r="BL892" s="126">
        <v>50405</v>
      </c>
      <c r="BM892" s="126">
        <v>49805</v>
      </c>
      <c r="BN892" s="126">
        <v>36565</v>
      </c>
      <c r="BO892" s="59">
        <v>0</v>
      </c>
      <c r="BP892" s="59">
        <v>0.32890000000000003</v>
      </c>
      <c r="BQ892" s="59">
        <v>0.15909999999999999</v>
      </c>
      <c r="BR892" s="59">
        <v>0</v>
      </c>
      <c r="BS892" s="59">
        <v>0</v>
      </c>
      <c r="BT892" s="49">
        <v>16.600000000000001</v>
      </c>
      <c r="BU892" s="59">
        <f t="shared" si="64"/>
        <v>0.48799999999999999</v>
      </c>
      <c r="BV892" s="59">
        <v>2.9499999999999998E-2</v>
      </c>
      <c r="BW892" s="59">
        <v>0</v>
      </c>
      <c r="BX892" s="59">
        <v>1.4800000000000001E-2</v>
      </c>
      <c r="BY892" s="59">
        <v>1.47E-2</v>
      </c>
      <c r="BZ892" s="59">
        <v>0</v>
      </c>
      <c r="CA892" s="49">
        <v>18.5</v>
      </c>
      <c r="CB892" s="59">
        <f t="shared" si="65"/>
        <v>5.8999999999999997E-2</v>
      </c>
      <c r="CC892" s="59">
        <v>0.4244</v>
      </c>
      <c r="CD892" s="59">
        <v>0.3664</v>
      </c>
      <c r="CE892" s="59">
        <v>0.19450000000000001</v>
      </c>
      <c r="CF892" s="59">
        <v>1.47E-2</v>
      </c>
      <c r="CG892" s="59">
        <v>0</v>
      </c>
      <c r="CH892" s="49">
        <v>14.6</v>
      </c>
      <c r="CI892" s="26" t="s">
        <v>384</v>
      </c>
      <c r="CJ892" s="18" t="s">
        <v>489</v>
      </c>
      <c r="CK892" s="20"/>
    </row>
    <row r="893" spans="1:89" x14ac:dyDescent="0.25">
      <c r="A893" s="18" t="s">
        <v>489</v>
      </c>
      <c r="B893" s="19" t="s">
        <v>482</v>
      </c>
      <c r="C893" s="26" t="s">
        <v>385</v>
      </c>
      <c r="D893" s="6">
        <v>1</v>
      </c>
      <c r="E893" s="6">
        <v>0</v>
      </c>
      <c r="F893" s="6">
        <v>1</v>
      </c>
      <c r="G893" s="163">
        <v>0</v>
      </c>
      <c r="H893" s="163">
        <v>0</v>
      </c>
      <c r="I893" s="162" t="s">
        <v>83</v>
      </c>
      <c r="J893" s="163">
        <v>0</v>
      </c>
      <c r="K893" s="163">
        <v>0</v>
      </c>
      <c r="L893" s="163">
        <v>0</v>
      </c>
      <c r="M893" s="163">
        <v>1</v>
      </c>
      <c r="N893" s="115">
        <v>4.3478260869565201E-3</v>
      </c>
      <c r="O893" s="115">
        <v>6.2500000000000003E-3</v>
      </c>
      <c r="P893" s="115">
        <v>0</v>
      </c>
      <c r="Q893" s="115">
        <v>0</v>
      </c>
      <c r="R893" s="116" t="s">
        <v>83</v>
      </c>
      <c r="S893" s="115">
        <v>0</v>
      </c>
      <c r="T893" s="115">
        <v>0</v>
      </c>
      <c r="U893" s="115">
        <v>0</v>
      </c>
      <c r="V893" s="115">
        <v>2.7777777777777801E-2</v>
      </c>
      <c r="W893" s="6">
        <v>253</v>
      </c>
      <c r="X893" s="40">
        <f t="shared" si="62"/>
        <v>156</v>
      </c>
      <c r="Y893" s="40">
        <f t="shared" si="63"/>
        <v>223</v>
      </c>
      <c r="Z893" s="59">
        <v>0.498</v>
      </c>
      <c r="AA893" s="59">
        <v>0.502</v>
      </c>
      <c r="AB893" s="61">
        <v>0</v>
      </c>
      <c r="AC893" s="61">
        <v>0</v>
      </c>
      <c r="AD893" s="61">
        <v>9.8814229249011856E-2</v>
      </c>
      <c r="AE893" s="61">
        <v>0</v>
      </c>
      <c r="AF893" s="61">
        <v>0</v>
      </c>
      <c r="AG893" s="61">
        <v>0.88932806324110669</v>
      </c>
      <c r="AH893" s="61">
        <v>1.1857707509881422E-2</v>
      </c>
      <c r="AI893" s="61">
        <v>0.11067193675889328</v>
      </c>
      <c r="AJ893" s="59">
        <v>0.68400000000000005</v>
      </c>
      <c r="AK893" s="59">
        <v>0</v>
      </c>
      <c r="AL893" s="3">
        <v>28</v>
      </c>
      <c r="AM893" s="3">
        <v>39</v>
      </c>
      <c r="AN893" s="3">
        <v>0</v>
      </c>
      <c r="AO893" s="3">
        <v>40</v>
      </c>
      <c r="AP893" s="3">
        <v>42</v>
      </c>
      <c r="AQ893" s="3">
        <v>38</v>
      </c>
      <c r="AR893" s="3">
        <v>36</v>
      </c>
      <c r="AS893" s="59">
        <v>0</v>
      </c>
      <c r="AT893" s="3">
        <v>6</v>
      </c>
      <c r="AU893" s="3">
        <v>6</v>
      </c>
      <c r="AV893" s="49">
        <v>91.616766467065901</v>
      </c>
      <c r="AW893" s="49">
        <v>5.3892215568862296</v>
      </c>
      <c r="AX893" s="49">
        <v>2.9940119760478998</v>
      </c>
      <c r="AY893" s="67">
        <v>0</v>
      </c>
      <c r="AZ893" s="62">
        <v>0.11363636363636363</v>
      </c>
      <c r="BA893" s="62">
        <v>8.7121212121212127E-2</v>
      </c>
      <c r="BB893" s="78">
        <v>92.789609284515606</v>
      </c>
      <c r="BC893" s="49">
        <v>27.924528301886799</v>
      </c>
      <c r="BD893" s="87">
        <v>0</v>
      </c>
      <c r="BE893" s="87">
        <v>2.8</v>
      </c>
      <c r="BF893" s="87">
        <v>2.6</v>
      </c>
      <c r="BG893" s="87">
        <v>0</v>
      </c>
      <c r="BH893" s="87">
        <v>0</v>
      </c>
      <c r="BI893" s="87">
        <v>0</v>
      </c>
      <c r="BJ893" s="49">
        <v>18.899999999999999</v>
      </c>
      <c r="BK893" s="126">
        <v>12780</v>
      </c>
      <c r="BL893" s="126">
        <v>50465</v>
      </c>
      <c r="BM893" s="126">
        <v>54227</v>
      </c>
      <c r="BN893" s="126">
        <v>38774</v>
      </c>
      <c r="BO893" s="59">
        <v>0</v>
      </c>
      <c r="BP893" s="59">
        <v>0.39019999999999999</v>
      </c>
      <c r="BQ893" s="59">
        <v>7.2900000000000006E-2</v>
      </c>
      <c r="BR893" s="59">
        <v>2.3599999999999999E-2</v>
      </c>
      <c r="BS893" s="59">
        <v>0</v>
      </c>
      <c r="BT893" s="49">
        <v>15.8</v>
      </c>
      <c r="BU893" s="59">
        <f t="shared" si="64"/>
        <v>0.48670000000000002</v>
      </c>
      <c r="BV893" s="59">
        <v>2.4299999999999999E-2</v>
      </c>
      <c r="BW893" s="59">
        <v>2.3699999999999999E-2</v>
      </c>
      <c r="BX893" s="59">
        <v>2.4299999999999999E-2</v>
      </c>
      <c r="BY893" s="59">
        <v>0</v>
      </c>
      <c r="BZ893" s="59">
        <v>0</v>
      </c>
      <c r="CA893" s="49">
        <v>14.7</v>
      </c>
      <c r="CB893" s="59">
        <f t="shared" si="65"/>
        <v>7.2300000000000003E-2</v>
      </c>
      <c r="CC893" s="59">
        <v>0.39529999999999998</v>
      </c>
      <c r="CD893" s="59">
        <v>0.44850000000000001</v>
      </c>
      <c r="CE893" s="59">
        <v>0.13189999999999999</v>
      </c>
      <c r="CF893" s="59">
        <v>2.4299999999999999E-2</v>
      </c>
      <c r="CG893" s="59">
        <v>0</v>
      </c>
      <c r="CH893" s="49">
        <v>12.4</v>
      </c>
      <c r="CI893" s="26" t="s">
        <v>385</v>
      </c>
      <c r="CJ893" s="18" t="s">
        <v>489</v>
      </c>
      <c r="CK893" s="20"/>
    </row>
    <row r="894" spans="1:89" x14ac:dyDescent="0.25">
      <c r="A894" s="18" t="s">
        <v>489</v>
      </c>
      <c r="B894" s="19" t="s">
        <v>482</v>
      </c>
      <c r="C894" s="26" t="s">
        <v>386</v>
      </c>
      <c r="D894" s="6">
        <v>0</v>
      </c>
      <c r="E894" s="40" t="s">
        <v>83</v>
      </c>
      <c r="F894" s="6">
        <v>0</v>
      </c>
      <c r="G894" s="162" t="s">
        <v>83</v>
      </c>
      <c r="H894" s="162" t="s">
        <v>83</v>
      </c>
      <c r="I894" s="163">
        <v>0</v>
      </c>
      <c r="J894" s="163">
        <v>0</v>
      </c>
      <c r="K894" s="163">
        <v>0</v>
      </c>
      <c r="L894" s="163">
        <v>0</v>
      </c>
      <c r="M894" s="163">
        <v>0</v>
      </c>
      <c r="N894" s="115">
        <v>0</v>
      </c>
      <c r="O894" s="115">
        <v>0</v>
      </c>
      <c r="P894" s="116" t="s">
        <v>83</v>
      </c>
      <c r="Q894" s="116" t="s">
        <v>83</v>
      </c>
      <c r="R894" s="115">
        <v>0</v>
      </c>
      <c r="S894" s="115">
        <v>0</v>
      </c>
      <c r="T894" s="115">
        <v>0</v>
      </c>
      <c r="U894" s="115">
        <v>0</v>
      </c>
      <c r="V894" s="115">
        <v>0</v>
      </c>
      <c r="W894" s="6">
        <v>515</v>
      </c>
      <c r="X894" s="40">
        <f t="shared" si="62"/>
        <v>515</v>
      </c>
      <c r="Y894" s="40">
        <f t="shared" si="63"/>
        <v>515</v>
      </c>
      <c r="Z894" s="59">
        <v>0.46410000000000001</v>
      </c>
      <c r="AA894" s="59">
        <v>0.53590000000000004</v>
      </c>
      <c r="AB894" s="61">
        <v>1.9417475728155339E-3</v>
      </c>
      <c r="AC894" s="61">
        <v>5.8252427184466021E-3</v>
      </c>
      <c r="AD894" s="61">
        <v>8.7378640776699032E-2</v>
      </c>
      <c r="AE894" s="61">
        <v>1.7475728155339806E-2</v>
      </c>
      <c r="AF894" s="61">
        <v>0</v>
      </c>
      <c r="AG894" s="61">
        <v>0.86407766990291257</v>
      </c>
      <c r="AH894" s="61">
        <v>2.3300970873786409E-2</v>
      </c>
      <c r="AI894" s="61">
        <v>0.13592233009708737</v>
      </c>
      <c r="AJ894" s="59">
        <v>0.61399999999999999</v>
      </c>
      <c r="AK894" s="59">
        <v>3.8999999999999998E-3</v>
      </c>
      <c r="AL894" s="3">
        <v>0</v>
      </c>
      <c r="AM894" s="3">
        <v>0</v>
      </c>
      <c r="AN894" s="3">
        <v>2</v>
      </c>
      <c r="AO894" s="3">
        <v>151</v>
      </c>
      <c r="AP894" s="3">
        <v>118</v>
      </c>
      <c r="AQ894" s="3">
        <v>138</v>
      </c>
      <c r="AR894" s="3">
        <v>106</v>
      </c>
      <c r="AS894" s="59">
        <v>1.3071895424836602E-2</v>
      </c>
      <c r="AT894" s="3">
        <v>9</v>
      </c>
      <c r="AU894" s="3">
        <v>6</v>
      </c>
      <c r="AV894" s="49">
        <v>69.534050179211505</v>
      </c>
      <c r="AW894" s="49">
        <v>16.8458781362007</v>
      </c>
      <c r="AX894" s="49">
        <v>11.8279569892473</v>
      </c>
      <c r="AY894" s="67">
        <v>1.7921146953405001</v>
      </c>
      <c r="AZ894" s="62">
        <v>0.11460258780036968</v>
      </c>
      <c r="BA894" s="62">
        <v>8.6876155268022184E-2</v>
      </c>
      <c r="BB894" s="77">
        <v>92.682354357245998</v>
      </c>
      <c r="BC894" s="49">
        <v>32.051282051282101</v>
      </c>
      <c r="BD894" s="90" t="s">
        <v>83</v>
      </c>
      <c r="BE894" s="90" t="s">
        <v>83</v>
      </c>
      <c r="BF894" s="87">
        <v>1.4</v>
      </c>
      <c r="BG894" s="87">
        <v>2.6</v>
      </c>
      <c r="BH894" s="87">
        <v>0</v>
      </c>
      <c r="BI894" s="87">
        <v>0</v>
      </c>
      <c r="BJ894" s="49">
        <v>20.399999999999999</v>
      </c>
      <c r="BK894" s="126">
        <v>9223</v>
      </c>
      <c r="BL894" s="126">
        <v>49309</v>
      </c>
      <c r="BM894" s="126">
        <v>53055</v>
      </c>
      <c r="BN894" s="126">
        <v>41516</v>
      </c>
      <c r="BO894" s="59">
        <v>0</v>
      </c>
      <c r="BP894" s="59">
        <v>0.49359999999999998</v>
      </c>
      <c r="BQ894" s="59">
        <v>7.7700000000000005E-2</v>
      </c>
      <c r="BR894" s="59">
        <v>1.9599999999999999E-2</v>
      </c>
      <c r="BS894" s="59">
        <v>0</v>
      </c>
      <c r="BT894" s="49">
        <v>12.1</v>
      </c>
      <c r="BU894" s="59">
        <f t="shared" si="64"/>
        <v>0.59089999999999998</v>
      </c>
      <c r="BV894" s="59">
        <v>3.9300000000000002E-2</v>
      </c>
      <c r="BW894" s="59">
        <v>0</v>
      </c>
      <c r="BX894" s="59">
        <v>1.9199999999999998E-2</v>
      </c>
      <c r="BY894" s="59">
        <v>0</v>
      </c>
      <c r="BZ894" s="59">
        <v>1.95E-2</v>
      </c>
      <c r="CA894" s="49">
        <v>25.2</v>
      </c>
      <c r="CB894" s="59">
        <f t="shared" si="65"/>
        <v>7.8E-2</v>
      </c>
      <c r="CC894" s="59">
        <v>0.31140000000000001</v>
      </c>
      <c r="CD894" s="59">
        <v>0.52849999999999997</v>
      </c>
      <c r="CE894" s="59">
        <v>0.12089999999999999</v>
      </c>
      <c r="CF894" s="59">
        <v>1.9599999999999999E-2</v>
      </c>
      <c r="CG894" s="59">
        <v>1.95E-2</v>
      </c>
      <c r="CH894" s="49">
        <v>13.4</v>
      </c>
      <c r="CI894" s="26" t="s">
        <v>386</v>
      </c>
      <c r="CJ894" s="18" t="s">
        <v>489</v>
      </c>
      <c r="CK894" s="20"/>
    </row>
    <row r="895" spans="1:89" x14ac:dyDescent="0.25">
      <c r="A895" s="18" t="s">
        <v>489</v>
      </c>
      <c r="B895" s="19" t="s">
        <v>482</v>
      </c>
      <c r="C895" s="26" t="s">
        <v>387</v>
      </c>
      <c r="D895" s="6">
        <v>2</v>
      </c>
      <c r="E895" s="40" t="s">
        <v>83</v>
      </c>
      <c r="F895" s="6">
        <v>2</v>
      </c>
      <c r="G895" s="162" t="s">
        <v>83</v>
      </c>
      <c r="H895" s="162" t="s">
        <v>83</v>
      </c>
      <c r="I895" s="163">
        <v>0</v>
      </c>
      <c r="J895" s="163">
        <v>1</v>
      </c>
      <c r="K895" s="163">
        <v>0</v>
      </c>
      <c r="L895" s="163">
        <v>0</v>
      </c>
      <c r="M895" s="163">
        <v>1</v>
      </c>
      <c r="N895" s="115">
        <v>2.9717682020802402E-3</v>
      </c>
      <c r="O895" s="115">
        <v>2.9717682020802402E-3</v>
      </c>
      <c r="P895" s="116" t="s">
        <v>83</v>
      </c>
      <c r="Q895" s="116" t="s">
        <v>83</v>
      </c>
      <c r="R895" s="115">
        <v>0</v>
      </c>
      <c r="S895" s="115">
        <v>5.4644808743169399E-3</v>
      </c>
      <c r="T895" s="115">
        <v>0</v>
      </c>
      <c r="U895" s="115">
        <v>0</v>
      </c>
      <c r="V895" s="115">
        <v>6.6666666666666697E-3</v>
      </c>
      <c r="W895" s="6">
        <v>656</v>
      </c>
      <c r="X895" s="40">
        <f t="shared" si="62"/>
        <v>656</v>
      </c>
      <c r="Y895" s="40">
        <f t="shared" si="63"/>
        <v>656</v>
      </c>
      <c r="Z895" s="59">
        <v>0.5091</v>
      </c>
      <c r="AA895" s="59">
        <v>0.4909</v>
      </c>
      <c r="AB895" s="61">
        <v>1.5243902439024391E-3</v>
      </c>
      <c r="AC895" s="61">
        <v>1.3719512195121951E-2</v>
      </c>
      <c r="AD895" s="61">
        <v>0.10060975609756098</v>
      </c>
      <c r="AE895" s="61">
        <v>2.5914634146341462E-2</v>
      </c>
      <c r="AF895" s="61">
        <v>0</v>
      </c>
      <c r="AG895" s="61">
        <v>0.84756097560975607</v>
      </c>
      <c r="AH895" s="61">
        <v>1.0670731707317074E-2</v>
      </c>
      <c r="AI895" s="61">
        <v>0.1524390243902439</v>
      </c>
      <c r="AJ895" s="59">
        <v>0.49199999999999999</v>
      </c>
      <c r="AK895" s="59">
        <v>6.1000000000000004E-3</v>
      </c>
      <c r="AL895" s="3">
        <v>0</v>
      </c>
      <c r="AM895" s="3">
        <v>0</v>
      </c>
      <c r="AN895" s="3">
        <v>4</v>
      </c>
      <c r="AO895" s="3">
        <v>175</v>
      </c>
      <c r="AP895" s="3">
        <v>165</v>
      </c>
      <c r="AQ895" s="3">
        <v>166</v>
      </c>
      <c r="AR895" s="3">
        <v>146</v>
      </c>
      <c r="AS895" s="59">
        <v>2.23463687150838E-2</v>
      </c>
      <c r="AT895" s="3">
        <v>9</v>
      </c>
      <c r="AU895" s="3">
        <v>6</v>
      </c>
      <c r="AV895" s="49">
        <v>56.928838951310901</v>
      </c>
      <c r="AW895" s="49">
        <v>30.337078651685403</v>
      </c>
      <c r="AX895" s="49">
        <v>11.235955056179799</v>
      </c>
      <c r="AY895" s="67">
        <v>1.4981273408239701</v>
      </c>
      <c r="AZ895" s="62">
        <v>0.12816691505216096</v>
      </c>
      <c r="BA895" s="62">
        <v>7.3025335320417287E-2</v>
      </c>
      <c r="BB895" s="78">
        <v>95.059138423698798</v>
      </c>
      <c r="BC895" s="49">
        <v>17.130307467057101</v>
      </c>
      <c r="BD895" s="90" t="s">
        <v>83</v>
      </c>
      <c r="BE895" s="90" t="s">
        <v>83</v>
      </c>
      <c r="BF895" s="87">
        <v>1.2</v>
      </c>
      <c r="BG895" s="87">
        <v>0.6</v>
      </c>
      <c r="BH895" s="87">
        <v>0.7</v>
      </c>
      <c r="BI895" s="87">
        <v>1.3</v>
      </c>
      <c r="BJ895" s="49">
        <v>21.2</v>
      </c>
      <c r="BK895" s="126">
        <v>9375</v>
      </c>
      <c r="BL895" s="126">
        <v>48971</v>
      </c>
      <c r="BM895" s="126">
        <v>46741</v>
      </c>
      <c r="BN895" s="126">
        <v>36310</v>
      </c>
      <c r="BO895" s="59">
        <v>0</v>
      </c>
      <c r="BP895" s="59">
        <v>0.36980000000000002</v>
      </c>
      <c r="BQ895" s="59">
        <v>0.1111</v>
      </c>
      <c r="BR895" s="59">
        <v>0</v>
      </c>
      <c r="BS895" s="59">
        <v>1.32E-2</v>
      </c>
      <c r="BT895" s="49">
        <v>14.5</v>
      </c>
      <c r="BU895" s="59">
        <f t="shared" si="64"/>
        <v>0.49409999999999998</v>
      </c>
      <c r="BV895" s="59">
        <v>3.39E-2</v>
      </c>
      <c r="BW895" s="59">
        <v>0</v>
      </c>
      <c r="BX895" s="59">
        <v>2.6800000000000001E-2</v>
      </c>
      <c r="BY895" s="59">
        <v>0</v>
      </c>
      <c r="BZ895" s="59">
        <v>0</v>
      </c>
      <c r="CA895" s="49">
        <v>18.600000000000001</v>
      </c>
      <c r="CB895" s="59">
        <f t="shared" si="65"/>
        <v>6.0700000000000004E-2</v>
      </c>
      <c r="CC895" s="59">
        <v>0.43930000000000002</v>
      </c>
      <c r="CD895" s="59">
        <v>0.38879999999999998</v>
      </c>
      <c r="CE895" s="59">
        <v>0.1583</v>
      </c>
      <c r="CF895" s="59">
        <v>0</v>
      </c>
      <c r="CG895" s="59">
        <v>1.3599999999999999E-2</v>
      </c>
      <c r="CH895" s="49">
        <v>12.3</v>
      </c>
      <c r="CI895" s="26" t="s">
        <v>387</v>
      </c>
      <c r="CJ895" s="18" t="s">
        <v>489</v>
      </c>
      <c r="CK895" s="20"/>
    </row>
    <row r="896" spans="1:89" x14ac:dyDescent="0.25">
      <c r="A896" s="18" t="s">
        <v>489</v>
      </c>
      <c r="B896" s="19" t="s">
        <v>388</v>
      </c>
      <c r="C896" s="26" t="s">
        <v>389</v>
      </c>
      <c r="D896" s="6">
        <v>0</v>
      </c>
      <c r="E896" s="6">
        <v>0</v>
      </c>
      <c r="F896" s="6">
        <v>0</v>
      </c>
      <c r="G896" s="163">
        <v>0</v>
      </c>
      <c r="H896" s="163">
        <v>0</v>
      </c>
      <c r="I896" s="162" t="s">
        <v>83</v>
      </c>
      <c r="J896" s="163">
        <v>0</v>
      </c>
      <c r="K896" s="163">
        <v>0</v>
      </c>
      <c r="L896" s="163">
        <v>0</v>
      </c>
      <c r="M896" s="163">
        <v>0</v>
      </c>
      <c r="N896" s="115">
        <v>0</v>
      </c>
      <c r="O896" s="115">
        <v>0</v>
      </c>
      <c r="P896" s="115">
        <v>0</v>
      </c>
      <c r="Q896" s="115">
        <v>0</v>
      </c>
      <c r="R896" s="116" t="s">
        <v>83</v>
      </c>
      <c r="S896" s="115">
        <v>0</v>
      </c>
      <c r="T896" s="115">
        <v>0</v>
      </c>
      <c r="U896" s="115">
        <v>0</v>
      </c>
      <c r="V896" s="115">
        <v>0</v>
      </c>
      <c r="W896" s="6">
        <v>347</v>
      </c>
      <c r="X896" s="40">
        <f t="shared" si="62"/>
        <v>211</v>
      </c>
      <c r="Y896" s="40">
        <f t="shared" si="63"/>
        <v>347</v>
      </c>
      <c r="Z896" s="59">
        <v>0.53600000000000003</v>
      </c>
      <c r="AA896" s="59">
        <v>0.46400000000000002</v>
      </c>
      <c r="AB896" s="61">
        <v>1.1527377521613832E-2</v>
      </c>
      <c r="AC896" s="61">
        <v>2.881844380403458E-3</v>
      </c>
      <c r="AD896" s="61">
        <v>2.0172910662824207E-2</v>
      </c>
      <c r="AE896" s="61">
        <v>3.7463976945244955E-2</v>
      </c>
      <c r="AF896" s="61">
        <v>0</v>
      </c>
      <c r="AG896" s="61">
        <v>0.9221902017291066</v>
      </c>
      <c r="AH896" s="61">
        <v>5.763688760806916E-3</v>
      </c>
      <c r="AI896" s="61">
        <v>7.7809798270893377E-2</v>
      </c>
      <c r="AJ896" s="59">
        <v>0.47599999999999998</v>
      </c>
      <c r="AK896" s="59">
        <v>2.8999999999999998E-3</v>
      </c>
      <c r="AL896" s="3">
        <v>74</v>
      </c>
      <c r="AM896" s="3">
        <v>62</v>
      </c>
      <c r="AN896" s="3">
        <v>0</v>
      </c>
      <c r="AO896" s="3">
        <v>63</v>
      </c>
      <c r="AP896" s="3">
        <v>61</v>
      </c>
      <c r="AQ896" s="3">
        <v>53</v>
      </c>
      <c r="AR896" s="3">
        <v>34</v>
      </c>
      <c r="AS896" s="59">
        <v>0</v>
      </c>
      <c r="AT896" s="3">
        <v>7</v>
      </c>
      <c r="AU896" s="3">
        <v>6</v>
      </c>
      <c r="AV896" s="49">
        <v>80.408163265306101</v>
      </c>
      <c r="AW896" s="49">
        <v>13.8775510204082</v>
      </c>
      <c r="AX896" s="49">
        <v>4.4897959183673501</v>
      </c>
      <c r="AY896" s="67">
        <v>1.22448979591837</v>
      </c>
      <c r="AZ896" s="62">
        <v>0</v>
      </c>
      <c r="BA896" s="62">
        <v>0.13333333333333333</v>
      </c>
      <c r="BB896" s="77">
        <v>93.7432690637485</v>
      </c>
      <c r="BC896" s="49">
        <v>27.2</v>
      </c>
      <c r="BD896" s="87">
        <v>7.2</v>
      </c>
      <c r="BE896" s="87">
        <v>0</v>
      </c>
      <c r="BF896" s="87">
        <v>0</v>
      </c>
      <c r="BG896" s="87">
        <v>0</v>
      </c>
      <c r="BH896" s="87">
        <v>0</v>
      </c>
      <c r="BI896" s="87">
        <v>0</v>
      </c>
      <c r="BJ896" s="49">
        <v>23.4</v>
      </c>
      <c r="BK896" s="126">
        <v>11627</v>
      </c>
      <c r="BL896" s="126">
        <v>52323</v>
      </c>
      <c r="BM896" s="126">
        <v>37539</v>
      </c>
      <c r="BN896" s="126">
        <v>38856</v>
      </c>
      <c r="BO896" s="59">
        <v>0</v>
      </c>
      <c r="BP896" s="59">
        <v>0.34710000000000002</v>
      </c>
      <c r="BQ896" s="59">
        <v>0.1225</v>
      </c>
      <c r="BR896" s="59">
        <v>0</v>
      </c>
      <c r="BS896" s="59">
        <v>0</v>
      </c>
      <c r="BT896" s="49">
        <v>20.2</v>
      </c>
      <c r="BU896" s="59">
        <f t="shared" si="64"/>
        <v>0.46960000000000002</v>
      </c>
      <c r="BV896" s="59">
        <v>4.0800000000000003E-2</v>
      </c>
      <c r="BW896" s="59">
        <v>0</v>
      </c>
      <c r="BX896" s="59">
        <v>4.0800000000000003E-2</v>
      </c>
      <c r="BY896" s="59">
        <v>0</v>
      </c>
      <c r="BZ896" s="59">
        <v>0</v>
      </c>
      <c r="CA896" s="49">
        <v>15.7</v>
      </c>
      <c r="CB896" s="59">
        <f t="shared" si="65"/>
        <v>8.1600000000000006E-2</v>
      </c>
      <c r="CC896" s="59">
        <v>0.42830000000000001</v>
      </c>
      <c r="CD896" s="59">
        <v>0.38790000000000002</v>
      </c>
      <c r="CE896" s="59">
        <v>0.1837</v>
      </c>
      <c r="CF896" s="59">
        <v>0</v>
      </c>
      <c r="CG896" s="59">
        <v>0</v>
      </c>
      <c r="CH896" s="49">
        <v>18.100000000000001</v>
      </c>
      <c r="CI896" s="26" t="s">
        <v>389</v>
      </c>
      <c r="CJ896" s="18" t="s">
        <v>489</v>
      </c>
      <c r="CK896" s="20"/>
    </row>
    <row r="897" spans="1:89" x14ac:dyDescent="0.25">
      <c r="A897" s="18" t="s">
        <v>489</v>
      </c>
      <c r="B897" s="19" t="s">
        <v>388</v>
      </c>
      <c r="C897" s="26" t="s">
        <v>390</v>
      </c>
      <c r="D897" s="6">
        <v>0</v>
      </c>
      <c r="E897" s="6">
        <v>0</v>
      </c>
      <c r="F897" s="6">
        <v>0</v>
      </c>
      <c r="G897" s="163">
        <v>0</v>
      </c>
      <c r="H897" s="163">
        <v>0</v>
      </c>
      <c r="I897" s="162" t="s">
        <v>83</v>
      </c>
      <c r="J897" s="163">
        <v>0</v>
      </c>
      <c r="K897" s="163">
        <v>0</v>
      </c>
      <c r="L897" s="163">
        <v>0</v>
      </c>
      <c r="M897" s="163">
        <v>0</v>
      </c>
      <c r="N897" s="115">
        <v>0</v>
      </c>
      <c r="O897" s="115">
        <v>0</v>
      </c>
      <c r="P897" s="115">
        <v>0</v>
      </c>
      <c r="Q897" s="115">
        <v>0</v>
      </c>
      <c r="R897" s="116" t="s">
        <v>83</v>
      </c>
      <c r="S897" s="115">
        <v>0</v>
      </c>
      <c r="T897" s="115">
        <v>0</v>
      </c>
      <c r="U897" s="115">
        <v>0</v>
      </c>
      <c r="V897" s="115">
        <v>0</v>
      </c>
      <c r="W897" s="6">
        <v>379</v>
      </c>
      <c r="X897" s="40">
        <f t="shared" si="62"/>
        <v>99</v>
      </c>
      <c r="Y897" s="40">
        <f t="shared" si="63"/>
        <v>158</v>
      </c>
      <c r="Z897" s="59">
        <v>0.49080000000000001</v>
      </c>
      <c r="AA897" s="59">
        <v>0.50919999999999999</v>
      </c>
      <c r="AB897" s="61">
        <v>1.3192612137203167E-2</v>
      </c>
      <c r="AC897" s="61">
        <v>0</v>
      </c>
      <c r="AD897" s="61">
        <v>2.6385224274406332E-3</v>
      </c>
      <c r="AE897" s="61">
        <v>1.8469656992084433E-2</v>
      </c>
      <c r="AF897" s="61">
        <v>2.6385224274406332E-3</v>
      </c>
      <c r="AG897" s="61">
        <v>0.9604221635883905</v>
      </c>
      <c r="AH897" s="61">
        <v>2.6385224274406332E-3</v>
      </c>
      <c r="AI897" s="61">
        <v>3.9577836411609502E-2</v>
      </c>
      <c r="AJ897" s="59">
        <v>0.70399999999999996</v>
      </c>
      <c r="AK897" s="59">
        <v>0</v>
      </c>
      <c r="AL897" s="3">
        <v>33</v>
      </c>
      <c r="AM897" s="3">
        <v>26</v>
      </c>
      <c r="AN897" s="3">
        <v>0</v>
      </c>
      <c r="AO897" s="3">
        <v>26</v>
      </c>
      <c r="AP897" s="3">
        <v>31</v>
      </c>
      <c r="AQ897" s="3">
        <v>22</v>
      </c>
      <c r="AR897" s="3">
        <v>20</v>
      </c>
      <c r="AS897" s="59">
        <v>0</v>
      </c>
      <c r="AT897" s="3">
        <v>1</v>
      </c>
      <c r="AU897" s="3">
        <v>6</v>
      </c>
      <c r="AV897" s="49">
        <v>82.010582010581999</v>
      </c>
      <c r="AW897" s="49">
        <v>11.6402116402116</v>
      </c>
      <c r="AX897" s="49">
        <v>6.3492063492063506</v>
      </c>
      <c r="AY897" s="67">
        <v>0</v>
      </c>
      <c r="AZ897" s="62">
        <v>2.352941176470588E-3</v>
      </c>
      <c r="BA897" s="62">
        <v>4.4705882352941179E-2</v>
      </c>
      <c r="BB897" s="78">
        <v>93.222152585640302</v>
      </c>
      <c r="BC897" s="49">
        <v>29.950495049504902</v>
      </c>
      <c r="BD897" s="87">
        <v>3.1</v>
      </c>
      <c r="BE897" s="87">
        <v>0</v>
      </c>
      <c r="BF897" s="87">
        <v>0</v>
      </c>
      <c r="BG897" s="87">
        <v>0</v>
      </c>
      <c r="BH897" s="87">
        <v>0</v>
      </c>
      <c r="BI897" s="87">
        <v>0</v>
      </c>
      <c r="BJ897" s="49">
        <v>20.6</v>
      </c>
      <c r="BK897" s="126">
        <v>11003</v>
      </c>
      <c r="BL897" s="126">
        <v>49587</v>
      </c>
      <c r="BM897" s="126">
        <v>46891</v>
      </c>
      <c r="BN897" s="126">
        <v>37086</v>
      </c>
      <c r="BO897" s="59">
        <v>0</v>
      </c>
      <c r="BP897" s="59">
        <v>0.3201</v>
      </c>
      <c r="BQ897" s="59">
        <v>0.16220000000000001</v>
      </c>
      <c r="BR897" s="59">
        <v>0</v>
      </c>
      <c r="BS897" s="59">
        <v>0</v>
      </c>
      <c r="BT897" s="49">
        <v>14.4</v>
      </c>
      <c r="BU897" s="59">
        <f t="shared" si="64"/>
        <v>0.48230000000000001</v>
      </c>
      <c r="BV897" s="59">
        <v>3.61E-2</v>
      </c>
      <c r="BW897" s="59">
        <v>1.7999999999999999E-2</v>
      </c>
      <c r="BX897" s="59">
        <v>1.7999999999999999E-2</v>
      </c>
      <c r="BY897" s="59">
        <v>0</v>
      </c>
      <c r="BZ897" s="59">
        <v>0</v>
      </c>
      <c r="CA897" s="49">
        <v>18.7</v>
      </c>
      <c r="CB897" s="59">
        <f t="shared" si="65"/>
        <v>7.2099999999999997E-2</v>
      </c>
      <c r="CC897" s="59">
        <v>0.44569999999999999</v>
      </c>
      <c r="CD897" s="59">
        <v>0.35599999999999998</v>
      </c>
      <c r="CE897" s="59">
        <v>0.1983</v>
      </c>
      <c r="CF897" s="59">
        <v>0</v>
      </c>
      <c r="CG897" s="59">
        <v>0</v>
      </c>
      <c r="CH897" s="49">
        <v>13.1</v>
      </c>
      <c r="CI897" s="26" t="s">
        <v>390</v>
      </c>
      <c r="CJ897" s="18" t="s">
        <v>489</v>
      </c>
      <c r="CK897" s="20"/>
    </row>
    <row r="898" spans="1:89" x14ac:dyDescent="0.25">
      <c r="A898" s="18" t="s">
        <v>489</v>
      </c>
      <c r="B898" s="19" t="s">
        <v>388</v>
      </c>
      <c r="C898" s="26" t="s">
        <v>391</v>
      </c>
      <c r="D898" s="6">
        <v>0</v>
      </c>
      <c r="E898" s="6">
        <v>0</v>
      </c>
      <c r="F898" s="6">
        <v>0</v>
      </c>
      <c r="G898" s="163">
        <v>0</v>
      </c>
      <c r="H898" s="163">
        <v>0</v>
      </c>
      <c r="I898" s="162" t="s">
        <v>83</v>
      </c>
      <c r="J898" s="163">
        <v>0</v>
      </c>
      <c r="K898" s="163">
        <v>0</v>
      </c>
      <c r="L898" s="163">
        <v>0</v>
      </c>
      <c r="M898" s="163">
        <v>0</v>
      </c>
      <c r="N898" s="115">
        <v>0</v>
      </c>
      <c r="O898" s="115">
        <v>0</v>
      </c>
      <c r="P898" s="115">
        <v>0</v>
      </c>
      <c r="Q898" s="115">
        <v>0</v>
      </c>
      <c r="R898" s="116" t="s">
        <v>83</v>
      </c>
      <c r="S898" s="115">
        <v>0</v>
      </c>
      <c r="T898" s="115">
        <v>0</v>
      </c>
      <c r="U898" s="115">
        <v>0</v>
      </c>
      <c r="V898" s="115">
        <v>0</v>
      </c>
      <c r="W898" s="6">
        <v>356</v>
      </c>
      <c r="X898" s="40">
        <f t="shared" si="62"/>
        <v>103</v>
      </c>
      <c r="Y898" s="40">
        <f t="shared" si="63"/>
        <v>163</v>
      </c>
      <c r="Z898" s="59">
        <v>0.47749999999999998</v>
      </c>
      <c r="AA898" s="59">
        <v>0.52249999999999996</v>
      </c>
      <c r="AB898" s="61">
        <v>8.4269662921348312E-3</v>
      </c>
      <c r="AC898" s="61">
        <v>0</v>
      </c>
      <c r="AD898" s="61">
        <v>5.6179775280898875E-3</v>
      </c>
      <c r="AE898" s="61">
        <v>2.5280898876404494E-2</v>
      </c>
      <c r="AF898" s="61">
        <v>0</v>
      </c>
      <c r="AG898" s="61">
        <v>0.9606741573033708</v>
      </c>
      <c r="AH898" s="61">
        <v>0</v>
      </c>
      <c r="AI898" s="61">
        <v>3.9325842696629212E-2</v>
      </c>
      <c r="AJ898" s="59">
        <v>0.54500000000000004</v>
      </c>
      <c r="AK898" s="59">
        <v>8.3999999999999995E-3</v>
      </c>
      <c r="AL898" s="3">
        <v>32</v>
      </c>
      <c r="AM898" s="3">
        <v>28</v>
      </c>
      <c r="AN898" s="3">
        <v>0</v>
      </c>
      <c r="AO898" s="3">
        <v>31</v>
      </c>
      <c r="AP898" s="3">
        <v>24</v>
      </c>
      <c r="AQ898" s="3">
        <v>28</v>
      </c>
      <c r="AR898" s="3">
        <v>20</v>
      </c>
      <c r="AS898" s="59">
        <v>0</v>
      </c>
      <c r="AT898" s="3">
        <v>1</v>
      </c>
      <c r="AU898" s="3">
        <v>6</v>
      </c>
      <c r="AV898" s="49">
        <v>69.662921348314597</v>
      </c>
      <c r="AW898" s="49">
        <v>15.168539325842701</v>
      </c>
      <c r="AX898" s="49">
        <v>14.606741573033698</v>
      </c>
      <c r="AY898" s="67">
        <v>0.56179775280898903</v>
      </c>
      <c r="AZ898" s="62">
        <v>4.5569620253164557E-2</v>
      </c>
      <c r="BA898" s="62">
        <v>7.0886075949367092E-2</v>
      </c>
      <c r="BB898" s="77">
        <v>93.800089231125099</v>
      </c>
      <c r="BC898" s="49">
        <v>37.566137566137598</v>
      </c>
      <c r="BD898" s="87">
        <v>0</v>
      </c>
      <c r="BE898" s="87">
        <v>0</v>
      </c>
      <c r="BF898" s="87">
        <v>0</v>
      </c>
      <c r="BG898" s="87">
        <v>0</v>
      </c>
      <c r="BH898" s="87">
        <v>0</v>
      </c>
      <c r="BI898" s="87">
        <v>0</v>
      </c>
      <c r="BJ898" s="49">
        <v>21.2</v>
      </c>
      <c r="BK898" s="126">
        <v>11170</v>
      </c>
      <c r="BL898" s="126">
        <v>49943</v>
      </c>
      <c r="BM898" s="126">
        <v>49765</v>
      </c>
      <c r="BN898" s="126">
        <v>37362</v>
      </c>
      <c r="BO898" s="59">
        <v>0</v>
      </c>
      <c r="BP898" s="59">
        <v>0.40810000000000002</v>
      </c>
      <c r="BQ898" s="59">
        <v>5.8400000000000001E-2</v>
      </c>
      <c r="BR898" s="59">
        <v>0</v>
      </c>
      <c r="BS898" s="59">
        <v>0</v>
      </c>
      <c r="BT898" s="49">
        <v>14.9</v>
      </c>
      <c r="BU898" s="59">
        <f t="shared" si="64"/>
        <v>0.46650000000000003</v>
      </c>
      <c r="BV898" s="59">
        <v>3.6900000000000002E-2</v>
      </c>
      <c r="BW898" s="59">
        <v>0</v>
      </c>
      <c r="BX898" s="59">
        <v>3.8899999999999997E-2</v>
      </c>
      <c r="BY898" s="59">
        <v>0</v>
      </c>
      <c r="BZ898" s="59">
        <v>0</v>
      </c>
      <c r="CA898" s="49">
        <v>24.6</v>
      </c>
      <c r="CB898" s="59">
        <f t="shared" si="65"/>
        <v>7.5800000000000006E-2</v>
      </c>
      <c r="CC898" s="59">
        <v>0.4556</v>
      </c>
      <c r="CD898" s="59">
        <v>0.42759999999999998</v>
      </c>
      <c r="CE898" s="59">
        <v>0.1168</v>
      </c>
      <c r="CF898" s="59">
        <v>0</v>
      </c>
      <c r="CG898" s="59">
        <v>0</v>
      </c>
      <c r="CH898" s="49">
        <v>15.4</v>
      </c>
      <c r="CI898" s="26" t="s">
        <v>391</v>
      </c>
      <c r="CJ898" s="18" t="s">
        <v>489</v>
      </c>
      <c r="CK898" s="20"/>
    </row>
    <row r="899" spans="1:89" x14ac:dyDescent="0.25">
      <c r="A899" s="18" t="s">
        <v>489</v>
      </c>
      <c r="B899" s="19" t="s">
        <v>388</v>
      </c>
      <c r="C899" s="26" t="s">
        <v>392</v>
      </c>
      <c r="D899" s="6">
        <v>0</v>
      </c>
      <c r="E899" s="6">
        <v>0</v>
      </c>
      <c r="F899" s="6">
        <v>0</v>
      </c>
      <c r="G899" s="163">
        <v>0</v>
      </c>
      <c r="H899" s="163">
        <v>0</v>
      </c>
      <c r="I899" s="162" t="s">
        <v>83</v>
      </c>
      <c r="J899" s="163">
        <v>0</v>
      </c>
      <c r="K899" s="163">
        <v>0</v>
      </c>
      <c r="L899" s="163">
        <v>0</v>
      </c>
      <c r="M899" s="163">
        <v>0</v>
      </c>
      <c r="N899" s="115">
        <v>0</v>
      </c>
      <c r="O899" s="115">
        <v>0</v>
      </c>
      <c r="P899" s="115">
        <v>0</v>
      </c>
      <c r="Q899" s="115">
        <v>0</v>
      </c>
      <c r="R899" s="116" t="s">
        <v>83</v>
      </c>
      <c r="S899" s="115">
        <v>0</v>
      </c>
      <c r="T899" s="115">
        <v>0</v>
      </c>
      <c r="U899" s="115">
        <v>0</v>
      </c>
      <c r="V899" s="115">
        <v>0</v>
      </c>
      <c r="W899" s="6">
        <v>391</v>
      </c>
      <c r="X899" s="40">
        <f t="shared" ref="X899:X959" si="66">SUM(AN899:AR899)</f>
        <v>106</v>
      </c>
      <c r="Y899" s="40">
        <f t="shared" ref="Y899:Y959" si="67">SUM(AL899:AR899)</f>
        <v>161</v>
      </c>
      <c r="Z899" s="59">
        <v>0.46039999999999998</v>
      </c>
      <c r="AA899" s="59">
        <v>0.53959999999999997</v>
      </c>
      <c r="AB899" s="61">
        <v>2.3017902813299233E-2</v>
      </c>
      <c r="AC899" s="61">
        <v>0</v>
      </c>
      <c r="AD899" s="61">
        <v>0</v>
      </c>
      <c r="AE899" s="61">
        <v>2.3017902813299233E-2</v>
      </c>
      <c r="AF899" s="61">
        <v>2.5575447570332483E-3</v>
      </c>
      <c r="AG899" s="61">
        <v>0.94884910485933505</v>
      </c>
      <c r="AH899" s="61">
        <v>2.5575447570332483E-3</v>
      </c>
      <c r="AI899" s="61">
        <v>5.1150895140664961E-2</v>
      </c>
      <c r="AJ899" s="59">
        <v>0.53200000000000003</v>
      </c>
      <c r="AK899" s="59">
        <v>0</v>
      </c>
      <c r="AL899" s="3">
        <v>23</v>
      </c>
      <c r="AM899" s="3">
        <v>32</v>
      </c>
      <c r="AN899" s="3">
        <v>0</v>
      </c>
      <c r="AO899" s="3">
        <v>26</v>
      </c>
      <c r="AP899" s="3">
        <v>19</v>
      </c>
      <c r="AQ899" s="3">
        <v>34</v>
      </c>
      <c r="AR899" s="3">
        <v>27</v>
      </c>
      <c r="AS899" s="59">
        <v>0</v>
      </c>
      <c r="AT899" s="3">
        <v>1</v>
      </c>
      <c r="AU899" s="3">
        <v>6</v>
      </c>
      <c r="AV899" s="49">
        <v>94.520547945205507</v>
      </c>
      <c r="AW899" s="49">
        <v>3.6529680365296802</v>
      </c>
      <c r="AX899" s="49">
        <v>1.8264840182648401</v>
      </c>
      <c r="AY899" s="67">
        <v>0</v>
      </c>
      <c r="AZ899" s="62">
        <v>0.11566265060240964</v>
      </c>
      <c r="BA899" s="62">
        <v>0.14216867469879518</v>
      </c>
      <c r="BB899" s="78">
        <v>92.487205889133094</v>
      </c>
      <c r="BC899" s="49">
        <v>58.269720101781203</v>
      </c>
      <c r="BD899" s="87">
        <v>4.8</v>
      </c>
      <c r="BE899" s="87">
        <v>3.4</v>
      </c>
      <c r="BF899" s="87">
        <v>0</v>
      </c>
      <c r="BG899" s="87">
        <v>0</v>
      </c>
      <c r="BH899" s="87">
        <v>0</v>
      </c>
      <c r="BI899" s="87">
        <v>0</v>
      </c>
      <c r="BJ899" s="49">
        <v>19.5</v>
      </c>
      <c r="BK899" s="126">
        <v>12555</v>
      </c>
      <c r="BL899" s="126">
        <v>50110</v>
      </c>
      <c r="BM899" s="126">
        <v>50799</v>
      </c>
      <c r="BN899" s="126">
        <v>40949</v>
      </c>
      <c r="BO899" s="59">
        <v>0</v>
      </c>
      <c r="BP899" s="59">
        <v>0.38030000000000003</v>
      </c>
      <c r="BQ899" s="59">
        <v>0.1507</v>
      </c>
      <c r="BR899" s="59">
        <v>0</v>
      </c>
      <c r="BS899" s="59">
        <v>0</v>
      </c>
      <c r="BT899" s="49">
        <v>13.7</v>
      </c>
      <c r="BU899" s="59">
        <f t="shared" ref="BU899:BU962" si="68">SUM(BO899:BS899)</f>
        <v>0.53100000000000003</v>
      </c>
      <c r="BV899" s="59">
        <v>3.3500000000000002E-2</v>
      </c>
      <c r="BW899" s="59">
        <v>0</v>
      </c>
      <c r="BX899" s="59">
        <v>5.0200000000000002E-2</v>
      </c>
      <c r="BY899" s="59">
        <v>0</v>
      </c>
      <c r="BZ899" s="59">
        <v>0</v>
      </c>
      <c r="CA899" s="49">
        <v>23.6</v>
      </c>
      <c r="CB899" s="59">
        <f t="shared" ref="CB899:CB962" si="69">SUM(BV899:BZ899)</f>
        <v>8.3699999999999997E-2</v>
      </c>
      <c r="CC899" s="59">
        <v>0.38519999999999999</v>
      </c>
      <c r="CD899" s="59">
        <v>0.3972</v>
      </c>
      <c r="CE899" s="59">
        <v>0.2177</v>
      </c>
      <c r="CF899" s="59">
        <v>0</v>
      </c>
      <c r="CG899" s="59">
        <v>0</v>
      </c>
      <c r="CH899" s="49">
        <v>15.4</v>
      </c>
      <c r="CI899" s="26" t="s">
        <v>392</v>
      </c>
      <c r="CJ899" s="18" t="s">
        <v>489</v>
      </c>
      <c r="CK899" s="20"/>
    </row>
    <row r="900" spans="1:89" x14ac:dyDescent="0.25">
      <c r="A900" s="18" t="s">
        <v>489</v>
      </c>
      <c r="B900" s="19" t="s">
        <v>388</v>
      </c>
      <c r="C900" s="26" t="s">
        <v>393</v>
      </c>
      <c r="D900" s="6">
        <v>11</v>
      </c>
      <c r="E900" s="40" t="s">
        <v>83</v>
      </c>
      <c r="F900" s="6">
        <v>11</v>
      </c>
      <c r="G900" s="162" t="s">
        <v>83</v>
      </c>
      <c r="H900" s="162" t="s">
        <v>83</v>
      </c>
      <c r="I900" s="162" t="s">
        <v>83</v>
      </c>
      <c r="J900" s="163">
        <v>2</v>
      </c>
      <c r="K900" s="163">
        <v>4</v>
      </c>
      <c r="L900" s="163">
        <v>2</v>
      </c>
      <c r="M900" s="163">
        <v>3</v>
      </c>
      <c r="N900" s="115">
        <v>1.2910798122065701E-2</v>
      </c>
      <c r="O900" s="115">
        <v>1.2910798122065701E-2</v>
      </c>
      <c r="P900" s="116" t="s">
        <v>83</v>
      </c>
      <c r="Q900" s="116" t="s">
        <v>83</v>
      </c>
      <c r="R900" s="116" t="s">
        <v>83</v>
      </c>
      <c r="S900" s="115">
        <v>8.6956521739130401E-3</v>
      </c>
      <c r="T900" s="115">
        <v>1.7167381974248899E-2</v>
      </c>
      <c r="U900" s="115">
        <v>1.0638297872340399E-2</v>
      </c>
      <c r="V900" s="115">
        <v>1.4999999999999999E-2</v>
      </c>
      <c r="W900" s="6">
        <v>747</v>
      </c>
      <c r="X900" s="40">
        <f t="shared" si="66"/>
        <v>747</v>
      </c>
      <c r="Y900" s="40">
        <f t="shared" si="67"/>
        <v>747</v>
      </c>
      <c r="Z900" s="59">
        <v>0.4793</v>
      </c>
      <c r="AA900" s="59">
        <v>0.52070000000000005</v>
      </c>
      <c r="AB900" s="61">
        <v>6.6934404283801874E-3</v>
      </c>
      <c r="AC900" s="61">
        <v>1.6064257028112448E-2</v>
      </c>
      <c r="AD900" s="61">
        <v>0.38152610441767071</v>
      </c>
      <c r="AE900" s="61">
        <v>8.9692101740294516E-2</v>
      </c>
      <c r="AF900" s="61">
        <v>9.3708165997322627E-3</v>
      </c>
      <c r="AG900" s="61">
        <v>0.45247657295850069</v>
      </c>
      <c r="AH900" s="61">
        <v>4.4176706827309238E-2</v>
      </c>
      <c r="AI900" s="61">
        <v>0.54752342704149937</v>
      </c>
      <c r="AJ900" s="59">
        <v>0.41199999999999998</v>
      </c>
      <c r="AK900" s="59">
        <v>1.34E-2</v>
      </c>
      <c r="AL900" s="3">
        <v>0</v>
      </c>
      <c r="AM900" s="3">
        <v>0</v>
      </c>
      <c r="AN900" s="3">
        <v>0</v>
      </c>
      <c r="AO900" s="3">
        <v>200</v>
      </c>
      <c r="AP900" s="3">
        <v>201</v>
      </c>
      <c r="AQ900" s="3">
        <v>158</v>
      </c>
      <c r="AR900" s="3">
        <v>188</v>
      </c>
      <c r="AS900" s="59">
        <v>0</v>
      </c>
      <c r="AT900" s="3">
        <v>9</v>
      </c>
      <c r="AU900" s="3">
        <v>6</v>
      </c>
      <c r="AV900" s="49">
        <v>62.926829268292707</v>
      </c>
      <c r="AW900" s="49">
        <v>22.195121951219502</v>
      </c>
      <c r="AX900" s="49">
        <v>14.146341463414599</v>
      </c>
      <c r="AY900" s="67">
        <v>0.73170731707317105</v>
      </c>
      <c r="AZ900" s="62">
        <v>0.19691577698695137</v>
      </c>
      <c r="BA900" s="62">
        <v>0.17912218268090155</v>
      </c>
      <c r="BB900" s="77">
        <v>92.196072826596193</v>
      </c>
      <c r="BC900" s="49">
        <v>25.917159763313599</v>
      </c>
      <c r="BD900" s="90" t="s">
        <v>83</v>
      </c>
      <c r="BE900" s="90" t="s">
        <v>83</v>
      </c>
      <c r="BF900" s="87">
        <v>0.6</v>
      </c>
      <c r="BG900" s="87">
        <v>0</v>
      </c>
      <c r="BH900" s="87">
        <v>0</v>
      </c>
      <c r="BI900" s="87">
        <v>2.2999999999999998</v>
      </c>
      <c r="BJ900" s="49">
        <v>19.7</v>
      </c>
      <c r="BK900" s="126">
        <v>10093</v>
      </c>
      <c r="BL900" s="126">
        <v>49241</v>
      </c>
      <c r="BM900" s="126">
        <v>44535</v>
      </c>
      <c r="BN900" s="126">
        <v>41460</v>
      </c>
      <c r="BO900" s="59">
        <v>1.1900000000000001E-2</v>
      </c>
      <c r="BP900" s="59">
        <v>0.36230000000000001</v>
      </c>
      <c r="BQ900" s="59">
        <v>0.2263</v>
      </c>
      <c r="BR900" s="59">
        <v>1.1900000000000001E-2</v>
      </c>
      <c r="BS900" s="59">
        <v>9.4999999999999998E-3</v>
      </c>
      <c r="BT900" s="49">
        <v>12.7</v>
      </c>
      <c r="BU900" s="59">
        <f t="shared" si="68"/>
        <v>0.62190000000000001</v>
      </c>
      <c r="BV900" s="59">
        <v>3.5700000000000003E-2</v>
      </c>
      <c r="BW900" s="59">
        <v>2.3599999999999999E-2</v>
      </c>
      <c r="BX900" s="59">
        <v>2.3800000000000002E-2</v>
      </c>
      <c r="BY900" s="59">
        <v>0</v>
      </c>
      <c r="BZ900" s="59">
        <v>0</v>
      </c>
      <c r="CA900" s="49">
        <v>16</v>
      </c>
      <c r="CB900" s="59">
        <f t="shared" si="69"/>
        <v>8.3100000000000007E-2</v>
      </c>
      <c r="CC900" s="59">
        <v>0.2707</v>
      </c>
      <c r="CD900" s="59">
        <v>0.43390000000000001</v>
      </c>
      <c r="CE900" s="59">
        <v>0.27389999999999998</v>
      </c>
      <c r="CF900" s="59">
        <v>1.1900000000000001E-2</v>
      </c>
      <c r="CG900" s="59">
        <v>9.4999999999999998E-3</v>
      </c>
      <c r="CH900" s="49">
        <v>13.4</v>
      </c>
      <c r="CI900" s="26" t="s">
        <v>393</v>
      </c>
      <c r="CJ900" s="18" t="s">
        <v>489</v>
      </c>
      <c r="CK900" s="20"/>
    </row>
    <row r="901" spans="1:89" x14ac:dyDescent="0.25">
      <c r="A901" s="18" t="s">
        <v>489</v>
      </c>
      <c r="B901" s="19" t="s">
        <v>388</v>
      </c>
      <c r="C901" s="26" t="s">
        <v>394</v>
      </c>
      <c r="D901" s="6">
        <v>8</v>
      </c>
      <c r="E901" s="6">
        <v>2</v>
      </c>
      <c r="F901" s="6">
        <v>6</v>
      </c>
      <c r="G901" s="163">
        <v>0</v>
      </c>
      <c r="H901" s="163">
        <v>2</v>
      </c>
      <c r="I901" s="162" t="s">
        <v>83</v>
      </c>
      <c r="J901" s="163">
        <v>3</v>
      </c>
      <c r="K901" s="163">
        <v>1</v>
      </c>
      <c r="L901" s="163">
        <v>1</v>
      </c>
      <c r="M901" s="163">
        <v>1</v>
      </c>
      <c r="N901" s="115">
        <v>1.2345679012345699E-2</v>
      </c>
      <c r="O901" s="115">
        <v>1.4888337468982601E-2</v>
      </c>
      <c r="P901" s="115">
        <v>0</v>
      </c>
      <c r="Q901" s="115">
        <v>1.58730158730159E-2</v>
      </c>
      <c r="R901" s="116" t="s">
        <v>83</v>
      </c>
      <c r="S901" s="115">
        <v>2.5862068965517199E-2</v>
      </c>
      <c r="T901" s="115">
        <v>8.7719298245613996E-3</v>
      </c>
      <c r="U901" s="115">
        <v>1.1764705882352899E-2</v>
      </c>
      <c r="V901" s="115">
        <v>1.1494252873563199E-2</v>
      </c>
      <c r="W901" s="6">
        <v>542</v>
      </c>
      <c r="X901" s="40">
        <f t="shared" si="66"/>
        <v>335</v>
      </c>
      <c r="Y901" s="40">
        <f t="shared" si="67"/>
        <v>542</v>
      </c>
      <c r="Z901" s="59">
        <v>0.47049999999999997</v>
      </c>
      <c r="AA901" s="59">
        <v>0.52949999999999997</v>
      </c>
      <c r="AB901" s="61">
        <v>5.5350553505535052E-3</v>
      </c>
      <c r="AC901" s="61">
        <v>2.0295202952029519E-2</v>
      </c>
      <c r="AD901" s="61">
        <v>0.20664206642066421</v>
      </c>
      <c r="AE901" s="61">
        <v>0.1014760147601476</v>
      </c>
      <c r="AF901" s="61">
        <v>1.2915129151291513E-2</v>
      </c>
      <c r="AG901" s="61">
        <v>0.56642066420664205</v>
      </c>
      <c r="AH901" s="61">
        <v>8.6715867158671592E-2</v>
      </c>
      <c r="AI901" s="61">
        <v>0.43357933579335795</v>
      </c>
      <c r="AJ901" s="59">
        <v>0.45600000000000002</v>
      </c>
      <c r="AK901" s="59">
        <v>1.8E-3</v>
      </c>
      <c r="AL901" s="3">
        <v>97</v>
      </c>
      <c r="AM901" s="3">
        <v>110</v>
      </c>
      <c r="AN901" s="3">
        <v>0</v>
      </c>
      <c r="AO901" s="3">
        <v>95</v>
      </c>
      <c r="AP901" s="3">
        <v>99</v>
      </c>
      <c r="AQ901" s="3">
        <v>69</v>
      </c>
      <c r="AR901" s="3">
        <v>72</v>
      </c>
      <c r="AS901" s="59">
        <v>0</v>
      </c>
      <c r="AT901" s="3">
        <v>7</v>
      </c>
      <c r="AU901" s="3">
        <v>6</v>
      </c>
      <c r="AV901" s="49">
        <v>69.230769230769198</v>
      </c>
      <c r="AW901" s="49">
        <v>15.050167224080299</v>
      </c>
      <c r="AX901" s="49">
        <v>15.384615384615399</v>
      </c>
      <c r="AY901" s="67">
        <v>0.334448160535117</v>
      </c>
      <c r="AZ901" s="62">
        <v>0.19534883720930232</v>
      </c>
      <c r="BA901" s="62">
        <v>0.15503875968992248</v>
      </c>
      <c r="BB901" s="78">
        <v>93.075201878662298</v>
      </c>
      <c r="BC901" s="49">
        <v>33.178294573643399</v>
      </c>
      <c r="BD901" s="87">
        <v>22.2</v>
      </c>
      <c r="BE901" s="87">
        <v>1.2</v>
      </c>
      <c r="BF901" s="87">
        <v>6.3</v>
      </c>
      <c r="BG901" s="87">
        <v>2.4</v>
      </c>
      <c r="BH901" s="87">
        <v>2.9</v>
      </c>
      <c r="BI901" s="87">
        <v>2.9</v>
      </c>
      <c r="BJ901" s="49">
        <v>18.5</v>
      </c>
      <c r="BK901" s="126">
        <v>9405</v>
      </c>
      <c r="BL901" s="126">
        <v>49951</v>
      </c>
      <c r="BM901" s="126">
        <v>50576</v>
      </c>
      <c r="BN901" s="126">
        <v>38987</v>
      </c>
      <c r="BO901" s="59">
        <v>0</v>
      </c>
      <c r="BP901" s="59">
        <v>0.40870000000000001</v>
      </c>
      <c r="BQ901" s="59">
        <v>0.1512</v>
      </c>
      <c r="BR901" s="59">
        <v>0</v>
      </c>
      <c r="BS901" s="59">
        <v>0</v>
      </c>
      <c r="BT901" s="49">
        <v>13.1</v>
      </c>
      <c r="BU901" s="59">
        <f t="shared" si="68"/>
        <v>0.55990000000000006</v>
      </c>
      <c r="BV901" s="59">
        <v>3.3399999999999999E-2</v>
      </c>
      <c r="BW901" s="59">
        <v>0</v>
      </c>
      <c r="BX901" s="59">
        <v>1.67E-2</v>
      </c>
      <c r="BY901" s="59">
        <v>0</v>
      </c>
      <c r="BZ901" s="59">
        <v>0</v>
      </c>
      <c r="CA901" s="49">
        <v>27</v>
      </c>
      <c r="CB901" s="59">
        <f t="shared" si="69"/>
        <v>5.0099999999999999E-2</v>
      </c>
      <c r="CC901" s="59">
        <v>0.38900000000000001</v>
      </c>
      <c r="CD901" s="59">
        <v>0.42549999999999999</v>
      </c>
      <c r="CE901" s="59">
        <v>0.1855</v>
      </c>
      <c r="CF901" s="59">
        <v>0</v>
      </c>
      <c r="CG901" s="59">
        <v>0</v>
      </c>
      <c r="CH901" s="49">
        <v>11.9</v>
      </c>
      <c r="CI901" s="26" t="s">
        <v>394</v>
      </c>
      <c r="CJ901" s="18" t="s">
        <v>489</v>
      </c>
      <c r="CK901" s="20"/>
    </row>
    <row r="902" spans="1:89" x14ac:dyDescent="0.25">
      <c r="A902" s="18" t="s">
        <v>489</v>
      </c>
      <c r="B902" s="19" t="s">
        <v>388</v>
      </c>
      <c r="C902" s="26" t="s">
        <v>395</v>
      </c>
      <c r="D902" s="6">
        <v>0</v>
      </c>
      <c r="E902" s="6">
        <v>0</v>
      </c>
      <c r="F902" s="6">
        <v>0</v>
      </c>
      <c r="G902" s="163">
        <v>0</v>
      </c>
      <c r="H902" s="163">
        <v>0</v>
      </c>
      <c r="I902" s="162" t="s">
        <v>83</v>
      </c>
      <c r="J902" s="163">
        <v>0</v>
      </c>
      <c r="K902" s="163">
        <v>0</v>
      </c>
      <c r="L902" s="163">
        <v>0</v>
      </c>
      <c r="M902" s="163">
        <v>0</v>
      </c>
      <c r="N902" s="115">
        <v>0</v>
      </c>
      <c r="O902" s="115">
        <v>0</v>
      </c>
      <c r="P902" s="115">
        <v>0</v>
      </c>
      <c r="Q902" s="115">
        <v>0</v>
      </c>
      <c r="R902" s="116" t="s">
        <v>83</v>
      </c>
      <c r="S902" s="115">
        <v>0</v>
      </c>
      <c r="T902" s="115">
        <v>0</v>
      </c>
      <c r="U902" s="115">
        <v>0</v>
      </c>
      <c r="V902" s="115">
        <v>0</v>
      </c>
      <c r="W902" s="6">
        <v>496</v>
      </c>
      <c r="X902" s="40">
        <f t="shared" si="66"/>
        <v>146</v>
      </c>
      <c r="Y902" s="40">
        <f t="shared" si="67"/>
        <v>208</v>
      </c>
      <c r="Z902" s="59">
        <v>0.4496</v>
      </c>
      <c r="AA902" s="59">
        <v>0.5504</v>
      </c>
      <c r="AB902" s="61">
        <v>2.0161290322580645E-2</v>
      </c>
      <c r="AC902" s="61">
        <v>0</v>
      </c>
      <c r="AD902" s="61">
        <v>2.0161290322580645E-3</v>
      </c>
      <c r="AE902" s="61">
        <v>1.6129032258064516E-2</v>
      </c>
      <c r="AF902" s="61">
        <v>0</v>
      </c>
      <c r="AG902" s="61">
        <v>0.94153225806451613</v>
      </c>
      <c r="AH902" s="61">
        <v>2.0161290322580645E-2</v>
      </c>
      <c r="AI902" s="61">
        <v>5.8467741935483868E-2</v>
      </c>
      <c r="AJ902" s="59">
        <v>0.66700000000000004</v>
      </c>
      <c r="AK902" s="59">
        <v>2E-3</v>
      </c>
      <c r="AL902" s="3">
        <v>32</v>
      </c>
      <c r="AM902" s="3">
        <v>30</v>
      </c>
      <c r="AN902" s="3">
        <v>0</v>
      </c>
      <c r="AO902" s="3">
        <v>41</v>
      </c>
      <c r="AP902" s="3">
        <v>44</v>
      </c>
      <c r="AQ902" s="3">
        <v>29</v>
      </c>
      <c r="AR902" s="3">
        <v>32</v>
      </c>
      <c r="AS902" s="59">
        <v>0</v>
      </c>
      <c r="AT902" s="3">
        <v>1</v>
      </c>
      <c r="AU902" s="3">
        <v>6</v>
      </c>
      <c r="AV902" s="49">
        <v>86.397058823529406</v>
      </c>
      <c r="AW902" s="49">
        <v>10.294117647058799</v>
      </c>
      <c r="AX902" s="49">
        <v>2.5735294117647101</v>
      </c>
      <c r="AY902" s="67">
        <v>0.73529411764705899</v>
      </c>
      <c r="AZ902" s="62">
        <v>0.12939001848428835</v>
      </c>
      <c r="BA902" s="62">
        <v>3.6968576709796676E-2</v>
      </c>
      <c r="BB902" s="77">
        <v>92.263578647477104</v>
      </c>
      <c r="BC902" s="49">
        <v>46.3937621832359</v>
      </c>
      <c r="BD902" s="87">
        <v>4</v>
      </c>
      <c r="BE902" s="87">
        <v>3.2</v>
      </c>
      <c r="BF902" s="87">
        <v>0</v>
      </c>
      <c r="BG902" s="87">
        <v>0</v>
      </c>
      <c r="BH902" s="87">
        <v>0</v>
      </c>
      <c r="BI902" s="87">
        <v>0</v>
      </c>
      <c r="BJ902" s="49">
        <v>21.5</v>
      </c>
      <c r="BK902" s="126">
        <v>11430</v>
      </c>
      <c r="BL902" s="126">
        <v>49165</v>
      </c>
      <c r="BM902" s="126">
        <v>44228</v>
      </c>
      <c r="BN902" s="126">
        <v>37906</v>
      </c>
      <c r="BO902" s="59">
        <v>0</v>
      </c>
      <c r="BP902" s="59">
        <v>0.35880000000000001</v>
      </c>
      <c r="BQ902" s="59">
        <v>0.1391</v>
      </c>
      <c r="BR902" s="59">
        <v>0</v>
      </c>
      <c r="BS902" s="59">
        <v>0</v>
      </c>
      <c r="BT902" s="49">
        <v>15.5</v>
      </c>
      <c r="BU902" s="59">
        <f t="shared" si="68"/>
        <v>0.49790000000000001</v>
      </c>
      <c r="BV902" s="59">
        <v>4.1700000000000001E-2</v>
      </c>
      <c r="BW902" s="59">
        <v>0</v>
      </c>
      <c r="BX902" s="59">
        <v>2.7799999999999998E-2</v>
      </c>
      <c r="BY902" s="59">
        <v>0</v>
      </c>
      <c r="BZ902" s="59">
        <v>0</v>
      </c>
      <c r="CA902" s="49">
        <v>22</v>
      </c>
      <c r="CB902" s="59">
        <f t="shared" si="69"/>
        <v>6.9500000000000006E-2</v>
      </c>
      <c r="CC902" s="59">
        <v>0.4017</v>
      </c>
      <c r="CD902" s="59">
        <v>0.41739999999999999</v>
      </c>
      <c r="CE902" s="59">
        <v>0.18079999999999999</v>
      </c>
      <c r="CF902" s="59">
        <v>0</v>
      </c>
      <c r="CG902" s="59">
        <v>0</v>
      </c>
      <c r="CH902" s="49">
        <v>15.8</v>
      </c>
      <c r="CI902" s="26" t="s">
        <v>395</v>
      </c>
      <c r="CJ902" s="18" t="s">
        <v>489</v>
      </c>
      <c r="CK902" s="20"/>
    </row>
    <row r="903" spans="1:89" x14ac:dyDescent="0.25">
      <c r="A903" s="18" t="s">
        <v>489</v>
      </c>
      <c r="B903" s="19" t="s">
        <v>388</v>
      </c>
      <c r="C903" s="26" t="s">
        <v>396</v>
      </c>
      <c r="D903" s="6">
        <v>0</v>
      </c>
      <c r="E903" s="6">
        <v>0</v>
      </c>
      <c r="F903" s="6">
        <v>0</v>
      </c>
      <c r="G903" s="163">
        <v>0</v>
      </c>
      <c r="H903" s="163">
        <v>0</v>
      </c>
      <c r="I903" s="163">
        <v>0</v>
      </c>
      <c r="J903" s="163">
        <v>0</v>
      </c>
      <c r="K903" s="163">
        <v>0</v>
      </c>
      <c r="L903" s="163">
        <v>0</v>
      </c>
      <c r="M903" s="163">
        <v>0</v>
      </c>
      <c r="N903" s="115">
        <v>0</v>
      </c>
      <c r="O903" s="115">
        <v>0</v>
      </c>
      <c r="P903" s="115">
        <v>0</v>
      </c>
      <c r="Q903" s="115">
        <v>0</v>
      </c>
      <c r="R903" s="115">
        <v>0</v>
      </c>
      <c r="S903" s="115">
        <v>0</v>
      </c>
      <c r="T903" s="115">
        <v>0</v>
      </c>
      <c r="U903" s="115">
        <v>0</v>
      </c>
      <c r="V903" s="115">
        <v>0</v>
      </c>
      <c r="W903" s="6">
        <v>531</v>
      </c>
      <c r="X903" s="40">
        <f t="shared" si="66"/>
        <v>325</v>
      </c>
      <c r="Y903" s="40">
        <f t="shared" si="67"/>
        <v>531</v>
      </c>
      <c r="Z903" s="59">
        <v>0.4652</v>
      </c>
      <c r="AA903" s="59">
        <v>0.53480000000000005</v>
      </c>
      <c r="AB903" s="61">
        <v>9.4161958568738224E-3</v>
      </c>
      <c r="AC903" s="61">
        <v>7.5329566854990581E-3</v>
      </c>
      <c r="AD903" s="61">
        <v>3.954802259887006E-2</v>
      </c>
      <c r="AE903" s="61">
        <v>5.0847457627118647E-2</v>
      </c>
      <c r="AF903" s="61">
        <v>0</v>
      </c>
      <c r="AG903" s="61">
        <v>0.86629001883239176</v>
      </c>
      <c r="AH903" s="61">
        <v>2.6365348399246705E-2</v>
      </c>
      <c r="AI903" s="61">
        <v>0.13370998116760829</v>
      </c>
      <c r="AJ903" s="59">
        <v>0.439</v>
      </c>
      <c r="AK903" s="59">
        <v>5.5999999999999999E-3</v>
      </c>
      <c r="AL903" s="3">
        <v>105</v>
      </c>
      <c r="AM903" s="3">
        <v>101</v>
      </c>
      <c r="AN903" s="3">
        <v>9</v>
      </c>
      <c r="AO903" s="3">
        <v>82</v>
      </c>
      <c r="AP903" s="3">
        <v>77</v>
      </c>
      <c r="AQ903" s="3">
        <v>80</v>
      </c>
      <c r="AR903" s="3">
        <v>77</v>
      </c>
      <c r="AS903" s="59">
        <v>9.8901098901098897E-2</v>
      </c>
      <c r="AT903" s="3">
        <v>7</v>
      </c>
      <c r="AU903" s="3">
        <v>6</v>
      </c>
      <c r="AV903" s="49">
        <v>76.176470588235304</v>
      </c>
      <c r="AW903" s="49">
        <v>15.294117647058799</v>
      </c>
      <c r="AX903" s="49">
        <v>7.9411764705882311</v>
      </c>
      <c r="AY903" s="67">
        <v>0.58823529411764697</v>
      </c>
      <c r="AZ903" s="62">
        <v>0</v>
      </c>
      <c r="BA903" s="62">
        <v>0.16901408450704225</v>
      </c>
      <c r="BB903" s="78">
        <v>94.153034182777802</v>
      </c>
      <c r="BC903" s="49">
        <v>19.614711033275</v>
      </c>
      <c r="BD903" s="87">
        <v>4.0999999999999996</v>
      </c>
      <c r="BE903" s="87">
        <v>1.2</v>
      </c>
      <c r="BF903" s="87">
        <v>0</v>
      </c>
      <c r="BG903" s="87">
        <v>0</v>
      </c>
      <c r="BH903" s="87">
        <v>0</v>
      </c>
      <c r="BI903" s="87">
        <v>0</v>
      </c>
      <c r="BJ903" s="49">
        <v>21.1</v>
      </c>
      <c r="BK903" s="126">
        <v>9739</v>
      </c>
      <c r="BL903" s="126">
        <v>51337</v>
      </c>
      <c r="BM903" s="126">
        <v>40453</v>
      </c>
      <c r="BN903" s="126">
        <v>37161</v>
      </c>
      <c r="BO903" s="59">
        <v>0</v>
      </c>
      <c r="BP903" s="59">
        <v>0.32250000000000001</v>
      </c>
      <c r="BQ903" s="59">
        <v>0.14949999999999999</v>
      </c>
      <c r="BR903" s="59">
        <v>0</v>
      </c>
      <c r="BS903" s="59">
        <v>0</v>
      </c>
      <c r="BT903" s="49">
        <v>15.3</v>
      </c>
      <c r="BU903" s="59">
        <f t="shared" si="68"/>
        <v>0.47199999999999998</v>
      </c>
      <c r="BV903" s="59">
        <v>4.7300000000000002E-2</v>
      </c>
      <c r="BW903" s="59">
        <v>0</v>
      </c>
      <c r="BX903" s="59">
        <v>3.1199999999999999E-2</v>
      </c>
      <c r="BY903" s="59">
        <v>0</v>
      </c>
      <c r="BZ903" s="59">
        <v>0</v>
      </c>
      <c r="CA903" s="49">
        <v>18.3</v>
      </c>
      <c r="CB903" s="59">
        <f t="shared" si="69"/>
        <v>7.85E-2</v>
      </c>
      <c r="CC903" s="59">
        <v>0.43319999999999997</v>
      </c>
      <c r="CD903" s="59">
        <v>0.3543</v>
      </c>
      <c r="CE903" s="59">
        <v>0.21249999999999999</v>
      </c>
      <c r="CF903" s="59">
        <v>0</v>
      </c>
      <c r="CG903" s="59">
        <v>0</v>
      </c>
      <c r="CH903" s="49">
        <v>13.6</v>
      </c>
      <c r="CI903" s="26" t="s">
        <v>396</v>
      </c>
      <c r="CJ903" s="18" t="s">
        <v>489</v>
      </c>
      <c r="CK903" s="20"/>
    </row>
    <row r="904" spans="1:89" x14ac:dyDescent="0.25">
      <c r="A904" s="18" t="s">
        <v>489</v>
      </c>
      <c r="B904" s="19" t="s">
        <v>388</v>
      </c>
      <c r="C904" s="26" t="s">
        <v>397</v>
      </c>
      <c r="D904" s="6">
        <v>0</v>
      </c>
      <c r="E904" s="6">
        <v>0</v>
      </c>
      <c r="F904" s="6">
        <v>0</v>
      </c>
      <c r="G904" s="163">
        <v>0</v>
      </c>
      <c r="H904" s="163">
        <v>0</v>
      </c>
      <c r="I904" s="162" t="s">
        <v>83</v>
      </c>
      <c r="J904" s="163">
        <v>0</v>
      </c>
      <c r="K904" s="163">
        <v>0</v>
      </c>
      <c r="L904" s="163">
        <v>0</v>
      </c>
      <c r="M904" s="163">
        <v>0</v>
      </c>
      <c r="N904" s="115">
        <v>0</v>
      </c>
      <c r="O904" s="115">
        <v>0</v>
      </c>
      <c r="P904" s="115">
        <v>0</v>
      </c>
      <c r="Q904" s="115">
        <v>0</v>
      </c>
      <c r="R904" s="116" t="s">
        <v>83</v>
      </c>
      <c r="S904" s="115">
        <v>0</v>
      </c>
      <c r="T904" s="115">
        <v>0</v>
      </c>
      <c r="U904" s="115">
        <v>0</v>
      </c>
      <c r="V904" s="115">
        <v>0</v>
      </c>
      <c r="W904" s="6">
        <v>260</v>
      </c>
      <c r="X904" s="40">
        <f t="shared" si="66"/>
        <v>75</v>
      </c>
      <c r="Y904" s="40">
        <f t="shared" si="67"/>
        <v>127</v>
      </c>
      <c r="Z904" s="59">
        <v>0.42309999999999998</v>
      </c>
      <c r="AA904" s="59">
        <v>0.57689999999999997</v>
      </c>
      <c r="AB904" s="61">
        <v>0</v>
      </c>
      <c r="AC904" s="61">
        <v>0</v>
      </c>
      <c r="AD904" s="61">
        <v>0</v>
      </c>
      <c r="AE904" s="61">
        <v>2.3076923076923078E-2</v>
      </c>
      <c r="AF904" s="61">
        <v>0</v>
      </c>
      <c r="AG904" s="61">
        <v>0.97307692307692306</v>
      </c>
      <c r="AH904" s="61">
        <v>3.8461538461538464E-3</v>
      </c>
      <c r="AI904" s="61">
        <v>2.6923076923076925E-2</v>
      </c>
      <c r="AJ904" s="59">
        <v>0.496</v>
      </c>
      <c r="AK904" s="59">
        <v>1.15E-2</v>
      </c>
      <c r="AL904" s="3">
        <v>26</v>
      </c>
      <c r="AM904" s="3">
        <v>26</v>
      </c>
      <c r="AN904" s="3">
        <v>0</v>
      </c>
      <c r="AO904" s="3">
        <v>23</v>
      </c>
      <c r="AP904" s="3">
        <v>18</v>
      </c>
      <c r="AQ904" s="3">
        <v>18</v>
      </c>
      <c r="AR904" s="3">
        <v>16</v>
      </c>
      <c r="AS904" s="59">
        <v>0</v>
      </c>
      <c r="AT904" s="3">
        <v>1</v>
      </c>
      <c r="AU904" s="3">
        <v>6</v>
      </c>
      <c r="AV904" s="49">
        <v>80.405405405405389</v>
      </c>
      <c r="AW904" s="49">
        <v>14.864864864864899</v>
      </c>
      <c r="AX904" s="49">
        <v>4.7297297297297298</v>
      </c>
      <c r="AY904" s="67">
        <v>0</v>
      </c>
      <c r="AZ904" s="62">
        <v>3.4013605442176869E-3</v>
      </c>
      <c r="BA904" s="62">
        <v>7.1428571428571425E-2</v>
      </c>
      <c r="BB904" s="77">
        <v>94.096633430554604</v>
      </c>
      <c r="BC904" s="49">
        <v>24.295774647887299</v>
      </c>
      <c r="BD904" s="87">
        <v>7.7</v>
      </c>
      <c r="BE904" s="87">
        <v>4.2</v>
      </c>
      <c r="BF904" s="87">
        <v>0</v>
      </c>
      <c r="BG904" s="87">
        <v>0</v>
      </c>
      <c r="BH904" s="87">
        <v>0</v>
      </c>
      <c r="BI904" s="87">
        <v>0</v>
      </c>
      <c r="BJ904" s="49">
        <v>20.399999999999999</v>
      </c>
      <c r="BK904" s="126">
        <v>13893</v>
      </c>
      <c r="BL904" s="126">
        <v>50805</v>
      </c>
      <c r="BM904" s="126">
        <v>50556</v>
      </c>
      <c r="BN904" s="126">
        <v>41142</v>
      </c>
      <c r="BO904" s="59">
        <v>0</v>
      </c>
      <c r="BP904" s="59">
        <v>0.40160000000000001</v>
      </c>
      <c r="BQ904" s="59">
        <v>0.1055</v>
      </c>
      <c r="BR904" s="59">
        <v>0</v>
      </c>
      <c r="BS904" s="59">
        <v>0</v>
      </c>
      <c r="BT904" s="49">
        <v>15.4</v>
      </c>
      <c r="BU904" s="59">
        <f t="shared" si="68"/>
        <v>0.5071</v>
      </c>
      <c r="BV904" s="59">
        <v>4.24E-2</v>
      </c>
      <c r="BW904" s="59">
        <v>0</v>
      </c>
      <c r="BX904" s="59">
        <v>4.24E-2</v>
      </c>
      <c r="BY904" s="59">
        <v>0</v>
      </c>
      <c r="BZ904" s="59">
        <v>0</v>
      </c>
      <c r="CA904" s="49">
        <v>24.8</v>
      </c>
      <c r="CB904" s="59">
        <f t="shared" si="69"/>
        <v>8.48E-2</v>
      </c>
      <c r="CC904" s="59">
        <v>0.40820000000000001</v>
      </c>
      <c r="CD904" s="59">
        <v>0.42280000000000001</v>
      </c>
      <c r="CE904" s="59">
        <v>0.1691</v>
      </c>
      <c r="CF904" s="59">
        <v>0</v>
      </c>
      <c r="CG904" s="59">
        <v>0</v>
      </c>
      <c r="CH904" s="49">
        <v>17.100000000000001</v>
      </c>
      <c r="CI904" s="26" t="s">
        <v>397</v>
      </c>
      <c r="CJ904" s="18" t="s">
        <v>489</v>
      </c>
      <c r="CK904" s="20"/>
    </row>
    <row r="905" spans="1:89" x14ac:dyDescent="0.25">
      <c r="A905" s="18" t="s">
        <v>489</v>
      </c>
      <c r="B905" s="19" t="s">
        <v>398</v>
      </c>
      <c r="C905" s="26" t="s">
        <v>399</v>
      </c>
      <c r="D905" s="6">
        <v>32</v>
      </c>
      <c r="E905" s="40" t="s">
        <v>83</v>
      </c>
      <c r="F905" s="6">
        <v>32</v>
      </c>
      <c r="G905" s="162" t="s">
        <v>83</v>
      </c>
      <c r="H905" s="162" t="s">
        <v>83</v>
      </c>
      <c r="I905" s="166">
        <v>2</v>
      </c>
      <c r="J905" s="166">
        <v>8</v>
      </c>
      <c r="K905" s="166">
        <v>11</v>
      </c>
      <c r="L905" s="166">
        <v>6</v>
      </c>
      <c r="M905" s="166">
        <v>5</v>
      </c>
      <c r="N905" s="119">
        <v>3.5714285714285698E-2</v>
      </c>
      <c r="O905" s="119">
        <v>3.5714285714285698E-2</v>
      </c>
      <c r="P905" s="116" t="s">
        <v>83</v>
      </c>
      <c r="Q905" s="116" t="s">
        <v>83</v>
      </c>
      <c r="R905" s="119">
        <v>8.3333333333333301E-2</v>
      </c>
      <c r="S905" s="119">
        <v>3.4632034632034597E-2</v>
      </c>
      <c r="T905" s="119">
        <v>4.6218487394957999E-2</v>
      </c>
      <c r="U905" s="119">
        <v>2.7777777777777801E-2</v>
      </c>
      <c r="V905" s="119">
        <v>2.6737967914438499E-2</v>
      </c>
      <c r="W905" s="6">
        <v>842</v>
      </c>
      <c r="X905" s="40">
        <f t="shared" si="66"/>
        <v>842</v>
      </c>
      <c r="Y905" s="40">
        <f t="shared" si="67"/>
        <v>842</v>
      </c>
      <c r="Z905" s="59">
        <v>0.49409999999999998</v>
      </c>
      <c r="AA905" s="59">
        <v>0.50590000000000002</v>
      </c>
      <c r="AB905" s="61">
        <v>1.1876484560570072E-3</v>
      </c>
      <c r="AC905" s="61">
        <v>5.9382422802850355E-3</v>
      </c>
      <c r="AD905" s="61">
        <v>0.29334916864608074</v>
      </c>
      <c r="AE905" s="61">
        <v>2.8503562945368172E-2</v>
      </c>
      <c r="AF905" s="61">
        <v>0</v>
      </c>
      <c r="AG905" s="61">
        <v>0.66033254156769594</v>
      </c>
      <c r="AH905" s="61">
        <v>1.0688836104513063E-2</v>
      </c>
      <c r="AI905" s="61">
        <v>0.33966745843230406</v>
      </c>
      <c r="AJ905" s="59">
        <v>0.755</v>
      </c>
      <c r="AK905" s="59">
        <v>1.43E-2</v>
      </c>
      <c r="AL905" s="3">
        <v>0</v>
      </c>
      <c r="AM905" s="3">
        <v>0</v>
      </c>
      <c r="AN905" s="3">
        <v>22</v>
      </c>
      <c r="AO905" s="3">
        <v>210</v>
      </c>
      <c r="AP905" s="3">
        <v>224</v>
      </c>
      <c r="AQ905" s="3">
        <v>203</v>
      </c>
      <c r="AR905" s="3">
        <v>183</v>
      </c>
      <c r="AS905" s="59">
        <v>9.4827586206896547E-2</v>
      </c>
      <c r="AT905" s="3">
        <v>9</v>
      </c>
      <c r="AU905" s="3">
        <v>6</v>
      </c>
      <c r="AV905" s="49">
        <v>58.356164383561605</v>
      </c>
      <c r="AW905" s="49">
        <v>18.904109589041099</v>
      </c>
      <c r="AX905" s="49">
        <v>22.4657534246575</v>
      </c>
      <c r="AY905" s="67">
        <v>0.27397260273972601</v>
      </c>
      <c r="AZ905" s="62">
        <v>0.1797752808988764</v>
      </c>
      <c r="BA905" s="62">
        <v>3.4831460674157301E-2</v>
      </c>
      <c r="BB905" s="78">
        <v>92.244738893218994</v>
      </c>
      <c r="BC905" s="49">
        <v>38.764044943820203</v>
      </c>
      <c r="BD905" s="90" t="s">
        <v>83</v>
      </c>
      <c r="BE905" s="90" t="s">
        <v>83</v>
      </c>
      <c r="BF905" s="87">
        <v>1.5</v>
      </c>
      <c r="BG905" s="87">
        <v>1</v>
      </c>
      <c r="BH905" s="87">
        <v>1.5</v>
      </c>
      <c r="BI905" s="87">
        <v>0</v>
      </c>
      <c r="BJ905" s="49">
        <v>18.7</v>
      </c>
      <c r="BK905" s="126">
        <v>9259</v>
      </c>
      <c r="BL905" s="126">
        <v>43371</v>
      </c>
      <c r="BM905" s="126">
        <v>41204</v>
      </c>
      <c r="BN905" s="126">
        <v>35245</v>
      </c>
      <c r="BO905" s="59">
        <v>0</v>
      </c>
      <c r="BP905" s="59">
        <v>0.42330000000000001</v>
      </c>
      <c r="BQ905" s="59">
        <v>0.13270000000000001</v>
      </c>
      <c r="BR905" s="59">
        <v>0</v>
      </c>
      <c r="BS905" s="59">
        <v>2.2100000000000002E-2</v>
      </c>
      <c r="BT905" s="49">
        <v>9.1</v>
      </c>
      <c r="BU905" s="59">
        <f t="shared" si="68"/>
        <v>0.57810000000000006</v>
      </c>
      <c r="BV905" s="59">
        <v>3.3799999999999997E-2</v>
      </c>
      <c r="BW905" s="59">
        <v>0</v>
      </c>
      <c r="BX905" s="59">
        <v>3.4299999999999997E-2</v>
      </c>
      <c r="BY905" s="59">
        <v>0</v>
      </c>
      <c r="BZ905" s="59">
        <v>0</v>
      </c>
      <c r="CA905" s="49">
        <v>17.100000000000001</v>
      </c>
      <c r="CB905" s="59">
        <f t="shared" si="69"/>
        <v>6.8099999999999994E-2</v>
      </c>
      <c r="CC905" s="59">
        <v>0.34410000000000002</v>
      </c>
      <c r="CD905" s="59">
        <v>0.4446</v>
      </c>
      <c r="CE905" s="59">
        <v>0.18920000000000001</v>
      </c>
      <c r="CF905" s="59">
        <v>0</v>
      </c>
      <c r="CG905" s="59">
        <v>2.2100000000000002E-2</v>
      </c>
      <c r="CH905" s="49">
        <v>11.2</v>
      </c>
      <c r="CI905" s="26" t="s">
        <v>399</v>
      </c>
      <c r="CJ905" s="18" t="s">
        <v>489</v>
      </c>
      <c r="CK905" s="20"/>
    </row>
    <row r="906" spans="1:89" x14ac:dyDescent="0.25">
      <c r="A906" s="18" t="s">
        <v>489</v>
      </c>
      <c r="B906" s="19" t="s">
        <v>398</v>
      </c>
      <c r="C906" s="26" t="s">
        <v>400</v>
      </c>
      <c r="D906" s="6">
        <v>9</v>
      </c>
      <c r="E906" s="6">
        <v>2</v>
      </c>
      <c r="F906" s="6">
        <v>7</v>
      </c>
      <c r="G906" s="166">
        <v>1</v>
      </c>
      <c r="H906" s="166">
        <v>1</v>
      </c>
      <c r="I906" s="163">
        <v>0</v>
      </c>
      <c r="J906" s="166">
        <v>2</v>
      </c>
      <c r="K906" s="166">
        <v>4</v>
      </c>
      <c r="L906" s="166">
        <v>1</v>
      </c>
      <c r="M906" s="166">
        <v>0</v>
      </c>
      <c r="N906" s="119">
        <v>3.7974683544303799E-2</v>
      </c>
      <c r="O906" s="119">
        <v>4.6666666666666697E-2</v>
      </c>
      <c r="P906" s="119">
        <v>2.0833333333333301E-2</v>
      </c>
      <c r="Q906" s="119">
        <v>2.5641025641025599E-2</v>
      </c>
      <c r="R906" s="115">
        <v>0</v>
      </c>
      <c r="S906" s="119">
        <v>0.04</v>
      </c>
      <c r="T906" s="119">
        <v>0.1</v>
      </c>
      <c r="U906" s="119">
        <v>3.2258064516128997E-2</v>
      </c>
      <c r="V906" s="119">
        <v>0</v>
      </c>
      <c r="W906" s="6">
        <v>511</v>
      </c>
      <c r="X906" s="40">
        <f t="shared" si="66"/>
        <v>139</v>
      </c>
      <c r="Y906" s="40">
        <f t="shared" si="67"/>
        <v>215</v>
      </c>
      <c r="Z906" s="59">
        <v>0.47360000000000002</v>
      </c>
      <c r="AA906" s="59">
        <v>0.52639999999999998</v>
      </c>
      <c r="AB906" s="61">
        <v>3.9138943248532287E-3</v>
      </c>
      <c r="AC906" s="61">
        <v>0</v>
      </c>
      <c r="AD906" s="61">
        <v>0.26810176125244617</v>
      </c>
      <c r="AE906" s="61">
        <v>7.8277886497064575E-3</v>
      </c>
      <c r="AF906" s="61">
        <v>0</v>
      </c>
      <c r="AG906" s="61">
        <v>0.69863013698630139</v>
      </c>
      <c r="AH906" s="61">
        <v>2.1526418786692758E-2</v>
      </c>
      <c r="AI906" s="61">
        <v>0.30136986301369861</v>
      </c>
      <c r="AJ906" s="59">
        <v>0.78900000000000003</v>
      </c>
      <c r="AK906" s="59">
        <v>0</v>
      </c>
      <c r="AL906" s="3">
        <v>41</v>
      </c>
      <c r="AM906" s="3">
        <v>35</v>
      </c>
      <c r="AN906" s="3">
        <v>4</v>
      </c>
      <c r="AO906" s="3">
        <v>42</v>
      </c>
      <c r="AP906" s="3">
        <v>38</v>
      </c>
      <c r="AQ906" s="3">
        <v>30</v>
      </c>
      <c r="AR906" s="3">
        <v>25</v>
      </c>
      <c r="AS906" s="59">
        <v>8.6956521739130432E-2</v>
      </c>
      <c r="AT906" s="3">
        <v>1</v>
      </c>
      <c r="AU906" s="3">
        <v>6</v>
      </c>
      <c r="AV906" s="49">
        <v>77.642276422764198</v>
      </c>
      <c r="AW906" s="49">
        <v>19.105691056910601</v>
      </c>
      <c r="AX906" s="49">
        <v>1.6260162601626</v>
      </c>
      <c r="AY906" s="67">
        <v>1.6260162601626</v>
      </c>
      <c r="AZ906" s="62">
        <v>0.17837837837837839</v>
      </c>
      <c r="BA906" s="62">
        <v>4.3243243243243246E-2</v>
      </c>
      <c r="BB906" s="77">
        <v>93.352162400706106</v>
      </c>
      <c r="BC906" s="49">
        <v>24.299065420560702</v>
      </c>
      <c r="BD906" s="87">
        <v>0</v>
      </c>
      <c r="BE906" s="87">
        <v>0</v>
      </c>
      <c r="BF906" s="87">
        <v>0</v>
      </c>
      <c r="BG906" s="49">
        <v>3</v>
      </c>
      <c r="BH906" s="87">
        <v>0</v>
      </c>
      <c r="BI906" s="87">
        <v>0</v>
      </c>
      <c r="BJ906" s="49">
        <v>17.7</v>
      </c>
      <c r="BK906" s="126">
        <v>11720</v>
      </c>
      <c r="BL906" s="126">
        <v>44828</v>
      </c>
      <c r="BM906" s="126">
        <v>46089</v>
      </c>
      <c r="BN906" s="126">
        <v>34100</v>
      </c>
      <c r="BO906" s="59">
        <v>0</v>
      </c>
      <c r="BP906" s="59">
        <v>0.36299999999999999</v>
      </c>
      <c r="BQ906" s="59">
        <v>0.12640000000000001</v>
      </c>
      <c r="BR906" s="59">
        <v>0</v>
      </c>
      <c r="BS906" s="59">
        <v>0</v>
      </c>
      <c r="BT906" s="49">
        <v>13.8</v>
      </c>
      <c r="BU906" s="59">
        <f t="shared" si="68"/>
        <v>0.4894</v>
      </c>
      <c r="BV906" s="59">
        <v>2.5000000000000001E-2</v>
      </c>
      <c r="BW906" s="59">
        <v>0</v>
      </c>
      <c r="BX906" s="59">
        <v>3.6299999999999999E-2</v>
      </c>
      <c r="BY906" s="59">
        <v>0</v>
      </c>
      <c r="BZ906" s="59">
        <v>0</v>
      </c>
      <c r="CA906" s="49">
        <v>20.6</v>
      </c>
      <c r="CB906" s="59">
        <f t="shared" si="69"/>
        <v>6.13E-2</v>
      </c>
      <c r="CC906" s="59">
        <v>0.3992</v>
      </c>
      <c r="CD906" s="59">
        <v>0.38800000000000001</v>
      </c>
      <c r="CE906" s="59">
        <v>0.21279999999999999</v>
      </c>
      <c r="CF906" s="59">
        <v>0</v>
      </c>
      <c r="CG906" s="59">
        <v>0</v>
      </c>
      <c r="CH906" s="49">
        <v>12.9</v>
      </c>
      <c r="CI906" s="26" t="s">
        <v>400</v>
      </c>
      <c r="CJ906" s="18" t="s">
        <v>489</v>
      </c>
      <c r="CK906" s="20"/>
    </row>
    <row r="907" spans="1:89" x14ac:dyDescent="0.25">
      <c r="A907" s="18" t="s">
        <v>489</v>
      </c>
      <c r="B907" s="19" t="s">
        <v>398</v>
      </c>
      <c r="C907" s="26" t="s">
        <v>401</v>
      </c>
      <c r="D907" s="6">
        <v>9</v>
      </c>
      <c r="E907" s="6">
        <v>2</v>
      </c>
      <c r="F907" s="6">
        <v>7</v>
      </c>
      <c r="G907" s="166">
        <v>0</v>
      </c>
      <c r="H907" s="166">
        <v>2</v>
      </c>
      <c r="I907" s="166">
        <v>1</v>
      </c>
      <c r="J907" s="166">
        <v>1</v>
      </c>
      <c r="K907" s="166">
        <v>1</v>
      </c>
      <c r="L907" s="166">
        <v>2</v>
      </c>
      <c r="M907" s="166">
        <v>2</v>
      </c>
      <c r="N907" s="119">
        <v>1.46103896103896E-2</v>
      </c>
      <c r="O907" s="119">
        <v>1.7902813299232701E-2</v>
      </c>
      <c r="P907" s="119">
        <v>0</v>
      </c>
      <c r="Q907" s="119">
        <v>1.5384615384615399E-2</v>
      </c>
      <c r="R907" s="119">
        <v>8.3333333333333301E-2</v>
      </c>
      <c r="S907" s="119">
        <v>1.0416666666666701E-2</v>
      </c>
      <c r="T907" s="119">
        <v>1.0638297872340399E-2</v>
      </c>
      <c r="U907" s="119">
        <v>1.9801980198019799E-2</v>
      </c>
      <c r="V907" s="119">
        <v>2.27272727272727E-2</v>
      </c>
      <c r="W907" s="6">
        <v>698</v>
      </c>
      <c r="X907" s="40">
        <f t="shared" si="66"/>
        <v>369</v>
      </c>
      <c r="Y907" s="40">
        <f t="shared" si="67"/>
        <v>584</v>
      </c>
      <c r="Z907" s="59">
        <v>0.49430000000000002</v>
      </c>
      <c r="AA907" s="59">
        <v>0.50570000000000004</v>
      </c>
      <c r="AB907" s="61">
        <v>1.4326647564469914E-3</v>
      </c>
      <c r="AC907" s="61">
        <v>0</v>
      </c>
      <c r="AD907" s="61">
        <v>0.16189111747851004</v>
      </c>
      <c r="AE907" s="61">
        <v>1.7191977077363897E-2</v>
      </c>
      <c r="AF907" s="61">
        <v>0</v>
      </c>
      <c r="AG907" s="61">
        <v>0.81948424068767911</v>
      </c>
      <c r="AH907" s="61">
        <v>0</v>
      </c>
      <c r="AI907" s="61">
        <v>0.18051575931232092</v>
      </c>
      <c r="AJ907" s="59">
        <v>0.65900000000000003</v>
      </c>
      <c r="AK907" s="59">
        <v>2.8999999999999998E-3</v>
      </c>
      <c r="AL907" s="3">
        <v>88</v>
      </c>
      <c r="AM907" s="3">
        <v>127</v>
      </c>
      <c r="AN907" s="3">
        <v>10</v>
      </c>
      <c r="AO907" s="3">
        <v>89</v>
      </c>
      <c r="AP907" s="3">
        <v>88</v>
      </c>
      <c r="AQ907" s="3">
        <v>96</v>
      </c>
      <c r="AR907" s="3">
        <v>86</v>
      </c>
      <c r="AS907" s="59">
        <v>0.10101010101010101</v>
      </c>
      <c r="AT907" s="3">
        <v>6</v>
      </c>
      <c r="AU907" s="3">
        <v>6</v>
      </c>
      <c r="AV907" s="49">
        <v>65.465465465465499</v>
      </c>
      <c r="AW907" s="49">
        <v>21.3213213213213</v>
      </c>
      <c r="AX907" s="49">
        <v>13.213213213213201</v>
      </c>
      <c r="AY907" s="67">
        <v>0</v>
      </c>
      <c r="AZ907" s="62">
        <v>0.17574931880108993</v>
      </c>
      <c r="BA907" s="62">
        <v>5.858310626702997E-2</v>
      </c>
      <c r="BB907" s="78">
        <v>93.893855081849907</v>
      </c>
      <c r="BC907" s="49">
        <v>29.195088676671201</v>
      </c>
      <c r="BD907" s="87">
        <v>0</v>
      </c>
      <c r="BE907" s="87">
        <v>0</v>
      </c>
      <c r="BF907" s="87">
        <v>3.5</v>
      </c>
      <c r="BG907" s="87">
        <v>2.4</v>
      </c>
      <c r="BH907" s="87">
        <v>2.2000000000000002</v>
      </c>
      <c r="BI907" s="87">
        <v>0</v>
      </c>
      <c r="BJ907" s="49">
        <v>19.3</v>
      </c>
      <c r="BK907" s="126">
        <v>9463</v>
      </c>
      <c r="BL907" s="126">
        <v>44946</v>
      </c>
      <c r="BM907" s="126">
        <v>41130</v>
      </c>
      <c r="BN907" s="126">
        <v>36218</v>
      </c>
      <c r="BO907" s="59">
        <v>0</v>
      </c>
      <c r="BP907" s="59">
        <v>0.3821</v>
      </c>
      <c r="BQ907" s="59">
        <v>0.15279999999999999</v>
      </c>
      <c r="BR907" s="59">
        <v>1.2699999999999999E-2</v>
      </c>
      <c r="BS907" s="59">
        <v>0</v>
      </c>
      <c r="BT907" s="49">
        <v>14.7</v>
      </c>
      <c r="BU907" s="59">
        <f t="shared" si="68"/>
        <v>0.54759999999999998</v>
      </c>
      <c r="BV907" s="59">
        <v>3.8199999999999998E-2</v>
      </c>
      <c r="BW907" s="59">
        <v>0</v>
      </c>
      <c r="BX907" s="59">
        <v>3.8199999999999998E-2</v>
      </c>
      <c r="BY907" s="59">
        <v>0</v>
      </c>
      <c r="BZ907" s="59">
        <v>0</v>
      </c>
      <c r="CA907" s="49">
        <v>16.8</v>
      </c>
      <c r="CB907" s="59">
        <f t="shared" si="69"/>
        <v>7.6399999999999996E-2</v>
      </c>
      <c r="CC907" s="59">
        <v>0.36330000000000001</v>
      </c>
      <c r="CD907" s="59">
        <v>0.3947</v>
      </c>
      <c r="CE907" s="59">
        <v>0.22919999999999999</v>
      </c>
      <c r="CF907" s="59">
        <v>1.2699999999999999E-2</v>
      </c>
      <c r="CG907" s="59">
        <v>0</v>
      </c>
      <c r="CH907" s="49">
        <v>14</v>
      </c>
      <c r="CI907" s="26" t="s">
        <v>401</v>
      </c>
      <c r="CJ907" s="18" t="s">
        <v>489</v>
      </c>
      <c r="CK907" s="20"/>
    </row>
    <row r="908" spans="1:89" x14ac:dyDescent="0.25">
      <c r="A908" s="18" t="s">
        <v>489</v>
      </c>
      <c r="B908" s="19" t="s">
        <v>398</v>
      </c>
      <c r="C908" s="26" t="s">
        <v>402</v>
      </c>
      <c r="D908" s="6">
        <v>5</v>
      </c>
      <c r="E908" s="6">
        <v>1</v>
      </c>
      <c r="F908" s="6">
        <v>4</v>
      </c>
      <c r="G908" s="166">
        <v>0</v>
      </c>
      <c r="H908" s="166">
        <v>1</v>
      </c>
      <c r="I908" s="166">
        <v>0</v>
      </c>
      <c r="J908" s="166">
        <v>0</v>
      </c>
      <c r="K908" s="166">
        <v>2</v>
      </c>
      <c r="L908" s="166">
        <v>1</v>
      </c>
      <c r="M908" s="166">
        <v>1</v>
      </c>
      <c r="N908" s="119">
        <v>1.49253731343284E-2</v>
      </c>
      <c r="O908" s="119">
        <v>1.7777777777777799E-2</v>
      </c>
      <c r="P908" s="119">
        <v>0</v>
      </c>
      <c r="Q908" s="119">
        <v>1.5625E-2</v>
      </c>
      <c r="R908" s="119">
        <v>0</v>
      </c>
      <c r="S908" s="119">
        <v>0</v>
      </c>
      <c r="T908" s="119">
        <v>3.4482758620689703E-2</v>
      </c>
      <c r="U908" s="119">
        <v>1.6666666666666701E-2</v>
      </c>
      <c r="V908" s="119">
        <v>2.32558139534884E-2</v>
      </c>
      <c r="W908" s="6">
        <v>362</v>
      </c>
      <c r="X908" s="40">
        <f t="shared" si="66"/>
        <v>210</v>
      </c>
      <c r="Y908" s="40">
        <f t="shared" si="67"/>
        <v>312</v>
      </c>
      <c r="Z908" s="59">
        <v>0.43090000000000001</v>
      </c>
      <c r="AA908" s="59">
        <v>0.56910000000000005</v>
      </c>
      <c r="AB908" s="61">
        <v>8.2872928176795577E-3</v>
      </c>
      <c r="AC908" s="61">
        <v>0</v>
      </c>
      <c r="AD908" s="61">
        <v>0.64088397790055252</v>
      </c>
      <c r="AE908" s="61">
        <v>2.7624309392265192E-3</v>
      </c>
      <c r="AF908" s="61">
        <v>0</v>
      </c>
      <c r="AG908" s="61">
        <v>0.34806629834254144</v>
      </c>
      <c r="AH908" s="61">
        <v>0</v>
      </c>
      <c r="AI908" s="61">
        <v>0.65193370165745856</v>
      </c>
      <c r="AJ908" s="59">
        <v>0.873</v>
      </c>
      <c r="AK908" s="59">
        <v>0</v>
      </c>
      <c r="AL908" s="3">
        <v>42</v>
      </c>
      <c r="AM908" s="3">
        <v>60</v>
      </c>
      <c r="AN908" s="3">
        <v>12</v>
      </c>
      <c r="AO908" s="3">
        <v>47</v>
      </c>
      <c r="AP908" s="3">
        <v>51</v>
      </c>
      <c r="AQ908" s="3">
        <v>60</v>
      </c>
      <c r="AR908" s="3">
        <v>40</v>
      </c>
      <c r="AS908" s="59">
        <v>0.20338983050847459</v>
      </c>
      <c r="AT908" s="3">
        <v>6</v>
      </c>
      <c r="AU908" s="3">
        <v>6</v>
      </c>
      <c r="AV908" s="49">
        <v>70</v>
      </c>
      <c r="AW908" s="49">
        <v>24.117647058823501</v>
      </c>
      <c r="AX908" s="49">
        <v>5.2941176470588198</v>
      </c>
      <c r="AY908" s="67">
        <v>0.58823529411764697</v>
      </c>
      <c r="AZ908" s="62">
        <v>0.41818181818181815</v>
      </c>
      <c r="BA908" s="62">
        <v>7.2727272727272724E-2</v>
      </c>
      <c r="BB908" s="77">
        <v>93.746715280515005</v>
      </c>
      <c r="BC908" s="49">
        <v>27.272727272727298</v>
      </c>
      <c r="BD908" s="87">
        <v>2.2999999999999998</v>
      </c>
      <c r="BE908" s="87">
        <v>0</v>
      </c>
      <c r="BF908" s="87">
        <v>0</v>
      </c>
      <c r="BG908" s="87">
        <v>0</v>
      </c>
      <c r="BH908" s="87">
        <v>0</v>
      </c>
      <c r="BI908" s="87">
        <v>0</v>
      </c>
      <c r="BJ908" s="49">
        <v>17.5</v>
      </c>
      <c r="BK908" s="126">
        <v>11734</v>
      </c>
      <c r="BL908" s="126">
        <v>44321</v>
      </c>
      <c r="BM908" s="126">
        <v>46184</v>
      </c>
      <c r="BN908" s="126">
        <v>34301</v>
      </c>
      <c r="BO908" s="59">
        <v>0</v>
      </c>
      <c r="BP908" s="59">
        <v>0.37930000000000003</v>
      </c>
      <c r="BQ908" s="59">
        <v>8.9399999999999993E-2</v>
      </c>
      <c r="BR908" s="59">
        <v>1.83E-2</v>
      </c>
      <c r="BS908" s="59">
        <v>0</v>
      </c>
      <c r="BT908" s="49">
        <v>13.8</v>
      </c>
      <c r="BU908" s="59">
        <f t="shared" si="68"/>
        <v>0.48699999999999999</v>
      </c>
      <c r="BV908" s="59">
        <v>1.83E-2</v>
      </c>
      <c r="BW908" s="59">
        <v>1.83E-2</v>
      </c>
      <c r="BX908" s="59">
        <v>5.67E-2</v>
      </c>
      <c r="BY908" s="59">
        <v>0</v>
      </c>
      <c r="BZ908" s="59">
        <v>0</v>
      </c>
      <c r="CA908" s="49">
        <v>19</v>
      </c>
      <c r="CB908" s="59">
        <f t="shared" si="69"/>
        <v>9.3299999999999994E-2</v>
      </c>
      <c r="CC908" s="59">
        <v>0.36509999999999998</v>
      </c>
      <c r="CD908" s="59">
        <v>0.434</v>
      </c>
      <c r="CE908" s="59">
        <v>0.18260000000000001</v>
      </c>
      <c r="CF908" s="59">
        <v>1.83E-2</v>
      </c>
      <c r="CG908" s="59">
        <v>0</v>
      </c>
      <c r="CH908" s="49">
        <v>15.9</v>
      </c>
      <c r="CI908" s="26" t="s">
        <v>402</v>
      </c>
      <c r="CJ908" s="18" t="s">
        <v>489</v>
      </c>
      <c r="CK908" s="20"/>
    </row>
    <row r="909" spans="1:89" x14ac:dyDescent="0.25">
      <c r="A909" s="18" t="s">
        <v>489</v>
      </c>
      <c r="B909" s="19" t="s">
        <v>403</v>
      </c>
      <c r="C909" s="26" t="s">
        <v>404</v>
      </c>
      <c r="D909" s="6">
        <v>2</v>
      </c>
      <c r="E909" s="6">
        <v>1</v>
      </c>
      <c r="F909" s="6">
        <v>1</v>
      </c>
      <c r="G909" s="166">
        <v>1</v>
      </c>
      <c r="H909" s="166">
        <v>0</v>
      </c>
      <c r="I909" s="166">
        <v>0</v>
      </c>
      <c r="J909" s="166">
        <v>0</v>
      </c>
      <c r="K909" s="166">
        <v>0</v>
      </c>
      <c r="L909" s="166">
        <v>0</v>
      </c>
      <c r="M909" s="166">
        <v>1</v>
      </c>
      <c r="N909" s="119">
        <v>8.4388185654008397E-3</v>
      </c>
      <c r="O909" s="119">
        <v>7.2463768115942004E-3</v>
      </c>
      <c r="P909" s="119">
        <v>1.8181818181818198E-2</v>
      </c>
      <c r="Q909" s="119">
        <v>0</v>
      </c>
      <c r="R909" s="119">
        <v>0</v>
      </c>
      <c r="S909" s="119">
        <v>0</v>
      </c>
      <c r="T909" s="119">
        <v>0</v>
      </c>
      <c r="U909" s="119">
        <v>0</v>
      </c>
      <c r="V909" s="119">
        <v>3.5714285714285698E-2</v>
      </c>
      <c r="W909" s="6">
        <v>476</v>
      </c>
      <c r="X909" s="40">
        <f t="shared" si="66"/>
        <v>122</v>
      </c>
      <c r="Y909" s="40">
        <f t="shared" si="67"/>
        <v>203</v>
      </c>
      <c r="Z909" s="59">
        <v>0.48110000000000003</v>
      </c>
      <c r="AA909" s="59">
        <v>0.51890000000000003</v>
      </c>
      <c r="AB909" s="61">
        <v>2.1008403361344537E-3</v>
      </c>
      <c r="AC909" s="61">
        <v>2.100840336134454E-2</v>
      </c>
      <c r="AD909" s="61">
        <v>0.14915966386554622</v>
      </c>
      <c r="AE909" s="61">
        <v>2.9411764705882353E-2</v>
      </c>
      <c r="AF909" s="61">
        <v>0</v>
      </c>
      <c r="AG909" s="61">
        <v>0.78781512605042014</v>
      </c>
      <c r="AH909" s="61">
        <v>1.050420168067227E-2</v>
      </c>
      <c r="AI909" s="61">
        <v>0.21218487394957983</v>
      </c>
      <c r="AJ909" s="59">
        <v>0.64700000000000002</v>
      </c>
      <c r="AK909" s="59">
        <v>2.0999999999999999E-3</v>
      </c>
      <c r="AL909" s="3">
        <v>44</v>
      </c>
      <c r="AM909" s="3">
        <v>37</v>
      </c>
      <c r="AN909" s="3">
        <v>2</v>
      </c>
      <c r="AO909" s="3">
        <v>43</v>
      </c>
      <c r="AP909" s="3">
        <v>32</v>
      </c>
      <c r="AQ909" s="3">
        <v>21</v>
      </c>
      <c r="AR909" s="3">
        <v>24</v>
      </c>
      <c r="AS909" s="59">
        <v>4.4444444444444446E-2</v>
      </c>
      <c r="AT909" s="3">
        <v>1</v>
      </c>
      <c r="AU909" s="3">
        <v>6</v>
      </c>
      <c r="AV909" s="49">
        <v>66.122448979591795</v>
      </c>
      <c r="AW909" s="49">
        <v>25.714285714285701</v>
      </c>
      <c r="AX909" s="49">
        <v>8.1632653061224492</v>
      </c>
      <c r="AY909" s="67">
        <v>0</v>
      </c>
      <c r="AZ909" s="62">
        <v>7.7738515901060068E-2</v>
      </c>
      <c r="BA909" s="62">
        <v>6.0070671378091869E-2</v>
      </c>
      <c r="BB909" s="78">
        <v>93.874237887369702</v>
      </c>
      <c r="BC909" s="49">
        <v>31.3653136531365</v>
      </c>
      <c r="BD909" s="87">
        <v>0</v>
      </c>
      <c r="BE909" s="87">
        <v>2.9</v>
      </c>
      <c r="BF909" s="87">
        <v>4.9000000000000004</v>
      </c>
      <c r="BG909" s="87">
        <v>3.8</v>
      </c>
      <c r="BH909" s="87">
        <v>0</v>
      </c>
      <c r="BI909" s="87">
        <v>3.7</v>
      </c>
      <c r="BJ909" s="49">
        <v>18.7</v>
      </c>
      <c r="BK909" s="126">
        <v>10333</v>
      </c>
      <c r="BL909" s="126">
        <v>50448</v>
      </c>
      <c r="BM909" s="126">
        <v>46056</v>
      </c>
      <c r="BN909" s="126">
        <v>38047</v>
      </c>
      <c r="BO909" s="59">
        <v>0</v>
      </c>
      <c r="BP909" s="59">
        <v>0.35560000000000003</v>
      </c>
      <c r="BQ909" s="59">
        <v>0.1356</v>
      </c>
      <c r="BR909" s="59">
        <v>0</v>
      </c>
      <c r="BS909" s="59">
        <v>0</v>
      </c>
      <c r="BT909" s="49">
        <v>11.2</v>
      </c>
      <c r="BU909" s="59">
        <f t="shared" si="68"/>
        <v>0.49120000000000003</v>
      </c>
      <c r="BV909" s="59">
        <v>3.39E-2</v>
      </c>
      <c r="BW909" s="59">
        <v>0</v>
      </c>
      <c r="BX909" s="59">
        <v>3.2500000000000001E-2</v>
      </c>
      <c r="BY909" s="59">
        <v>0</v>
      </c>
      <c r="BZ909" s="59">
        <v>0</v>
      </c>
      <c r="CA909" s="49">
        <v>13.2</v>
      </c>
      <c r="CB909" s="59">
        <f t="shared" si="69"/>
        <v>6.6400000000000001E-2</v>
      </c>
      <c r="CC909" s="59">
        <v>0.39240000000000003</v>
      </c>
      <c r="CD909" s="59">
        <v>0.40639999999999998</v>
      </c>
      <c r="CE909" s="59">
        <v>0.20119999999999999</v>
      </c>
      <c r="CF909" s="59">
        <v>0</v>
      </c>
      <c r="CG909" s="59">
        <v>0</v>
      </c>
      <c r="CH909" s="49">
        <v>10.6</v>
      </c>
      <c r="CI909" s="26" t="s">
        <v>404</v>
      </c>
      <c r="CJ909" s="18" t="s">
        <v>489</v>
      </c>
      <c r="CK909" s="20"/>
    </row>
    <row r="910" spans="1:89" x14ac:dyDescent="0.25">
      <c r="A910" s="18" t="s">
        <v>489</v>
      </c>
      <c r="B910" s="19" t="s">
        <v>403</v>
      </c>
      <c r="C910" s="26" t="s">
        <v>405</v>
      </c>
      <c r="D910" s="6">
        <v>36</v>
      </c>
      <c r="E910" s="40" t="s">
        <v>83</v>
      </c>
      <c r="F910" s="6">
        <v>36</v>
      </c>
      <c r="G910" s="162" t="s">
        <v>83</v>
      </c>
      <c r="H910" s="162" t="s">
        <v>83</v>
      </c>
      <c r="I910" s="166">
        <v>0</v>
      </c>
      <c r="J910" s="166">
        <v>6</v>
      </c>
      <c r="K910" s="166">
        <v>5</v>
      </c>
      <c r="L910" s="166">
        <v>10</v>
      </c>
      <c r="M910" s="166">
        <v>15</v>
      </c>
      <c r="N910" s="119">
        <v>3.8338658146964903E-2</v>
      </c>
      <c r="O910" s="119">
        <v>3.8338658146964903E-2</v>
      </c>
      <c r="P910" s="116" t="s">
        <v>83</v>
      </c>
      <c r="Q910" s="116" t="s">
        <v>83</v>
      </c>
      <c r="R910" s="119">
        <v>0</v>
      </c>
      <c r="S910" s="119">
        <v>2.4590163934426201E-2</v>
      </c>
      <c r="T910" s="119">
        <v>1.8726591760299598E-2</v>
      </c>
      <c r="U910" s="119">
        <v>4.7846889952153103E-2</v>
      </c>
      <c r="V910" s="119">
        <v>7.0754716981132101E-2</v>
      </c>
      <c r="W910" s="6">
        <v>848</v>
      </c>
      <c r="X910" s="40">
        <f t="shared" si="66"/>
        <v>848</v>
      </c>
      <c r="Y910" s="40">
        <f t="shared" si="67"/>
        <v>848</v>
      </c>
      <c r="Z910" s="59">
        <v>0.48699999999999999</v>
      </c>
      <c r="AA910" s="59">
        <v>0.51300000000000001</v>
      </c>
      <c r="AB910" s="61">
        <v>2.3584905660377358E-3</v>
      </c>
      <c r="AC910" s="61">
        <v>5.89622641509434E-3</v>
      </c>
      <c r="AD910" s="61">
        <v>0.59198113207547165</v>
      </c>
      <c r="AE910" s="61">
        <v>1.179245283018868E-2</v>
      </c>
      <c r="AF910" s="61">
        <v>0</v>
      </c>
      <c r="AG910" s="61">
        <v>0.37853773584905659</v>
      </c>
      <c r="AH910" s="61">
        <v>9.433962264150943E-3</v>
      </c>
      <c r="AI910" s="61">
        <v>0.62146226415094341</v>
      </c>
      <c r="AJ910" s="59">
        <v>0.69599999999999995</v>
      </c>
      <c r="AK910" s="59">
        <v>4.7000000000000002E-3</v>
      </c>
      <c r="AL910" s="3">
        <v>0</v>
      </c>
      <c r="AM910" s="3">
        <v>0</v>
      </c>
      <c r="AN910" s="3">
        <v>6</v>
      </c>
      <c r="AO910" s="3">
        <v>218</v>
      </c>
      <c r="AP910" s="3">
        <v>242</v>
      </c>
      <c r="AQ910" s="3">
        <v>183</v>
      </c>
      <c r="AR910" s="3">
        <v>199</v>
      </c>
      <c r="AS910" s="59">
        <v>2.6785714285714284E-2</v>
      </c>
      <c r="AT910" s="3">
        <v>9</v>
      </c>
      <c r="AU910" s="3">
        <v>6</v>
      </c>
      <c r="AV910" s="49">
        <v>66.501240694789104</v>
      </c>
      <c r="AW910" s="49">
        <v>12.6550868486352</v>
      </c>
      <c r="AX910" s="49">
        <v>15.632754342431801</v>
      </c>
      <c r="AY910" s="67">
        <v>5.2109181141439196</v>
      </c>
      <c r="AZ910" s="62">
        <v>6.1202185792349727E-2</v>
      </c>
      <c r="BA910" s="62">
        <v>0.16721311475409836</v>
      </c>
      <c r="BB910" s="77">
        <v>90.582122184692594</v>
      </c>
      <c r="BC910" s="49">
        <v>30.936819172113299</v>
      </c>
      <c r="BD910" s="90" t="s">
        <v>83</v>
      </c>
      <c r="BE910" s="90" t="s">
        <v>83</v>
      </c>
      <c r="BF910" s="87">
        <v>5.9</v>
      </c>
      <c r="BG910" s="87">
        <v>7</v>
      </c>
      <c r="BH910" s="87">
        <v>1.7</v>
      </c>
      <c r="BI910" s="87">
        <v>5.2</v>
      </c>
      <c r="BJ910" s="49">
        <v>17.600000000000001</v>
      </c>
      <c r="BK910" s="126">
        <v>10317</v>
      </c>
      <c r="BL910" s="126">
        <v>52948</v>
      </c>
      <c r="BM910" s="126">
        <v>42100</v>
      </c>
      <c r="BN910" s="126">
        <v>42570</v>
      </c>
      <c r="BO910" s="59">
        <v>0</v>
      </c>
      <c r="BP910" s="59">
        <v>0.40820000000000001</v>
      </c>
      <c r="BQ910" s="59">
        <v>0.1933</v>
      </c>
      <c r="BR910" s="59">
        <v>0</v>
      </c>
      <c r="BS910" s="59">
        <v>0</v>
      </c>
      <c r="BT910" s="49">
        <v>15.2</v>
      </c>
      <c r="BU910" s="59">
        <f t="shared" si="68"/>
        <v>0.60150000000000003</v>
      </c>
      <c r="BV910" s="59">
        <v>3.2800000000000003E-2</v>
      </c>
      <c r="BW910" s="59">
        <v>0</v>
      </c>
      <c r="BX910" s="59">
        <v>2.1899999999999999E-2</v>
      </c>
      <c r="BY910" s="59">
        <v>0</v>
      </c>
      <c r="BZ910" s="59">
        <v>0</v>
      </c>
      <c r="CA910" s="49">
        <v>20.2</v>
      </c>
      <c r="CB910" s="59">
        <f t="shared" si="69"/>
        <v>5.4699999999999999E-2</v>
      </c>
      <c r="CC910" s="59">
        <v>0.32200000000000001</v>
      </c>
      <c r="CD910" s="59">
        <v>0.43009999999999998</v>
      </c>
      <c r="CE910" s="59">
        <v>0.24790000000000001</v>
      </c>
      <c r="CF910" s="59">
        <v>0</v>
      </c>
      <c r="CG910" s="59">
        <v>0</v>
      </c>
      <c r="CH910" s="49">
        <v>14.4</v>
      </c>
      <c r="CI910" s="26" t="s">
        <v>405</v>
      </c>
      <c r="CJ910" s="18" t="s">
        <v>489</v>
      </c>
      <c r="CK910" s="20"/>
    </row>
    <row r="911" spans="1:89" x14ac:dyDescent="0.25">
      <c r="A911" s="18" t="s">
        <v>489</v>
      </c>
      <c r="B911" s="19" t="s">
        <v>403</v>
      </c>
      <c r="C911" s="26" t="s">
        <v>406</v>
      </c>
      <c r="D911" s="6">
        <v>11</v>
      </c>
      <c r="E911" s="6">
        <v>0</v>
      </c>
      <c r="F911" s="6">
        <v>11</v>
      </c>
      <c r="G911" s="166">
        <v>0</v>
      </c>
      <c r="H911" s="166">
        <v>0</v>
      </c>
      <c r="I911" s="162" t="s">
        <v>83</v>
      </c>
      <c r="J911" s="166">
        <v>0</v>
      </c>
      <c r="K911" s="166">
        <v>4</v>
      </c>
      <c r="L911" s="166">
        <v>3</v>
      </c>
      <c r="M911" s="166">
        <v>4</v>
      </c>
      <c r="N911" s="119">
        <v>2.0220588235294101E-2</v>
      </c>
      <c r="O911" s="119">
        <v>3.1339031339031299E-2</v>
      </c>
      <c r="P911" s="119">
        <v>0</v>
      </c>
      <c r="Q911" s="119">
        <v>0</v>
      </c>
      <c r="R911" s="116" t="s">
        <v>83</v>
      </c>
      <c r="S911" s="119">
        <v>0</v>
      </c>
      <c r="T911" s="119">
        <v>4.0404040404040401E-2</v>
      </c>
      <c r="U911" s="119">
        <v>3.94736842105263E-2</v>
      </c>
      <c r="V911" s="119">
        <v>5.7971014492753603E-2</v>
      </c>
      <c r="W911" s="6">
        <v>496</v>
      </c>
      <c r="X911" s="40">
        <f t="shared" si="66"/>
        <v>318</v>
      </c>
      <c r="Y911" s="40">
        <f t="shared" si="67"/>
        <v>496</v>
      </c>
      <c r="Z911" s="59">
        <v>0.5081</v>
      </c>
      <c r="AA911" s="59">
        <v>0.4919</v>
      </c>
      <c r="AB911" s="61">
        <v>0</v>
      </c>
      <c r="AC911" s="61">
        <v>6.0483870967741934E-3</v>
      </c>
      <c r="AD911" s="61">
        <v>0.27419354838709675</v>
      </c>
      <c r="AE911" s="61">
        <v>3.6290322580645164E-2</v>
      </c>
      <c r="AF911" s="61">
        <v>0</v>
      </c>
      <c r="AG911" s="61">
        <v>0.66330645161290325</v>
      </c>
      <c r="AH911" s="61">
        <v>2.0161290322580645E-2</v>
      </c>
      <c r="AI911" s="61">
        <v>0.33669354838709675</v>
      </c>
      <c r="AJ911" s="59">
        <v>0.625</v>
      </c>
      <c r="AK911" s="59">
        <v>1.01E-2</v>
      </c>
      <c r="AL911" s="3">
        <v>90</v>
      </c>
      <c r="AM911" s="3">
        <v>88</v>
      </c>
      <c r="AN911" s="3">
        <v>0</v>
      </c>
      <c r="AO911" s="3">
        <v>94</v>
      </c>
      <c r="AP911" s="3">
        <v>89</v>
      </c>
      <c r="AQ911" s="3">
        <v>70</v>
      </c>
      <c r="AR911" s="3">
        <v>65</v>
      </c>
      <c r="AS911" s="59">
        <v>0</v>
      </c>
      <c r="AT911" s="3">
        <v>7</v>
      </c>
      <c r="AU911" s="3">
        <v>6</v>
      </c>
      <c r="AV911" s="49">
        <v>69.565217391304301</v>
      </c>
      <c r="AW911" s="49">
        <v>11.5942028985507</v>
      </c>
      <c r="AX911" s="49">
        <v>18.115942028985501</v>
      </c>
      <c r="AY911" s="67">
        <v>0.72463768115942007</v>
      </c>
      <c r="AZ911" s="62">
        <v>0.11090573012939002</v>
      </c>
      <c r="BA911" s="62">
        <v>0.10536044362292052</v>
      </c>
      <c r="BB911" s="78">
        <v>93.369771014182106</v>
      </c>
      <c r="BC911" s="49">
        <v>14.7874306839187</v>
      </c>
      <c r="BD911" s="87">
        <v>2.2999999999999998</v>
      </c>
      <c r="BE911" s="87">
        <v>0</v>
      </c>
      <c r="BF911" s="87">
        <v>1</v>
      </c>
      <c r="BG911" s="87">
        <v>0</v>
      </c>
      <c r="BH911" s="87">
        <v>0</v>
      </c>
      <c r="BI911" s="87">
        <v>0</v>
      </c>
      <c r="BJ911" s="49">
        <v>18.600000000000001</v>
      </c>
      <c r="BK911" s="126">
        <v>9143</v>
      </c>
      <c r="BL911" s="126">
        <v>52158</v>
      </c>
      <c r="BM911" s="126">
        <v>45697</v>
      </c>
      <c r="BN911" s="126">
        <v>42756</v>
      </c>
      <c r="BO911" s="59">
        <v>0</v>
      </c>
      <c r="BP911" s="59">
        <v>0.36449999999999999</v>
      </c>
      <c r="BQ911" s="59">
        <v>0.2185</v>
      </c>
      <c r="BR911" s="59">
        <v>0</v>
      </c>
      <c r="BS911" s="59">
        <v>0</v>
      </c>
      <c r="BT911" s="49">
        <v>11.9</v>
      </c>
      <c r="BU911" s="59">
        <f t="shared" si="68"/>
        <v>0.58299999999999996</v>
      </c>
      <c r="BV911" s="59">
        <v>4.3700000000000003E-2</v>
      </c>
      <c r="BW911" s="59">
        <v>0</v>
      </c>
      <c r="BX911" s="59">
        <v>4.3700000000000003E-2</v>
      </c>
      <c r="BY911" s="59">
        <v>0</v>
      </c>
      <c r="BZ911" s="59">
        <v>0</v>
      </c>
      <c r="CA911" s="49">
        <v>14.8</v>
      </c>
      <c r="CB911" s="59">
        <f t="shared" si="69"/>
        <v>8.7400000000000005E-2</v>
      </c>
      <c r="CC911" s="59">
        <v>0.30790000000000001</v>
      </c>
      <c r="CD911" s="59">
        <v>0.40810000000000002</v>
      </c>
      <c r="CE911" s="59">
        <v>0.28399999999999997</v>
      </c>
      <c r="CF911" s="59">
        <v>0</v>
      </c>
      <c r="CG911" s="59">
        <v>0</v>
      </c>
      <c r="CH911" s="49">
        <v>14.2</v>
      </c>
      <c r="CI911" s="26" t="s">
        <v>406</v>
      </c>
      <c r="CJ911" s="18" t="s">
        <v>489</v>
      </c>
      <c r="CK911" s="20"/>
    </row>
    <row r="912" spans="1:89" x14ac:dyDescent="0.25">
      <c r="A912" s="18" t="s">
        <v>489</v>
      </c>
      <c r="B912" s="19" t="s">
        <v>403</v>
      </c>
      <c r="C912" s="26" t="s">
        <v>407</v>
      </c>
      <c r="D912" s="6">
        <v>11</v>
      </c>
      <c r="E912" s="40" t="s">
        <v>83</v>
      </c>
      <c r="F912" s="6">
        <v>11</v>
      </c>
      <c r="G912" s="162" t="s">
        <v>83</v>
      </c>
      <c r="H912" s="162" t="s">
        <v>83</v>
      </c>
      <c r="I912" s="166">
        <v>0</v>
      </c>
      <c r="J912" s="166">
        <v>1</v>
      </c>
      <c r="K912" s="166">
        <v>2</v>
      </c>
      <c r="L912" s="166">
        <v>3</v>
      </c>
      <c r="M912" s="166">
        <v>5</v>
      </c>
      <c r="N912" s="119">
        <v>1.7684887459807098E-2</v>
      </c>
      <c r="O912" s="119">
        <v>1.7684887459807098E-2</v>
      </c>
      <c r="P912" s="116" t="s">
        <v>83</v>
      </c>
      <c r="Q912" s="116" t="s">
        <v>83</v>
      </c>
      <c r="R912" s="119">
        <v>0</v>
      </c>
      <c r="S912" s="119">
        <v>6.6666666666666697E-3</v>
      </c>
      <c r="T912" s="119">
        <v>1.0989010989011E-2</v>
      </c>
      <c r="U912" s="119">
        <v>2.0979020979021001E-2</v>
      </c>
      <c r="V912" s="119">
        <v>3.7313432835820899E-2</v>
      </c>
      <c r="W912" s="6">
        <v>571</v>
      </c>
      <c r="X912" s="40">
        <f t="shared" si="66"/>
        <v>571</v>
      </c>
      <c r="Y912" s="40">
        <f t="shared" si="67"/>
        <v>571</v>
      </c>
      <c r="Z912" s="59">
        <v>0.4904</v>
      </c>
      <c r="AA912" s="59">
        <v>0.50960000000000005</v>
      </c>
      <c r="AB912" s="61">
        <v>0</v>
      </c>
      <c r="AC912" s="61">
        <v>1.7513134851138354E-3</v>
      </c>
      <c r="AD912" s="61">
        <v>0.41506129597197899</v>
      </c>
      <c r="AE912" s="61">
        <v>8.7565674255691769E-3</v>
      </c>
      <c r="AF912" s="61">
        <v>0</v>
      </c>
      <c r="AG912" s="61">
        <v>0.57092819614711032</v>
      </c>
      <c r="AH912" s="61">
        <v>3.5026269702276708E-3</v>
      </c>
      <c r="AI912" s="61">
        <v>0.42907180385288968</v>
      </c>
      <c r="AJ912" s="59">
        <v>0.61499999999999999</v>
      </c>
      <c r="AK912" s="59">
        <v>0</v>
      </c>
      <c r="AL912" s="3">
        <v>0</v>
      </c>
      <c r="AM912" s="3">
        <v>0</v>
      </c>
      <c r="AN912" s="3">
        <v>13</v>
      </c>
      <c r="AO912" s="3">
        <v>141</v>
      </c>
      <c r="AP912" s="3">
        <v>163</v>
      </c>
      <c r="AQ912" s="3">
        <v>132</v>
      </c>
      <c r="AR912" s="3">
        <v>122</v>
      </c>
      <c r="AS912" s="59">
        <v>8.4415584415584416E-2</v>
      </c>
      <c r="AT912" s="3">
        <v>9</v>
      </c>
      <c r="AU912" s="3">
        <v>6</v>
      </c>
      <c r="AV912" s="49">
        <v>53.811659192825104</v>
      </c>
      <c r="AW912" s="49">
        <v>20.179372197309402</v>
      </c>
      <c r="AX912" s="49">
        <v>20.627802690583</v>
      </c>
      <c r="AY912" s="67">
        <v>5.3811659192825099</v>
      </c>
      <c r="AZ912" s="62">
        <v>0.12398042414355628</v>
      </c>
      <c r="BA912" s="62">
        <v>0.15660685154975529</v>
      </c>
      <c r="BB912" s="77">
        <v>91.085561552941698</v>
      </c>
      <c r="BC912" s="49">
        <v>33.768352365416</v>
      </c>
      <c r="BD912" s="90" t="s">
        <v>83</v>
      </c>
      <c r="BE912" s="90" t="s">
        <v>83</v>
      </c>
      <c r="BF912" s="87">
        <v>2.2999999999999998</v>
      </c>
      <c r="BG912" s="87">
        <v>2.7</v>
      </c>
      <c r="BH912" s="87">
        <v>0.9</v>
      </c>
      <c r="BI912" s="87">
        <v>2.6</v>
      </c>
      <c r="BJ912" s="49">
        <v>18.399999999999999</v>
      </c>
      <c r="BK912" s="126">
        <v>9887</v>
      </c>
      <c r="BL912" s="126">
        <v>52783</v>
      </c>
      <c r="BM912" s="126">
        <v>48299</v>
      </c>
      <c r="BN912" s="126">
        <v>41061</v>
      </c>
      <c r="BO912" s="59">
        <v>0</v>
      </c>
      <c r="BP912" s="59">
        <v>0.32</v>
      </c>
      <c r="BQ912" s="59">
        <v>0.24379999999999999</v>
      </c>
      <c r="BR912" s="59">
        <v>0</v>
      </c>
      <c r="BS912" s="59">
        <v>0</v>
      </c>
      <c r="BT912" s="49">
        <v>13.1</v>
      </c>
      <c r="BU912" s="59">
        <f t="shared" si="68"/>
        <v>0.56379999999999997</v>
      </c>
      <c r="BV912" s="59">
        <v>3.4000000000000002E-2</v>
      </c>
      <c r="BW912" s="59">
        <v>0</v>
      </c>
      <c r="BX912" s="59">
        <v>3.3300000000000003E-2</v>
      </c>
      <c r="BY912" s="59">
        <v>0</v>
      </c>
      <c r="BZ912" s="59">
        <v>0</v>
      </c>
      <c r="CA912" s="49">
        <v>15.5</v>
      </c>
      <c r="CB912" s="59">
        <f t="shared" si="69"/>
        <v>6.7299999999999999E-2</v>
      </c>
      <c r="CC912" s="59">
        <v>0.3518</v>
      </c>
      <c r="CD912" s="59">
        <v>0.33700000000000002</v>
      </c>
      <c r="CE912" s="59">
        <v>0.31119999999999998</v>
      </c>
      <c r="CF912" s="59">
        <v>0</v>
      </c>
      <c r="CG912" s="59">
        <v>0</v>
      </c>
      <c r="CH912" s="49">
        <v>11.1</v>
      </c>
      <c r="CI912" s="26" t="s">
        <v>407</v>
      </c>
      <c r="CJ912" s="18" t="s">
        <v>489</v>
      </c>
      <c r="CK912" s="20"/>
    </row>
    <row r="913" spans="1:99" x14ac:dyDescent="0.25">
      <c r="A913" s="18" t="s">
        <v>489</v>
      </c>
      <c r="B913" s="19" t="s">
        <v>408</v>
      </c>
      <c r="C913" s="26" t="s">
        <v>409</v>
      </c>
      <c r="D913" s="6">
        <v>11</v>
      </c>
      <c r="E913" s="40" t="s">
        <v>83</v>
      </c>
      <c r="F913" s="6">
        <v>11</v>
      </c>
      <c r="G913" s="162" t="s">
        <v>83</v>
      </c>
      <c r="H913" s="162" t="s">
        <v>83</v>
      </c>
      <c r="I913" s="166">
        <v>0</v>
      </c>
      <c r="J913" s="166">
        <v>8</v>
      </c>
      <c r="K913" s="166">
        <v>0</v>
      </c>
      <c r="L913" s="166">
        <v>1</v>
      </c>
      <c r="M913" s="166">
        <v>2</v>
      </c>
      <c r="N913" s="119">
        <v>1.7741935483870999E-2</v>
      </c>
      <c r="O913" s="119">
        <v>1.7741935483870999E-2</v>
      </c>
      <c r="P913" s="116" t="s">
        <v>83</v>
      </c>
      <c r="Q913" s="116" t="s">
        <v>83</v>
      </c>
      <c r="R913" s="119">
        <v>0</v>
      </c>
      <c r="S913" s="119">
        <v>4.4692737430167599E-2</v>
      </c>
      <c r="T913" s="119">
        <v>0</v>
      </c>
      <c r="U913" s="119">
        <v>8.6206896551724102E-3</v>
      </c>
      <c r="V913" s="119">
        <v>1.3698630136986301E-2</v>
      </c>
      <c r="W913" s="6">
        <v>590</v>
      </c>
      <c r="X913" s="40">
        <f t="shared" si="66"/>
        <v>590</v>
      </c>
      <c r="Y913" s="40">
        <f t="shared" si="67"/>
        <v>590</v>
      </c>
      <c r="Z913" s="59">
        <v>0.4627</v>
      </c>
      <c r="AA913" s="59">
        <v>0.5373</v>
      </c>
      <c r="AB913" s="61">
        <v>1.6949152542372881E-3</v>
      </c>
      <c r="AC913" s="61">
        <v>6.7796610169491523E-3</v>
      </c>
      <c r="AD913" s="61">
        <v>0.38813559322033897</v>
      </c>
      <c r="AE913" s="61">
        <v>3.2203389830508473E-2</v>
      </c>
      <c r="AF913" s="61">
        <v>0</v>
      </c>
      <c r="AG913" s="61">
        <v>0.56949152542372883</v>
      </c>
      <c r="AH913" s="61">
        <v>1.6949152542372881E-3</v>
      </c>
      <c r="AI913" s="61">
        <v>0.43050847457627117</v>
      </c>
      <c r="AJ913" s="59">
        <v>0.46899999999999997</v>
      </c>
      <c r="AK913" s="59">
        <v>1.3599999999999999E-2</v>
      </c>
      <c r="AL913" s="3">
        <v>0</v>
      </c>
      <c r="AM913" s="3">
        <v>0</v>
      </c>
      <c r="AN913" s="3">
        <v>8</v>
      </c>
      <c r="AO913" s="3">
        <v>165</v>
      </c>
      <c r="AP913" s="3">
        <v>163</v>
      </c>
      <c r="AQ913" s="3">
        <v>113</v>
      </c>
      <c r="AR913" s="3">
        <v>141</v>
      </c>
      <c r="AS913" s="59">
        <v>4.6242774566473986E-2</v>
      </c>
      <c r="AT913" s="3">
        <v>9</v>
      </c>
      <c r="AU913" s="3">
        <v>6</v>
      </c>
      <c r="AV913" s="49">
        <v>64.685314685314694</v>
      </c>
      <c r="AW913" s="49">
        <v>29.020979020978999</v>
      </c>
      <c r="AX913" s="49">
        <v>6.2937062937062898</v>
      </c>
      <c r="AY913" s="67">
        <v>0</v>
      </c>
      <c r="AZ913" s="62">
        <v>0.18048780487804877</v>
      </c>
      <c r="BA913" s="62">
        <v>1.7886178861788619E-2</v>
      </c>
      <c r="BB913" s="78">
        <v>93.559593008911605</v>
      </c>
      <c r="BC913" s="49">
        <v>26.504065040650399</v>
      </c>
      <c r="BD913" s="90" t="s">
        <v>83</v>
      </c>
      <c r="BE913" s="90" t="s">
        <v>83</v>
      </c>
      <c r="BF913" s="87">
        <v>6.9</v>
      </c>
      <c r="BG913" s="87">
        <v>0.7</v>
      </c>
      <c r="BH913" s="87">
        <v>0.9</v>
      </c>
      <c r="BI913" s="87">
        <v>2.2000000000000002</v>
      </c>
      <c r="BJ913" s="49">
        <v>20.3</v>
      </c>
      <c r="BK913" s="126">
        <v>11532</v>
      </c>
      <c r="BL913" s="126">
        <v>52519</v>
      </c>
      <c r="BM913" s="126">
        <v>48314</v>
      </c>
      <c r="BN913" s="126">
        <v>44338</v>
      </c>
      <c r="BO913" s="59">
        <v>0</v>
      </c>
      <c r="BP913" s="59">
        <v>0.40679999999999999</v>
      </c>
      <c r="BQ913" s="59">
        <v>0.2203</v>
      </c>
      <c r="BR913" s="59">
        <v>0</v>
      </c>
      <c r="BS913" s="59">
        <v>1.6899999999999998E-2</v>
      </c>
      <c r="BT913" s="49">
        <v>14.8</v>
      </c>
      <c r="BU913" s="59">
        <f t="shared" si="68"/>
        <v>0.64400000000000002</v>
      </c>
      <c r="BV913" s="59">
        <v>3.39E-2</v>
      </c>
      <c r="BW913" s="59">
        <v>0</v>
      </c>
      <c r="BX913" s="59">
        <v>3.39E-2</v>
      </c>
      <c r="BY913" s="59">
        <v>0</v>
      </c>
      <c r="BZ913" s="59">
        <v>0</v>
      </c>
      <c r="CA913" s="49">
        <v>19.8</v>
      </c>
      <c r="CB913" s="59">
        <f t="shared" si="69"/>
        <v>6.7799999999999999E-2</v>
      </c>
      <c r="CC913" s="59">
        <v>0.25419999999999998</v>
      </c>
      <c r="CD913" s="59">
        <v>0.44069999999999998</v>
      </c>
      <c r="CE913" s="59">
        <v>0.28810000000000002</v>
      </c>
      <c r="CF913" s="59">
        <v>0</v>
      </c>
      <c r="CG913" s="59">
        <v>1.6899999999999998E-2</v>
      </c>
      <c r="CH913" s="49">
        <v>14</v>
      </c>
      <c r="CI913" s="26" t="s">
        <v>409</v>
      </c>
      <c r="CJ913" s="18" t="s">
        <v>489</v>
      </c>
      <c r="CK913" s="20"/>
    </row>
    <row r="914" spans="1:99" x14ac:dyDescent="0.25">
      <c r="A914" s="18" t="s">
        <v>489</v>
      </c>
      <c r="B914" s="19" t="s">
        <v>408</v>
      </c>
      <c r="C914" s="26" t="s">
        <v>410</v>
      </c>
      <c r="D914" s="6">
        <v>6</v>
      </c>
      <c r="E914" s="40" t="s">
        <v>83</v>
      </c>
      <c r="F914" s="6">
        <v>6</v>
      </c>
      <c r="G914" s="162" t="s">
        <v>83</v>
      </c>
      <c r="H914" s="162" t="s">
        <v>83</v>
      </c>
      <c r="I914" s="166">
        <v>0</v>
      </c>
      <c r="J914" s="166">
        <v>3</v>
      </c>
      <c r="K914" s="166">
        <v>2</v>
      </c>
      <c r="L914" s="166">
        <v>0</v>
      </c>
      <c r="M914" s="166">
        <v>1</v>
      </c>
      <c r="N914" s="119">
        <v>1.3333333333333299E-2</v>
      </c>
      <c r="O914" s="119">
        <v>1.3333333333333299E-2</v>
      </c>
      <c r="P914" s="116" t="s">
        <v>83</v>
      </c>
      <c r="Q914" s="116" t="s">
        <v>83</v>
      </c>
      <c r="R914" s="119">
        <v>0</v>
      </c>
      <c r="S914" s="119">
        <v>2.2900763358778602E-2</v>
      </c>
      <c r="T914" s="119">
        <v>1.9047619047619001E-2</v>
      </c>
      <c r="U914" s="119">
        <v>0</v>
      </c>
      <c r="V914" s="119">
        <v>9.9009900990098994E-3</v>
      </c>
      <c r="W914" s="6">
        <v>416</v>
      </c>
      <c r="X914" s="40">
        <f t="shared" si="66"/>
        <v>416</v>
      </c>
      <c r="Y914" s="40">
        <f t="shared" si="67"/>
        <v>416</v>
      </c>
      <c r="Z914" s="59">
        <v>0.49280000000000002</v>
      </c>
      <c r="AA914" s="59">
        <v>0.50719999999999998</v>
      </c>
      <c r="AB914" s="61">
        <v>0</v>
      </c>
      <c r="AC914" s="61">
        <v>2.403846153846154E-3</v>
      </c>
      <c r="AD914" s="61">
        <v>0.74038461538461542</v>
      </c>
      <c r="AE914" s="61">
        <v>4.3269230769230768E-2</v>
      </c>
      <c r="AF914" s="61">
        <v>0</v>
      </c>
      <c r="AG914" s="61">
        <v>0.21153846153846154</v>
      </c>
      <c r="AH914" s="61">
        <v>2.403846153846154E-3</v>
      </c>
      <c r="AI914" s="61">
        <v>0.78846153846153844</v>
      </c>
      <c r="AJ914" s="59">
        <v>0.82499999999999996</v>
      </c>
      <c r="AK914" s="59">
        <v>3.1300000000000001E-2</v>
      </c>
      <c r="AL914" s="3">
        <v>0</v>
      </c>
      <c r="AM914" s="3">
        <v>0</v>
      </c>
      <c r="AN914" s="3">
        <v>1</v>
      </c>
      <c r="AO914" s="3">
        <v>116</v>
      </c>
      <c r="AP914" s="3">
        <v>100</v>
      </c>
      <c r="AQ914" s="3">
        <v>105</v>
      </c>
      <c r="AR914" s="3">
        <v>94</v>
      </c>
      <c r="AS914" s="59">
        <v>8.5470085470085479E-3</v>
      </c>
      <c r="AT914" s="3">
        <v>9</v>
      </c>
      <c r="AU914" s="3">
        <v>6</v>
      </c>
      <c r="AV914" s="49">
        <v>83.745583038869299</v>
      </c>
      <c r="AW914" s="49">
        <v>12.7208480565371</v>
      </c>
      <c r="AX914" s="49">
        <v>3.18021201413428</v>
      </c>
      <c r="AY914" s="67">
        <v>0.35335689045936397</v>
      </c>
      <c r="AZ914" s="62">
        <v>0.35267857142857145</v>
      </c>
      <c r="BA914" s="62">
        <v>2.232142857142857E-3</v>
      </c>
      <c r="BB914" s="77">
        <v>93.182174576246993</v>
      </c>
      <c r="BC914" s="49">
        <v>26.280623608017802</v>
      </c>
      <c r="BD914" s="90" t="s">
        <v>83</v>
      </c>
      <c r="BE914" s="90" t="s">
        <v>83</v>
      </c>
      <c r="BF914" s="87">
        <v>19.3</v>
      </c>
      <c r="BG914" s="87">
        <v>5.7</v>
      </c>
      <c r="BH914" s="87">
        <v>0</v>
      </c>
      <c r="BI914" s="87">
        <v>4.0999999999999996</v>
      </c>
      <c r="BJ914" s="49">
        <v>18.2</v>
      </c>
      <c r="BK914" s="126">
        <v>13663</v>
      </c>
      <c r="BL914" s="126">
        <v>49678</v>
      </c>
      <c r="BM914" s="126">
        <v>51771</v>
      </c>
      <c r="BN914" s="126">
        <v>41855</v>
      </c>
      <c r="BO914" s="59">
        <v>0</v>
      </c>
      <c r="BP914" s="59">
        <v>0.38419999999999999</v>
      </c>
      <c r="BQ914" s="59">
        <v>0.18279999999999999</v>
      </c>
      <c r="BR914" s="59">
        <v>1.78E-2</v>
      </c>
      <c r="BS914" s="59">
        <v>2.3E-2</v>
      </c>
      <c r="BT914" s="49">
        <v>10.5</v>
      </c>
      <c r="BU914" s="59">
        <f t="shared" si="68"/>
        <v>0.60780000000000001</v>
      </c>
      <c r="BV914" s="59">
        <v>3.5700000000000003E-2</v>
      </c>
      <c r="BW914" s="59">
        <v>0</v>
      </c>
      <c r="BX914" s="59">
        <v>5.3499999999999999E-2</v>
      </c>
      <c r="BY914" s="59">
        <v>0</v>
      </c>
      <c r="BZ914" s="59">
        <v>0</v>
      </c>
      <c r="CA914" s="49">
        <v>17.8</v>
      </c>
      <c r="CB914" s="59">
        <f t="shared" si="69"/>
        <v>8.9200000000000002E-2</v>
      </c>
      <c r="CC914" s="59">
        <v>0.28520000000000001</v>
      </c>
      <c r="CD914" s="59">
        <v>0.40200000000000002</v>
      </c>
      <c r="CE914" s="59">
        <v>0.27189999999999998</v>
      </c>
      <c r="CF914" s="59">
        <v>1.78E-2</v>
      </c>
      <c r="CG914" s="59">
        <v>2.3E-2</v>
      </c>
      <c r="CH914" s="49">
        <v>11.1</v>
      </c>
      <c r="CI914" s="26" t="s">
        <v>410</v>
      </c>
      <c r="CJ914" s="18" t="s">
        <v>489</v>
      </c>
      <c r="CK914" s="20"/>
    </row>
    <row r="915" spans="1:99" x14ac:dyDescent="0.25">
      <c r="A915" s="18" t="s">
        <v>489</v>
      </c>
      <c r="B915" s="19" t="s">
        <v>411</v>
      </c>
      <c r="C915" s="26" t="s">
        <v>412</v>
      </c>
      <c r="D915" s="6">
        <v>1</v>
      </c>
      <c r="E915" s="6">
        <v>1</v>
      </c>
      <c r="F915" s="6">
        <v>0</v>
      </c>
      <c r="G915" s="166">
        <v>1</v>
      </c>
      <c r="H915" s="166">
        <v>0</v>
      </c>
      <c r="I915" s="162" t="s">
        <v>83</v>
      </c>
      <c r="J915" s="166">
        <v>0</v>
      </c>
      <c r="K915" s="166">
        <v>0</v>
      </c>
      <c r="L915" s="166">
        <v>0</v>
      </c>
      <c r="M915" s="166">
        <v>0</v>
      </c>
      <c r="N915" s="119">
        <v>7.63358778625954E-3</v>
      </c>
      <c r="O915" s="119">
        <v>0</v>
      </c>
      <c r="P915" s="119">
        <v>3.8461538461538498E-2</v>
      </c>
      <c r="Q915" s="119">
        <v>0</v>
      </c>
      <c r="R915" s="116" t="s">
        <v>83</v>
      </c>
      <c r="S915" s="119">
        <v>0</v>
      </c>
      <c r="T915" s="119">
        <v>0</v>
      </c>
      <c r="U915" s="119">
        <v>0</v>
      </c>
      <c r="V915" s="119">
        <v>0</v>
      </c>
      <c r="W915" s="6">
        <v>309</v>
      </c>
      <c r="X915" s="40">
        <f t="shared" si="66"/>
        <v>77</v>
      </c>
      <c r="Y915" s="40">
        <f t="shared" si="67"/>
        <v>115</v>
      </c>
      <c r="Z915" s="59">
        <v>0.45950000000000002</v>
      </c>
      <c r="AA915" s="59">
        <v>0.54049999999999998</v>
      </c>
      <c r="AB915" s="61">
        <v>0</v>
      </c>
      <c r="AC915" s="61">
        <v>0</v>
      </c>
      <c r="AD915" s="61">
        <v>0.32038834951456313</v>
      </c>
      <c r="AE915" s="61">
        <v>2.9126213592233011E-2</v>
      </c>
      <c r="AF915" s="61">
        <v>0</v>
      </c>
      <c r="AG915" s="61">
        <v>0.63754045307443363</v>
      </c>
      <c r="AH915" s="61">
        <v>1.2944983818770227E-2</v>
      </c>
      <c r="AI915" s="61">
        <v>0.36245954692556637</v>
      </c>
      <c r="AJ915" s="59">
        <v>0.86699999999999999</v>
      </c>
      <c r="AK915" s="59">
        <v>2.9100000000000001E-2</v>
      </c>
      <c r="AL915" s="3">
        <v>20</v>
      </c>
      <c r="AM915" s="3">
        <v>18</v>
      </c>
      <c r="AN915" s="3">
        <v>0</v>
      </c>
      <c r="AO915" s="3">
        <v>20</v>
      </c>
      <c r="AP915" s="3">
        <v>20</v>
      </c>
      <c r="AQ915" s="3">
        <v>20</v>
      </c>
      <c r="AR915" s="3">
        <v>17</v>
      </c>
      <c r="AS915" s="59">
        <v>0</v>
      </c>
      <c r="AT915" s="3">
        <v>1</v>
      </c>
      <c r="AU915" s="3">
        <v>6</v>
      </c>
      <c r="AV915" s="49">
        <v>78.616352201257897</v>
      </c>
      <c r="AW915" s="49">
        <v>13.207547169811301</v>
      </c>
      <c r="AX915" s="49">
        <v>8.1761006289308202</v>
      </c>
      <c r="AY915" s="67">
        <v>0</v>
      </c>
      <c r="AZ915" s="62">
        <v>4.3956043956043959E-2</v>
      </c>
      <c r="BA915" s="62">
        <v>0.12637362637362637</v>
      </c>
      <c r="BB915" s="78">
        <v>92.703724637963603</v>
      </c>
      <c r="BC915" s="49">
        <v>61.337209302325597</v>
      </c>
      <c r="BD915" s="87">
        <v>0</v>
      </c>
      <c r="BE915" s="87">
        <v>0</v>
      </c>
      <c r="BF915" s="87">
        <v>5</v>
      </c>
      <c r="BG915" s="87">
        <v>0</v>
      </c>
      <c r="BH915" s="87">
        <v>0</v>
      </c>
      <c r="BI915" s="87">
        <v>0</v>
      </c>
      <c r="BJ915" s="49">
        <v>18.3</v>
      </c>
      <c r="BK915" s="126">
        <v>10578</v>
      </c>
      <c r="BL915" s="126">
        <v>48629</v>
      </c>
      <c r="BM915" s="126">
        <v>50407</v>
      </c>
      <c r="BN915" s="126">
        <v>38685</v>
      </c>
      <c r="BO915" s="59">
        <v>0</v>
      </c>
      <c r="BP915" s="59">
        <v>0.34360000000000002</v>
      </c>
      <c r="BQ915" s="59">
        <v>0.23719999999999999</v>
      </c>
      <c r="BR915" s="59">
        <v>0</v>
      </c>
      <c r="BS915" s="59">
        <v>0</v>
      </c>
      <c r="BT915" s="49">
        <v>12.7</v>
      </c>
      <c r="BU915" s="59">
        <f t="shared" si="68"/>
        <v>0.58079999999999998</v>
      </c>
      <c r="BV915" s="59">
        <v>2.9600000000000001E-2</v>
      </c>
      <c r="BW915" s="59">
        <v>0</v>
      </c>
      <c r="BX915" s="59">
        <v>2.8799999999999999E-2</v>
      </c>
      <c r="BY915" s="59">
        <v>0</v>
      </c>
      <c r="BZ915" s="59">
        <v>0</v>
      </c>
      <c r="CA915" s="49">
        <v>16.3</v>
      </c>
      <c r="CB915" s="59">
        <f t="shared" si="69"/>
        <v>5.8400000000000001E-2</v>
      </c>
      <c r="CC915" s="59">
        <v>0.39050000000000001</v>
      </c>
      <c r="CD915" s="59">
        <v>0.34360000000000002</v>
      </c>
      <c r="CE915" s="59">
        <v>0.26600000000000001</v>
      </c>
      <c r="CF915" s="59">
        <v>0</v>
      </c>
      <c r="CG915" s="59">
        <v>0</v>
      </c>
      <c r="CH915" s="49">
        <v>13.6</v>
      </c>
      <c r="CI915" s="26" t="s">
        <v>412</v>
      </c>
      <c r="CJ915" s="18" t="s">
        <v>489</v>
      </c>
      <c r="CK915" s="20"/>
    </row>
    <row r="916" spans="1:99" x14ac:dyDescent="0.25">
      <c r="A916" s="18" t="s">
        <v>489</v>
      </c>
      <c r="B916" s="19" t="s">
        <v>411</v>
      </c>
      <c r="C916" s="26" t="s">
        <v>413</v>
      </c>
      <c r="D916" s="6">
        <v>2</v>
      </c>
      <c r="E916" s="6">
        <v>0</v>
      </c>
      <c r="F916" s="6">
        <v>2</v>
      </c>
      <c r="G916" s="166">
        <v>0</v>
      </c>
      <c r="H916" s="166">
        <v>0</v>
      </c>
      <c r="I916" s="162" t="s">
        <v>83</v>
      </c>
      <c r="J916" s="166">
        <v>0</v>
      </c>
      <c r="K916" s="166">
        <v>0</v>
      </c>
      <c r="L916" s="166">
        <v>2</v>
      </c>
      <c r="M916" s="166">
        <v>0</v>
      </c>
      <c r="N916" s="119">
        <v>7.2202166064982004E-3</v>
      </c>
      <c r="O916" s="119">
        <v>1.1904761904761901E-2</v>
      </c>
      <c r="P916" s="119">
        <v>0</v>
      </c>
      <c r="Q916" s="119">
        <v>0</v>
      </c>
      <c r="R916" s="116" t="s">
        <v>83</v>
      </c>
      <c r="S916" s="119">
        <v>0</v>
      </c>
      <c r="T916" s="119">
        <v>0</v>
      </c>
      <c r="U916" s="119">
        <v>5.5555555555555601E-2</v>
      </c>
      <c r="V916" s="119">
        <v>0</v>
      </c>
      <c r="W916" s="6">
        <v>565</v>
      </c>
      <c r="X916" s="40">
        <f t="shared" si="66"/>
        <v>148</v>
      </c>
      <c r="Y916" s="40">
        <f t="shared" si="67"/>
        <v>239</v>
      </c>
      <c r="Z916" s="59">
        <v>0.46899999999999997</v>
      </c>
      <c r="AA916" s="59">
        <v>0.53100000000000003</v>
      </c>
      <c r="AB916" s="61">
        <v>5.3097345132743362E-3</v>
      </c>
      <c r="AC916" s="61">
        <v>0</v>
      </c>
      <c r="AD916" s="61">
        <v>0.10265486725663717</v>
      </c>
      <c r="AE916" s="61">
        <v>4.247787610619469E-2</v>
      </c>
      <c r="AF916" s="61">
        <v>0</v>
      </c>
      <c r="AG916" s="61">
        <v>0.84247787610619473</v>
      </c>
      <c r="AH916" s="61">
        <v>7.0796460176991149E-3</v>
      </c>
      <c r="AI916" s="61">
        <v>0.15752212389380532</v>
      </c>
      <c r="AJ916" s="59">
        <v>0.76600000000000001</v>
      </c>
      <c r="AK916" s="59">
        <v>7.1000000000000004E-3</v>
      </c>
      <c r="AL916" s="3">
        <v>42</v>
      </c>
      <c r="AM916" s="3">
        <v>49</v>
      </c>
      <c r="AN916" s="3">
        <v>0</v>
      </c>
      <c r="AO916" s="3">
        <v>43</v>
      </c>
      <c r="AP916" s="3">
        <v>41</v>
      </c>
      <c r="AQ916" s="3">
        <v>34</v>
      </c>
      <c r="AR916" s="3">
        <v>30</v>
      </c>
      <c r="AS916" s="59">
        <v>0</v>
      </c>
      <c r="AT916" s="3">
        <v>1</v>
      </c>
      <c r="AU916" s="3">
        <v>6</v>
      </c>
      <c r="AV916" s="49">
        <v>79.452054794520492</v>
      </c>
      <c r="AW916" s="49">
        <v>17.4657534246575</v>
      </c>
      <c r="AX916" s="49">
        <v>1.7123287671232901</v>
      </c>
      <c r="AY916" s="67">
        <v>1.3698630136986301</v>
      </c>
      <c r="AZ916" s="62">
        <v>5.8461538461538461E-2</v>
      </c>
      <c r="BA916" s="62">
        <v>1.5384615384615385E-3</v>
      </c>
      <c r="BB916" s="77">
        <v>94.649977965755596</v>
      </c>
      <c r="BC916" s="49">
        <v>57.463884430176599</v>
      </c>
      <c r="BD916" s="87">
        <v>4.9000000000000004</v>
      </c>
      <c r="BE916" s="87">
        <v>0</v>
      </c>
      <c r="BF916" s="87">
        <v>10.3</v>
      </c>
      <c r="BG916" s="87">
        <v>3.1</v>
      </c>
      <c r="BH916" s="87">
        <v>3.6</v>
      </c>
      <c r="BI916" s="87">
        <v>3.6</v>
      </c>
      <c r="BJ916" s="49">
        <v>20</v>
      </c>
      <c r="BK916" s="126">
        <v>10741</v>
      </c>
      <c r="BL916" s="126">
        <v>49295</v>
      </c>
      <c r="BM916" s="126">
        <v>42614</v>
      </c>
      <c r="BN916" s="126">
        <v>35919</v>
      </c>
      <c r="BO916" s="59">
        <v>0</v>
      </c>
      <c r="BP916" s="59">
        <v>0.24979999999999999</v>
      </c>
      <c r="BQ916" s="59">
        <v>0.23530000000000001</v>
      </c>
      <c r="BR916" s="59">
        <v>0</v>
      </c>
      <c r="BS916" s="59">
        <v>0</v>
      </c>
      <c r="BT916" s="49">
        <v>16.100000000000001</v>
      </c>
      <c r="BU916" s="59">
        <f t="shared" si="68"/>
        <v>0.48509999999999998</v>
      </c>
      <c r="BV916" s="59">
        <v>2.9499999999999998E-2</v>
      </c>
      <c r="BW916" s="59">
        <v>0</v>
      </c>
      <c r="BX916" s="59">
        <v>1.47E-2</v>
      </c>
      <c r="BY916" s="59">
        <v>0</v>
      </c>
      <c r="BZ916" s="59">
        <v>0</v>
      </c>
      <c r="CA916" s="49">
        <v>26.3</v>
      </c>
      <c r="CB916" s="59">
        <f t="shared" si="69"/>
        <v>4.4199999999999996E-2</v>
      </c>
      <c r="CC916" s="59">
        <v>0.41149999999999998</v>
      </c>
      <c r="CD916" s="59">
        <v>0.32340000000000002</v>
      </c>
      <c r="CE916" s="59">
        <v>0.2651</v>
      </c>
      <c r="CF916" s="59">
        <v>0</v>
      </c>
      <c r="CG916" s="59">
        <v>0</v>
      </c>
      <c r="CH916" s="49">
        <v>15</v>
      </c>
      <c r="CI916" s="26" t="s">
        <v>413</v>
      </c>
      <c r="CJ916" s="18" t="s">
        <v>489</v>
      </c>
      <c r="CK916" s="20"/>
    </row>
    <row r="917" spans="1:99" x14ac:dyDescent="0.25">
      <c r="A917" s="18" t="s">
        <v>489</v>
      </c>
      <c r="B917" s="19" t="s">
        <v>411</v>
      </c>
      <c r="C917" s="26" t="s">
        <v>414</v>
      </c>
      <c r="D917" s="6">
        <v>1</v>
      </c>
      <c r="E917" s="6">
        <v>0</v>
      </c>
      <c r="F917" s="6">
        <v>1</v>
      </c>
      <c r="G917" s="166">
        <v>0</v>
      </c>
      <c r="H917" s="166">
        <v>0</v>
      </c>
      <c r="I917" s="162" t="s">
        <v>83</v>
      </c>
      <c r="J917" s="166">
        <v>0</v>
      </c>
      <c r="K917" s="166">
        <v>0</v>
      </c>
      <c r="L917" s="166">
        <v>1</v>
      </c>
      <c r="M917" s="166">
        <v>0</v>
      </c>
      <c r="N917" s="119">
        <v>6.41025641025641E-3</v>
      </c>
      <c r="O917" s="119">
        <v>1.0989010989011E-2</v>
      </c>
      <c r="P917" s="119">
        <v>0</v>
      </c>
      <c r="Q917" s="119">
        <v>0</v>
      </c>
      <c r="R917" s="116" t="s">
        <v>83</v>
      </c>
      <c r="S917" s="119">
        <v>0</v>
      </c>
      <c r="T917" s="119">
        <v>0</v>
      </c>
      <c r="U917" s="119">
        <v>5.8823529411764698E-2</v>
      </c>
      <c r="V917" s="119">
        <v>0</v>
      </c>
      <c r="W917" s="6">
        <v>318</v>
      </c>
      <c r="X917" s="40">
        <f t="shared" si="66"/>
        <v>77</v>
      </c>
      <c r="Y917" s="40">
        <f t="shared" si="67"/>
        <v>136</v>
      </c>
      <c r="Z917" s="59">
        <v>0.46860000000000002</v>
      </c>
      <c r="AA917" s="59">
        <v>0.53139999999999998</v>
      </c>
      <c r="AB917" s="61">
        <v>6.2893081761006293E-3</v>
      </c>
      <c r="AC917" s="61">
        <v>0</v>
      </c>
      <c r="AD917" s="61">
        <v>0.12264150943396226</v>
      </c>
      <c r="AE917" s="61">
        <v>1.8867924528301886E-2</v>
      </c>
      <c r="AF917" s="61">
        <v>0</v>
      </c>
      <c r="AG917" s="61">
        <v>0.83647798742138368</v>
      </c>
      <c r="AH917" s="61">
        <v>1.5723270440251572E-2</v>
      </c>
      <c r="AI917" s="61">
        <v>0.16352201257861634</v>
      </c>
      <c r="AJ917" s="59">
        <v>0.66</v>
      </c>
      <c r="AK917" s="59">
        <v>9.4000000000000004E-3</v>
      </c>
      <c r="AL917" s="3">
        <v>31</v>
      </c>
      <c r="AM917" s="3">
        <v>28</v>
      </c>
      <c r="AN917" s="3">
        <v>0</v>
      </c>
      <c r="AO917" s="3">
        <v>19</v>
      </c>
      <c r="AP917" s="3">
        <v>24</v>
      </c>
      <c r="AQ917" s="3">
        <v>16</v>
      </c>
      <c r="AR917" s="3">
        <v>18</v>
      </c>
      <c r="AS917" s="59">
        <v>0</v>
      </c>
      <c r="AT917" s="3">
        <v>1</v>
      </c>
      <c r="AU917" s="3">
        <v>6</v>
      </c>
      <c r="AV917" s="49">
        <v>83.505154639175302</v>
      </c>
      <c r="AW917" s="49">
        <v>7.7319587628865998</v>
      </c>
      <c r="AX917" s="49">
        <v>8.7628865979381398</v>
      </c>
      <c r="AY917" s="67">
        <v>0</v>
      </c>
      <c r="AZ917" s="62">
        <v>7.2829131652661069E-2</v>
      </c>
      <c r="BA917" s="62">
        <v>1.4005602240896359E-2</v>
      </c>
      <c r="BB917" s="78">
        <v>95.261950861890696</v>
      </c>
      <c r="BC917" s="49">
        <v>45.224719101123597</v>
      </c>
      <c r="BD917" s="87">
        <v>3.3</v>
      </c>
      <c r="BE917" s="87">
        <v>7.4</v>
      </c>
      <c r="BF917" s="87">
        <v>0</v>
      </c>
      <c r="BG917" s="87">
        <v>0</v>
      </c>
      <c r="BH917" s="87">
        <v>0</v>
      </c>
      <c r="BI917" s="87">
        <v>0</v>
      </c>
      <c r="BJ917" s="49">
        <v>19.7</v>
      </c>
      <c r="BK917" s="126">
        <v>11254</v>
      </c>
      <c r="BL917" s="126">
        <v>48803</v>
      </c>
      <c r="BM917" s="126">
        <v>39165</v>
      </c>
      <c r="BN917" s="126">
        <v>38341</v>
      </c>
      <c r="BO917" s="59">
        <v>0</v>
      </c>
      <c r="BP917" s="59">
        <v>0.37590000000000001</v>
      </c>
      <c r="BQ917" s="59">
        <v>0.17499999999999999</v>
      </c>
      <c r="BR917" s="59">
        <v>0</v>
      </c>
      <c r="BS917" s="59">
        <v>0</v>
      </c>
      <c r="BT917" s="49">
        <v>15.7</v>
      </c>
      <c r="BU917" s="59">
        <f t="shared" si="68"/>
        <v>0.55089999999999995</v>
      </c>
      <c r="BV917" s="59">
        <v>2.5000000000000001E-2</v>
      </c>
      <c r="BW917" s="59">
        <v>0</v>
      </c>
      <c r="BX917" s="59">
        <v>4.9700000000000001E-2</v>
      </c>
      <c r="BY917" s="59">
        <v>0</v>
      </c>
      <c r="BZ917" s="59">
        <v>0</v>
      </c>
      <c r="CA917" s="49">
        <v>27.8</v>
      </c>
      <c r="CB917" s="59">
        <f t="shared" si="69"/>
        <v>7.4700000000000003E-2</v>
      </c>
      <c r="CC917" s="59">
        <v>0.32419999999999999</v>
      </c>
      <c r="CD917" s="59">
        <v>0.4511</v>
      </c>
      <c r="CE917" s="59">
        <v>0.22470000000000001</v>
      </c>
      <c r="CF917" s="59">
        <v>0</v>
      </c>
      <c r="CG917" s="59">
        <v>0</v>
      </c>
      <c r="CH917" s="49">
        <v>15.4</v>
      </c>
      <c r="CI917" s="26" t="s">
        <v>414</v>
      </c>
      <c r="CJ917" s="18" t="s">
        <v>489</v>
      </c>
      <c r="CK917" s="20"/>
    </row>
    <row r="918" spans="1:99" x14ac:dyDescent="0.25">
      <c r="A918" s="18" t="s">
        <v>489</v>
      </c>
      <c r="B918" s="19" t="s">
        <v>411</v>
      </c>
      <c r="C918" s="26" t="s">
        <v>415</v>
      </c>
      <c r="D918" s="6">
        <v>7</v>
      </c>
      <c r="E918" s="6">
        <v>3</v>
      </c>
      <c r="F918" s="6">
        <v>4</v>
      </c>
      <c r="G918" s="166">
        <v>2</v>
      </c>
      <c r="H918" s="166">
        <v>1</v>
      </c>
      <c r="I918" s="162" t="s">
        <v>83</v>
      </c>
      <c r="J918" s="166">
        <v>2</v>
      </c>
      <c r="K918" s="166">
        <v>1</v>
      </c>
      <c r="L918" s="166">
        <v>1</v>
      </c>
      <c r="M918" s="166">
        <v>0</v>
      </c>
      <c r="N918" s="119">
        <v>1.6166281755196299E-2</v>
      </c>
      <c r="O918" s="119">
        <v>1.5094339622641499E-2</v>
      </c>
      <c r="P918" s="119">
        <v>2.40963855421687E-2</v>
      </c>
      <c r="Q918" s="119">
        <v>1.1764705882352899E-2</v>
      </c>
      <c r="R918" s="116" t="s">
        <v>83</v>
      </c>
      <c r="S918" s="119">
        <v>2.2988505747126398E-2</v>
      </c>
      <c r="T918" s="119">
        <v>1.4285714285714299E-2</v>
      </c>
      <c r="U918" s="119">
        <v>1.9230769230769201E-2</v>
      </c>
      <c r="V918" s="119">
        <v>0</v>
      </c>
      <c r="W918" s="6">
        <v>470</v>
      </c>
      <c r="X918" s="40">
        <f t="shared" si="66"/>
        <v>247</v>
      </c>
      <c r="Y918" s="40">
        <f t="shared" si="67"/>
        <v>395</v>
      </c>
      <c r="Z918" s="59">
        <v>0.45739999999999997</v>
      </c>
      <c r="AA918" s="59">
        <v>0.54259999999999997</v>
      </c>
      <c r="AB918" s="61">
        <v>2.1276595744680851E-3</v>
      </c>
      <c r="AC918" s="61">
        <v>1.0638297872340425E-2</v>
      </c>
      <c r="AD918" s="61">
        <v>0.19574468085106383</v>
      </c>
      <c r="AE918" s="61">
        <v>1.9148936170212766E-2</v>
      </c>
      <c r="AF918" s="61">
        <v>0</v>
      </c>
      <c r="AG918" s="61">
        <v>0.76808510638297878</v>
      </c>
      <c r="AH918" s="61">
        <v>4.2553191489361703E-3</v>
      </c>
      <c r="AI918" s="61">
        <v>0.23191489361702128</v>
      </c>
      <c r="AJ918" s="59">
        <v>0.64700000000000002</v>
      </c>
      <c r="AK918" s="59">
        <v>6.4000000000000003E-3</v>
      </c>
      <c r="AL918" s="3">
        <v>73</v>
      </c>
      <c r="AM918" s="3">
        <v>75</v>
      </c>
      <c r="AN918" s="3">
        <v>0</v>
      </c>
      <c r="AO918" s="3">
        <v>80</v>
      </c>
      <c r="AP918" s="3">
        <v>64</v>
      </c>
      <c r="AQ918" s="3">
        <v>48</v>
      </c>
      <c r="AR918" s="3">
        <v>55</v>
      </c>
      <c r="AS918" s="59">
        <v>0</v>
      </c>
      <c r="AT918" s="3">
        <v>6</v>
      </c>
      <c r="AU918" s="3">
        <v>6</v>
      </c>
      <c r="AV918" s="49">
        <v>61.344537815126102</v>
      </c>
      <c r="AW918" s="49">
        <v>30.252100840336098</v>
      </c>
      <c r="AX918" s="49">
        <v>5.46218487394958</v>
      </c>
      <c r="AY918" s="67">
        <v>2.9411764705882399</v>
      </c>
      <c r="AZ918" s="62">
        <v>0.20594059405940593</v>
      </c>
      <c r="BA918" s="62">
        <v>1.9801980198019802E-3</v>
      </c>
      <c r="BB918" s="77">
        <v>94.928300161308798</v>
      </c>
      <c r="BC918" s="49">
        <v>54.813359528487197</v>
      </c>
      <c r="BD918" s="87">
        <v>8</v>
      </c>
      <c r="BE918" s="87">
        <v>4</v>
      </c>
      <c r="BF918" s="87">
        <v>2.7</v>
      </c>
      <c r="BG918" s="87">
        <v>0</v>
      </c>
      <c r="BH918" s="87">
        <v>2.2000000000000002</v>
      </c>
      <c r="BI918" s="87">
        <v>0</v>
      </c>
      <c r="BJ918" s="49">
        <v>21</v>
      </c>
      <c r="BK918" s="126">
        <v>9721</v>
      </c>
      <c r="BL918" s="126">
        <v>49969</v>
      </c>
      <c r="BM918" s="126">
        <v>38905</v>
      </c>
      <c r="BN918" s="126">
        <v>38324</v>
      </c>
      <c r="BO918" s="59">
        <v>0</v>
      </c>
      <c r="BP918" s="59">
        <v>0.3911</v>
      </c>
      <c r="BQ918" s="59">
        <v>0.1542</v>
      </c>
      <c r="BR918" s="59">
        <v>0</v>
      </c>
      <c r="BS918" s="59">
        <v>0</v>
      </c>
      <c r="BT918" s="49">
        <v>13.2</v>
      </c>
      <c r="BU918" s="59">
        <f t="shared" si="68"/>
        <v>0.54530000000000001</v>
      </c>
      <c r="BV918" s="59">
        <v>4.41E-2</v>
      </c>
      <c r="BW918" s="59">
        <v>0</v>
      </c>
      <c r="BX918" s="59">
        <v>4.41E-2</v>
      </c>
      <c r="BY918" s="59">
        <v>0</v>
      </c>
      <c r="BZ918" s="59">
        <v>0</v>
      </c>
      <c r="CA918" s="49">
        <v>28.8</v>
      </c>
      <c r="CB918" s="59">
        <f t="shared" si="69"/>
        <v>8.8200000000000001E-2</v>
      </c>
      <c r="CC918" s="59">
        <v>0.3982</v>
      </c>
      <c r="CD918" s="59">
        <v>0.40350000000000003</v>
      </c>
      <c r="CE918" s="59">
        <v>0.1983</v>
      </c>
      <c r="CF918" s="59">
        <v>0</v>
      </c>
      <c r="CG918" s="59">
        <v>0</v>
      </c>
      <c r="CH918" s="49">
        <v>14.2</v>
      </c>
      <c r="CI918" s="26" t="s">
        <v>415</v>
      </c>
      <c r="CJ918" s="18" t="s">
        <v>489</v>
      </c>
      <c r="CK918" s="20"/>
    </row>
    <row r="919" spans="1:99" x14ac:dyDescent="0.25">
      <c r="A919" s="18" t="s">
        <v>489</v>
      </c>
      <c r="B919" s="19" t="s">
        <v>416</v>
      </c>
      <c r="C919" s="26" t="s">
        <v>417</v>
      </c>
      <c r="D919" s="6">
        <v>13</v>
      </c>
      <c r="E919" s="40" t="s">
        <v>83</v>
      </c>
      <c r="F919" s="6">
        <v>13</v>
      </c>
      <c r="G919" s="162" t="s">
        <v>83</v>
      </c>
      <c r="H919" s="162" t="s">
        <v>83</v>
      </c>
      <c r="I919" s="166">
        <v>0</v>
      </c>
      <c r="J919" s="166">
        <v>3</v>
      </c>
      <c r="K919" s="166">
        <v>4</v>
      </c>
      <c r="L919" s="166">
        <v>3</v>
      </c>
      <c r="M919" s="166">
        <v>3</v>
      </c>
      <c r="N919" s="119">
        <v>2.0280811232449299E-2</v>
      </c>
      <c r="O919" s="119">
        <v>2.0280811232449299E-2</v>
      </c>
      <c r="P919" s="116" t="s">
        <v>83</v>
      </c>
      <c r="Q919" s="116" t="s">
        <v>83</v>
      </c>
      <c r="R919" s="119">
        <v>0</v>
      </c>
      <c r="S919" s="119">
        <v>2.06896551724138E-2</v>
      </c>
      <c r="T919" s="119">
        <v>2.3809523809523801E-2</v>
      </c>
      <c r="U919" s="119">
        <v>1.6853932584269701E-2</v>
      </c>
      <c r="V919" s="119">
        <v>2.1276595744680899E-2</v>
      </c>
      <c r="W919" s="6">
        <v>612</v>
      </c>
      <c r="X919" s="40">
        <f t="shared" si="66"/>
        <v>612</v>
      </c>
      <c r="Y919" s="40">
        <f t="shared" si="67"/>
        <v>612</v>
      </c>
      <c r="Z919" s="59">
        <v>0.4869</v>
      </c>
      <c r="AA919" s="59">
        <v>0.5131</v>
      </c>
      <c r="AB919" s="61">
        <v>0</v>
      </c>
      <c r="AC919" s="61">
        <v>3.2679738562091504E-3</v>
      </c>
      <c r="AD919" s="61">
        <v>0.41666666666666669</v>
      </c>
      <c r="AE919" s="61">
        <v>2.1241830065359478E-2</v>
      </c>
      <c r="AF919" s="61">
        <v>0</v>
      </c>
      <c r="AG919" s="61">
        <v>0.55555555555555558</v>
      </c>
      <c r="AH919" s="61">
        <v>3.2679738562091504E-3</v>
      </c>
      <c r="AI919" s="61">
        <v>0.44444444444444442</v>
      </c>
      <c r="AJ919" s="59">
        <v>0.54600000000000004</v>
      </c>
      <c r="AK919" s="59">
        <v>4.8999999999999998E-3</v>
      </c>
      <c r="AL919" s="3">
        <v>0</v>
      </c>
      <c r="AM919" s="3">
        <v>0</v>
      </c>
      <c r="AN919" s="3">
        <v>8</v>
      </c>
      <c r="AO919" s="3">
        <v>136</v>
      </c>
      <c r="AP919" s="3">
        <v>159</v>
      </c>
      <c r="AQ919" s="3">
        <v>173</v>
      </c>
      <c r="AR919" s="3">
        <v>136</v>
      </c>
      <c r="AS919" s="59">
        <v>5.5555555555555552E-2</v>
      </c>
      <c r="AT919" s="3">
        <v>9</v>
      </c>
      <c r="AU919" s="3">
        <v>6</v>
      </c>
      <c r="AV919" s="49">
        <v>68.0911680911681</v>
      </c>
      <c r="AW919" s="49">
        <v>27.635327635327599</v>
      </c>
      <c r="AX919" s="49">
        <v>3.9886039886039901</v>
      </c>
      <c r="AY919" s="67">
        <v>0.28490028490028502</v>
      </c>
      <c r="AZ919" s="62">
        <v>9.7178683385579931E-2</v>
      </c>
      <c r="BA919" s="62">
        <v>0.18652037617554859</v>
      </c>
      <c r="BB919" s="78">
        <v>94.099621403082196</v>
      </c>
      <c r="BC919" s="49">
        <v>1.0971786833855799</v>
      </c>
      <c r="BD919" s="90" t="s">
        <v>83</v>
      </c>
      <c r="BE919" s="90" t="s">
        <v>83</v>
      </c>
      <c r="BF919" s="87">
        <v>2.2999999999999998</v>
      </c>
      <c r="BG919" s="87">
        <v>0.6</v>
      </c>
      <c r="BH919" s="87">
        <v>0</v>
      </c>
      <c r="BI919" s="87">
        <v>1.5</v>
      </c>
      <c r="BJ919" s="49">
        <v>21</v>
      </c>
      <c r="BK919" s="126">
        <v>14898</v>
      </c>
      <c r="BL919" s="126">
        <v>55067</v>
      </c>
      <c r="BM919" s="126">
        <v>58947</v>
      </c>
      <c r="BN919" s="126">
        <v>44734</v>
      </c>
      <c r="BO919" s="59">
        <v>0</v>
      </c>
      <c r="BP919" s="59">
        <v>0.26129999999999998</v>
      </c>
      <c r="BQ919" s="59">
        <v>0.1938</v>
      </c>
      <c r="BR919" s="59">
        <v>0</v>
      </c>
      <c r="BS919" s="59">
        <v>9.7000000000000003E-3</v>
      </c>
      <c r="BT919" s="49">
        <v>11.8</v>
      </c>
      <c r="BU919" s="59">
        <f t="shared" si="68"/>
        <v>0.46479999999999994</v>
      </c>
      <c r="BV919" s="59">
        <v>9.7000000000000003E-3</v>
      </c>
      <c r="BW919" s="59">
        <v>1.9400000000000001E-2</v>
      </c>
      <c r="BX919" s="59">
        <v>4.2299999999999997E-2</v>
      </c>
      <c r="BY919" s="59">
        <v>0</v>
      </c>
      <c r="BZ919" s="59">
        <v>0</v>
      </c>
      <c r="CA919" s="49">
        <v>12.7</v>
      </c>
      <c r="CB919" s="59">
        <f t="shared" si="69"/>
        <v>7.1399999999999991E-2</v>
      </c>
      <c r="CC919" s="59">
        <v>0.36720000000000003</v>
      </c>
      <c r="CD919" s="59">
        <v>0.33169999999999999</v>
      </c>
      <c r="CE919" s="59">
        <v>0.29139999999999999</v>
      </c>
      <c r="CF919" s="59">
        <v>0</v>
      </c>
      <c r="CG919" s="59">
        <v>9.7000000000000003E-3</v>
      </c>
      <c r="CH919" s="49">
        <v>13.1</v>
      </c>
      <c r="CI919" s="26" t="s">
        <v>417</v>
      </c>
      <c r="CJ919" s="18" t="s">
        <v>489</v>
      </c>
      <c r="CK919" s="20"/>
    </row>
    <row r="920" spans="1:99" x14ac:dyDescent="0.25">
      <c r="A920" s="18" t="s">
        <v>489</v>
      </c>
      <c r="B920" s="19" t="s">
        <v>418</v>
      </c>
      <c r="C920" s="26" t="s">
        <v>419</v>
      </c>
      <c r="D920" s="6">
        <v>0</v>
      </c>
      <c r="E920" s="6">
        <v>0</v>
      </c>
      <c r="F920" s="6">
        <v>0</v>
      </c>
      <c r="G920" s="166">
        <v>0</v>
      </c>
      <c r="H920" s="166">
        <v>0</v>
      </c>
      <c r="I920" s="162" t="s">
        <v>83</v>
      </c>
      <c r="J920" s="166">
        <v>0</v>
      </c>
      <c r="K920" s="166">
        <v>0</v>
      </c>
      <c r="L920" s="166">
        <v>0</v>
      </c>
      <c r="M920" s="166">
        <v>0</v>
      </c>
      <c r="N920" s="119">
        <v>0</v>
      </c>
      <c r="O920" s="119">
        <v>0</v>
      </c>
      <c r="P920" s="119">
        <v>0</v>
      </c>
      <c r="Q920" s="119">
        <v>0</v>
      </c>
      <c r="R920" s="116" t="s">
        <v>83</v>
      </c>
      <c r="S920" s="119">
        <v>0</v>
      </c>
      <c r="T920" s="119">
        <v>0</v>
      </c>
      <c r="U920" s="119">
        <v>0</v>
      </c>
      <c r="V920" s="119">
        <v>0</v>
      </c>
      <c r="W920" s="6">
        <v>257</v>
      </c>
      <c r="X920" s="40">
        <f t="shared" si="66"/>
        <v>74</v>
      </c>
      <c r="Y920" s="40">
        <f t="shared" si="67"/>
        <v>108</v>
      </c>
      <c r="Z920" s="59">
        <v>0.4864</v>
      </c>
      <c r="AA920" s="59">
        <v>0.51359999999999995</v>
      </c>
      <c r="AB920" s="61">
        <v>3.8910505836575876E-3</v>
      </c>
      <c r="AC920" s="61">
        <v>0</v>
      </c>
      <c r="AD920" s="61">
        <v>0.48249027237354086</v>
      </c>
      <c r="AE920" s="61">
        <v>2.7237354085603113E-2</v>
      </c>
      <c r="AF920" s="61">
        <v>0</v>
      </c>
      <c r="AG920" s="61">
        <v>0.47470817120622566</v>
      </c>
      <c r="AH920" s="61">
        <v>1.1673151750972763E-2</v>
      </c>
      <c r="AI920" s="61">
        <v>0.52529182879377434</v>
      </c>
      <c r="AJ920" s="59">
        <v>0.83299999999999996</v>
      </c>
      <c r="AK920" s="59">
        <v>0</v>
      </c>
      <c r="AL920" s="3">
        <v>18</v>
      </c>
      <c r="AM920" s="3">
        <v>16</v>
      </c>
      <c r="AN920" s="3">
        <v>0</v>
      </c>
      <c r="AO920" s="3">
        <v>16</v>
      </c>
      <c r="AP920" s="3">
        <v>19</v>
      </c>
      <c r="AQ920" s="3">
        <v>19</v>
      </c>
      <c r="AR920" s="3">
        <v>20</v>
      </c>
      <c r="AS920" s="59">
        <v>0</v>
      </c>
      <c r="AT920" s="3">
        <v>1</v>
      </c>
      <c r="AU920" s="3">
        <v>6</v>
      </c>
      <c r="AV920" s="49">
        <v>89.215686274509792</v>
      </c>
      <c r="AW920" s="49">
        <v>10.784313725490199</v>
      </c>
      <c r="AX920" s="49">
        <v>0</v>
      </c>
      <c r="AY920" s="67">
        <v>0</v>
      </c>
      <c r="AZ920" s="62">
        <v>0.16083916083916083</v>
      </c>
      <c r="BA920" s="62">
        <v>3.4965034965034968E-2</v>
      </c>
      <c r="BB920" s="77">
        <v>95.115815344663702</v>
      </c>
      <c r="BC920" s="49">
        <v>24.626865671641799</v>
      </c>
      <c r="BD920" s="87">
        <v>5.9</v>
      </c>
      <c r="BE920" s="87">
        <v>8.3000000000000007</v>
      </c>
      <c r="BF920" s="49">
        <v>0</v>
      </c>
      <c r="BG920" s="49">
        <v>0</v>
      </c>
      <c r="BH920" s="49">
        <v>0</v>
      </c>
      <c r="BI920" s="49">
        <v>0</v>
      </c>
      <c r="BJ920" s="49">
        <v>18.100000000000001</v>
      </c>
      <c r="BK920" s="126">
        <v>12123</v>
      </c>
      <c r="BL920" s="126">
        <v>48506</v>
      </c>
      <c r="BM920" s="126">
        <v>51943</v>
      </c>
      <c r="BN920" s="126">
        <v>33926</v>
      </c>
      <c r="BO920" s="59">
        <v>0</v>
      </c>
      <c r="BP920" s="59">
        <v>0.2802</v>
      </c>
      <c r="BQ920" s="59">
        <v>0.14299999999999999</v>
      </c>
      <c r="BR920" s="59">
        <v>0</v>
      </c>
      <c r="BS920" s="59">
        <v>0</v>
      </c>
      <c r="BT920" s="49">
        <v>14.8</v>
      </c>
      <c r="BU920" s="59">
        <f t="shared" si="68"/>
        <v>0.42320000000000002</v>
      </c>
      <c r="BV920" s="59">
        <v>2.3400000000000001E-2</v>
      </c>
      <c r="BW920" s="59">
        <v>8.9999999999999998E-4</v>
      </c>
      <c r="BX920" s="59">
        <v>4.0800000000000003E-2</v>
      </c>
      <c r="BY920" s="59">
        <v>0</v>
      </c>
      <c r="BZ920" s="59">
        <v>0</v>
      </c>
      <c r="CA920" s="49">
        <v>12.6</v>
      </c>
      <c r="CB920" s="59">
        <f t="shared" si="69"/>
        <v>6.5100000000000005E-2</v>
      </c>
      <c r="CC920" s="59">
        <v>0.48880000000000001</v>
      </c>
      <c r="CD920" s="59">
        <v>0.30459999999999998</v>
      </c>
      <c r="CE920" s="59">
        <v>0.20660000000000001</v>
      </c>
      <c r="CF920" s="59">
        <v>0</v>
      </c>
      <c r="CG920" s="59">
        <v>0</v>
      </c>
      <c r="CH920" s="49">
        <v>14.3</v>
      </c>
      <c r="CI920" s="26" t="s">
        <v>419</v>
      </c>
      <c r="CJ920" s="18" t="s">
        <v>489</v>
      </c>
      <c r="CK920" s="20"/>
    </row>
    <row r="921" spans="1:99" x14ac:dyDescent="0.25">
      <c r="A921" s="18" t="s">
        <v>489</v>
      </c>
      <c r="B921" s="19" t="s">
        <v>418</v>
      </c>
      <c r="C921" s="26" t="s">
        <v>420</v>
      </c>
      <c r="D921" s="6">
        <v>0</v>
      </c>
      <c r="E921" s="6">
        <v>0</v>
      </c>
      <c r="F921" s="6">
        <v>0</v>
      </c>
      <c r="G921" s="166">
        <v>0</v>
      </c>
      <c r="H921" s="166">
        <v>0</v>
      </c>
      <c r="I921" s="162" t="s">
        <v>83</v>
      </c>
      <c r="J921" s="166">
        <v>0</v>
      </c>
      <c r="K921" s="166">
        <v>0</v>
      </c>
      <c r="L921" s="166">
        <v>0</v>
      </c>
      <c r="M921" s="166">
        <v>0</v>
      </c>
      <c r="N921" s="119">
        <v>0</v>
      </c>
      <c r="O921" s="119">
        <v>0</v>
      </c>
      <c r="P921" s="119">
        <v>0</v>
      </c>
      <c r="Q921" s="119">
        <v>0</v>
      </c>
      <c r="R921" s="116" t="s">
        <v>83</v>
      </c>
      <c r="S921" s="119">
        <v>0</v>
      </c>
      <c r="T921" s="119">
        <v>0</v>
      </c>
      <c r="U921" s="119">
        <v>0</v>
      </c>
      <c r="V921" s="119">
        <v>0</v>
      </c>
      <c r="W921" s="6">
        <v>297</v>
      </c>
      <c r="X921" s="40">
        <f t="shared" si="66"/>
        <v>87</v>
      </c>
      <c r="Y921" s="40">
        <f t="shared" si="67"/>
        <v>134</v>
      </c>
      <c r="Z921" s="59">
        <v>0.52859999999999996</v>
      </c>
      <c r="AA921" s="59">
        <v>0.47139999999999999</v>
      </c>
      <c r="AB921" s="61">
        <v>0</v>
      </c>
      <c r="AC921" s="61">
        <v>0</v>
      </c>
      <c r="AD921" s="61">
        <v>0.12794612794612795</v>
      </c>
      <c r="AE921" s="61">
        <v>3.7037037037037035E-2</v>
      </c>
      <c r="AF921" s="61">
        <v>0</v>
      </c>
      <c r="AG921" s="61">
        <v>0.82491582491582494</v>
      </c>
      <c r="AH921" s="61">
        <v>1.0101010101010102E-2</v>
      </c>
      <c r="AI921" s="61">
        <v>0.17508417508417509</v>
      </c>
      <c r="AJ921" s="59">
        <v>0.60299999999999998</v>
      </c>
      <c r="AK921" s="59">
        <v>0</v>
      </c>
      <c r="AL921" s="3">
        <v>19</v>
      </c>
      <c r="AM921" s="3">
        <v>28</v>
      </c>
      <c r="AN921" s="3">
        <v>0</v>
      </c>
      <c r="AO921" s="3">
        <v>20</v>
      </c>
      <c r="AP921" s="3">
        <v>24</v>
      </c>
      <c r="AQ921" s="3">
        <v>24</v>
      </c>
      <c r="AR921" s="3">
        <v>19</v>
      </c>
      <c r="AS921" s="59">
        <v>0</v>
      </c>
      <c r="AT921" s="3">
        <v>1</v>
      </c>
      <c r="AU921" s="3">
        <v>6</v>
      </c>
      <c r="AV921" s="49">
        <v>70.344827586206904</v>
      </c>
      <c r="AW921" s="49">
        <v>25.517241379310303</v>
      </c>
      <c r="AX921" s="49">
        <v>4.1379310344827598</v>
      </c>
      <c r="AY921" s="67">
        <v>0</v>
      </c>
      <c r="AZ921" s="62">
        <v>3.0864197530864196E-3</v>
      </c>
      <c r="BA921" s="62">
        <v>1.8518518518518517E-2</v>
      </c>
      <c r="BB921" s="78">
        <v>91.721703709562604</v>
      </c>
      <c r="BC921" s="49">
        <v>45.394736842105303</v>
      </c>
      <c r="BD921" s="49">
        <v>0</v>
      </c>
      <c r="BE921" s="49">
        <v>0</v>
      </c>
      <c r="BF921" s="49">
        <v>0</v>
      </c>
      <c r="BG921" s="49">
        <v>0</v>
      </c>
      <c r="BH921" s="49">
        <v>0</v>
      </c>
      <c r="BI921" s="49">
        <v>0</v>
      </c>
      <c r="BJ921" s="49">
        <v>20.2</v>
      </c>
      <c r="BK921" s="126">
        <v>10565</v>
      </c>
      <c r="BL921" s="126">
        <v>48678</v>
      </c>
      <c r="BM921" s="126">
        <v>51423</v>
      </c>
      <c r="BN921" s="126">
        <v>34729</v>
      </c>
      <c r="BO921" s="59">
        <v>0</v>
      </c>
      <c r="BP921" s="59">
        <v>0.34749999999999998</v>
      </c>
      <c r="BQ921" s="59">
        <v>8.6499999999999994E-2</v>
      </c>
      <c r="BR921" s="59">
        <v>0</v>
      </c>
      <c r="BS921" s="59">
        <v>0</v>
      </c>
      <c r="BT921" s="49">
        <v>16.600000000000001</v>
      </c>
      <c r="BU921" s="59">
        <f t="shared" si="68"/>
        <v>0.43399999999999994</v>
      </c>
      <c r="BV921" s="59">
        <v>2.4899999999999999E-2</v>
      </c>
      <c r="BW921" s="59">
        <v>0</v>
      </c>
      <c r="BX921" s="59">
        <v>2.2800000000000001E-2</v>
      </c>
      <c r="BY921" s="59">
        <v>2.4899999999999999E-2</v>
      </c>
      <c r="BZ921" s="59">
        <v>0</v>
      </c>
      <c r="CA921" s="49">
        <v>18.2</v>
      </c>
      <c r="CB921" s="59">
        <f t="shared" si="69"/>
        <v>7.2599999999999998E-2</v>
      </c>
      <c r="CC921" s="59">
        <v>0.46650000000000003</v>
      </c>
      <c r="CD921" s="59">
        <v>0.37240000000000001</v>
      </c>
      <c r="CE921" s="59">
        <v>0.13619999999999999</v>
      </c>
      <c r="CF921" s="59">
        <v>2.4899999999999999E-2</v>
      </c>
      <c r="CG921" s="59">
        <v>0</v>
      </c>
      <c r="CH921" s="49">
        <v>14.9</v>
      </c>
      <c r="CI921" s="26" t="s">
        <v>420</v>
      </c>
      <c r="CJ921" s="18" t="s">
        <v>489</v>
      </c>
      <c r="CK921" s="20"/>
    </row>
    <row r="922" spans="1:99" x14ac:dyDescent="0.25">
      <c r="A922" s="18" t="s">
        <v>489</v>
      </c>
      <c r="B922" s="19" t="s">
        <v>418</v>
      </c>
      <c r="C922" s="26" t="s">
        <v>421</v>
      </c>
      <c r="D922" s="6">
        <v>7</v>
      </c>
      <c r="E922" s="6">
        <v>1</v>
      </c>
      <c r="F922" s="6">
        <v>6</v>
      </c>
      <c r="G922" s="166">
        <v>0</v>
      </c>
      <c r="H922" s="166">
        <v>1</v>
      </c>
      <c r="I922" s="162" t="s">
        <v>83</v>
      </c>
      <c r="J922" s="166">
        <v>1</v>
      </c>
      <c r="K922" s="166">
        <v>2</v>
      </c>
      <c r="L922" s="166">
        <v>2</v>
      </c>
      <c r="M922" s="166">
        <v>1</v>
      </c>
      <c r="N922" s="119">
        <v>4.11764705882353E-2</v>
      </c>
      <c r="O922" s="119">
        <v>5.4545454545454501E-2</v>
      </c>
      <c r="P922" s="119">
        <v>0</v>
      </c>
      <c r="Q922" s="119">
        <v>3.4482758620689703E-2</v>
      </c>
      <c r="R922" s="116" t="s">
        <v>83</v>
      </c>
      <c r="S922" s="119">
        <v>0.04</v>
      </c>
      <c r="T922" s="119">
        <v>5.8823529411764698E-2</v>
      </c>
      <c r="U922" s="119">
        <v>7.69230769230769E-2</v>
      </c>
      <c r="V922" s="119">
        <v>0.04</v>
      </c>
      <c r="W922" s="6">
        <v>359</v>
      </c>
      <c r="X922" s="40">
        <f t="shared" si="66"/>
        <v>105</v>
      </c>
      <c r="Y922" s="40">
        <f t="shared" si="67"/>
        <v>161</v>
      </c>
      <c r="Z922" s="59">
        <v>0.5181</v>
      </c>
      <c r="AA922" s="59">
        <v>0.4819</v>
      </c>
      <c r="AB922" s="61">
        <v>5.5710306406685237E-3</v>
      </c>
      <c r="AC922" s="61">
        <v>0</v>
      </c>
      <c r="AD922" s="61">
        <v>6.4066852367688026E-2</v>
      </c>
      <c r="AE922" s="61">
        <v>2.5069637883008356E-2</v>
      </c>
      <c r="AF922" s="61">
        <v>0</v>
      </c>
      <c r="AG922" s="61">
        <v>0.89136490250696376</v>
      </c>
      <c r="AH922" s="61">
        <v>1.3927576601671309E-2</v>
      </c>
      <c r="AI922" s="61">
        <v>0.10863509749303621</v>
      </c>
      <c r="AJ922" s="59">
        <v>0.72699999999999998</v>
      </c>
      <c r="AK922" s="59">
        <v>8.3999999999999995E-3</v>
      </c>
      <c r="AL922" s="3">
        <v>28</v>
      </c>
      <c r="AM922" s="3">
        <v>28</v>
      </c>
      <c r="AN922" s="3">
        <v>0</v>
      </c>
      <c r="AO922" s="3">
        <v>24</v>
      </c>
      <c r="AP922" s="3">
        <v>32</v>
      </c>
      <c r="AQ922" s="3">
        <v>24</v>
      </c>
      <c r="AR922" s="3">
        <v>25</v>
      </c>
      <c r="AS922" s="59">
        <v>0</v>
      </c>
      <c r="AT922" s="3">
        <v>1</v>
      </c>
      <c r="AU922" s="3">
        <v>6</v>
      </c>
      <c r="AV922" s="49">
        <v>62.195121951219498</v>
      </c>
      <c r="AW922" s="49">
        <v>21.951219512195099</v>
      </c>
      <c r="AX922" s="49">
        <v>15.853658536585399</v>
      </c>
      <c r="AY922" s="67">
        <v>0</v>
      </c>
      <c r="AZ922" s="62">
        <v>0.11838790931989925</v>
      </c>
      <c r="BA922" s="62">
        <v>8.8161209068010074E-2</v>
      </c>
      <c r="BB922" s="77">
        <v>91.701421326571506</v>
      </c>
      <c r="BC922" s="49">
        <v>43.007915567282303</v>
      </c>
      <c r="BD922" s="49">
        <v>0</v>
      </c>
      <c r="BE922" s="49">
        <v>0</v>
      </c>
      <c r="BF922" s="49">
        <v>0</v>
      </c>
      <c r="BG922" s="49">
        <v>0</v>
      </c>
      <c r="BH922" s="49">
        <v>0</v>
      </c>
      <c r="BI922" s="49">
        <v>0</v>
      </c>
      <c r="BJ922" s="49">
        <v>20.6</v>
      </c>
      <c r="BK922" s="126">
        <v>10266</v>
      </c>
      <c r="BL922" s="126">
        <v>45305</v>
      </c>
      <c r="BM922" s="126">
        <v>35951</v>
      </c>
      <c r="BN922" s="126">
        <v>32789</v>
      </c>
      <c r="BO922" s="59">
        <v>0</v>
      </c>
      <c r="BP922" s="59">
        <v>0.39340000000000003</v>
      </c>
      <c r="BQ922" s="59">
        <v>6.4100000000000004E-2</v>
      </c>
      <c r="BR922" s="59">
        <v>0</v>
      </c>
      <c r="BS922" s="59">
        <v>0</v>
      </c>
      <c r="BT922" s="49">
        <v>12.8</v>
      </c>
      <c r="BU922" s="59">
        <f t="shared" si="68"/>
        <v>0.45750000000000002</v>
      </c>
      <c r="BV922" s="59">
        <v>2.1399999999999999E-2</v>
      </c>
      <c r="BW922" s="59">
        <v>0</v>
      </c>
      <c r="BX922" s="59">
        <v>4.2700000000000002E-2</v>
      </c>
      <c r="BY922" s="59">
        <v>0</v>
      </c>
      <c r="BZ922" s="59">
        <v>0</v>
      </c>
      <c r="CA922" s="49">
        <v>20</v>
      </c>
      <c r="CB922" s="59">
        <f t="shared" si="69"/>
        <v>6.4100000000000004E-2</v>
      </c>
      <c r="CC922" s="59">
        <v>0.43730000000000002</v>
      </c>
      <c r="CD922" s="59">
        <v>0.4133</v>
      </c>
      <c r="CE922" s="59">
        <v>0.14949999999999999</v>
      </c>
      <c r="CF922" s="59">
        <v>0</v>
      </c>
      <c r="CG922" s="59">
        <v>0</v>
      </c>
      <c r="CH922" s="49">
        <v>13.4</v>
      </c>
      <c r="CI922" s="26" t="s">
        <v>421</v>
      </c>
      <c r="CJ922" s="18" t="s">
        <v>489</v>
      </c>
      <c r="CK922" s="20"/>
    </row>
    <row r="923" spans="1:99" ht="15.75" thickBot="1" x14ac:dyDescent="0.3">
      <c r="A923" s="18" t="s">
        <v>489</v>
      </c>
      <c r="B923" s="19" t="s">
        <v>418</v>
      </c>
      <c r="C923" s="26" t="s">
        <v>422</v>
      </c>
      <c r="D923" s="6">
        <v>13</v>
      </c>
      <c r="E923" s="40" t="s">
        <v>83</v>
      </c>
      <c r="F923" s="6">
        <v>13</v>
      </c>
      <c r="G923" s="162" t="s">
        <v>83</v>
      </c>
      <c r="H923" s="162" t="s">
        <v>83</v>
      </c>
      <c r="I923" s="166">
        <v>0</v>
      </c>
      <c r="J923" s="166">
        <v>2</v>
      </c>
      <c r="K923" s="166">
        <v>5</v>
      </c>
      <c r="L923" s="166">
        <v>3</v>
      </c>
      <c r="M923" s="166">
        <v>3</v>
      </c>
      <c r="N923" s="119">
        <v>2.87610619469027E-2</v>
      </c>
      <c r="O923" s="119">
        <v>2.87610619469027E-2</v>
      </c>
      <c r="P923" s="116" t="s">
        <v>83</v>
      </c>
      <c r="Q923" s="116" t="s">
        <v>83</v>
      </c>
      <c r="R923" s="119">
        <v>0</v>
      </c>
      <c r="S923" s="119">
        <v>2.1052631578947399E-2</v>
      </c>
      <c r="T923" s="119">
        <v>4.6296296296296301E-2</v>
      </c>
      <c r="U923" s="119">
        <v>2.6548672566371698E-2</v>
      </c>
      <c r="V923" s="119">
        <v>2.8846153846153799E-2</v>
      </c>
      <c r="W923" s="6">
        <v>408</v>
      </c>
      <c r="X923" s="40">
        <f t="shared" si="66"/>
        <v>408</v>
      </c>
      <c r="Y923" s="40">
        <f t="shared" si="67"/>
        <v>408</v>
      </c>
      <c r="Z923" s="59">
        <v>0.52449999999999997</v>
      </c>
      <c r="AA923" s="59">
        <v>0.47549999999999998</v>
      </c>
      <c r="AB923" s="61">
        <v>2.4509803921568627E-3</v>
      </c>
      <c r="AC923" s="61">
        <v>2.4509803921568627E-3</v>
      </c>
      <c r="AD923" s="61">
        <v>0.45098039215686275</v>
      </c>
      <c r="AE923" s="61">
        <v>1.7156862745098041E-2</v>
      </c>
      <c r="AF923" s="61">
        <v>0</v>
      </c>
      <c r="AG923" s="61">
        <v>0.52696078431372551</v>
      </c>
      <c r="AH923" s="61">
        <v>0</v>
      </c>
      <c r="AI923" s="61">
        <v>0.47303921568627449</v>
      </c>
      <c r="AJ923" s="59">
        <v>0.66200000000000003</v>
      </c>
      <c r="AK923" s="59">
        <v>2.5000000000000001E-3</v>
      </c>
      <c r="AL923" s="3">
        <v>0</v>
      </c>
      <c r="AM923" s="3">
        <v>0</v>
      </c>
      <c r="AN923" s="3">
        <v>32</v>
      </c>
      <c r="AO923" s="3">
        <v>78</v>
      </c>
      <c r="AP923" s="3">
        <v>96</v>
      </c>
      <c r="AQ923" s="3">
        <v>103</v>
      </c>
      <c r="AR923" s="3">
        <v>99</v>
      </c>
      <c r="AS923" s="59">
        <v>0.29090909090909089</v>
      </c>
      <c r="AT923" s="3">
        <v>9</v>
      </c>
      <c r="AU923" s="3">
        <v>6</v>
      </c>
      <c r="AV923" s="49">
        <v>70.588235294117695</v>
      </c>
      <c r="AW923" s="49">
        <v>19.117647058823501</v>
      </c>
      <c r="AX923" s="49">
        <v>8.3333333333333304</v>
      </c>
      <c r="AY923" s="67">
        <v>1.9607843137254901</v>
      </c>
      <c r="AZ923" s="62">
        <v>0.12527964205816555</v>
      </c>
      <c r="BA923" s="62">
        <v>0.16107382550335569</v>
      </c>
      <c r="BB923" s="78">
        <v>91.033929191252994</v>
      </c>
      <c r="BC923" s="49">
        <v>40.268456375838902</v>
      </c>
      <c r="BD923" s="90" t="s">
        <v>83</v>
      </c>
      <c r="BE923" s="90" t="s">
        <v>83</v>
      </c>
      <c r="BF923" s="87">
        <v>2.4</v>
      </c>
      <c r="BG923" s="87">
        <v>1.1000000000000001</v>
      </c>
      <c r="BH923" s="87">
        <v>4.0999999999999996</v>
      </c>
      <c r="BI923" s="87">
        <v>0</v>
      </c>
      <c r="BJ923" s="49">
        <v>19.5</v>
      </c>
      <c r="BK923" s="126">
        <v>10775</v>
      </c>
      <c r="BL923" s="126">
        <v>48249</v>
      </c>
      <c r="BM923" s="126">
        <v>34135</v>
      </c>
      <c r="BN923" s="126">
        <v>39074</v>
      </c>
      <c r="BO923" s="59">
        <v>0</v>
      </c>
      <c r="BP923" s="59">
        <v>0.44679999999999997</v>
      </c>
      <c r="BQ923" s="59">
        <v>0.16800000000000001</v>
      </c>
      <c r="BR923" s="59">
        <v>0</v>
      </c>
      <c r="BS923" s="59">
        <v>0</v>
      </c>
      <c r="BT923" s="49">
        <v>14.5</v>
      </c>
      <c r="BU923" s="59">
        <f t="shared" si="68"/>
        <v>0.61480000000000001</v>
      </c>
      <c r="BV923" s="59">
        <v>4.4200000000000003E-2</v>
      </c>
      <c r="BW923" s="59">
        <v>0</v>
      </c>
      <c r="BX923" s="59">
        <v>2.0799999999999999E-2</v>
      </c>
      <c r="BY923" s="59">
        <v>0</v>
      </c>
      <c r="BZ923" s="59">
        <v>2.2100000000000002E-2</v>
      </c>
      <c r="CA923" s="49">
        <v>29.3</v>
      </c>
      <c r="CB923" s="59">
        <f t="shared" si="69"/>
        <v>8.7100000000000011E-2</v>
      </c>
      <c r="CC923" s="59">
        <v>0.28199999999999997</v>
      </c>
      <c r="CD923" s="59">
        <v>0.48370000000000002</v>
      </c>
      <c r="CE923" s="59">
        <v>0.19009999999999999</v>
      </c>
      <c r="CF923" s="59">
        <v>0</v>
      </c>
      <c r="CG923" s="59">
        <v>4.4200000000000003E-2</v>
      </c>
      <c r="CH923" s="49">
        <v>15.2</v>
      </c>
      <c r="CI923" s="26" t="s">
        <v>422</v>
      </c>
      <c r="CJ923" s="18" t="s">
        <v>489</v>
      </c>
      <c r="CK923" s="20"/>
    </row>
    <row r="924" spans="1:99" s="1" customFormat="1" ht="21" customHeight="1" x14ac:dyDescent="0.25">
      <c r="A924" s="21" t="s">
        <v>0</v>
      </c>
      <c r="B924" s="22" t="s">
        <v>1</v>
      </c>
      <c r="C924" s="22" t="s">
        <v>2</v>
      </c>
      <c r="D924" s="9" t="s">
        <v>3</v>
      </c>
      <c r="E924" s="9" t="s">
        <v>4</v>
      </c>
      <c r="F924" s="9" t="s">
        <v>5</v>
      </c>
      <c r="G924" s="161" t="s">
        <v>565</v>
      </c>
      <c r="H924" s="161" t="s">
        <v>566</v>
      </c>
      <c r="I924" s="161" t="s">
        <v>567</v>
      </c>
      <c r="J924" s="161" t="s">
        <v>568</v>
      </c>
      <c r="K924" s="161" t="s">
        <v>569</v>
      </c>
      <c r="L924" s="161" t="s">
        <v>570</v>
      </c>
      <c r="M924" s="161" t="s">
        <v>571</v>
      </c>
      <c r="N924" s="120" t="s">
        <v>6</v>
      </c>
      <c r="O924" s="120" t="s">
        <v>7</v>
      </c>
      <c r="P924" s="120" t="s">
        <v>8</v>
      </c>
      <c r="Q924" s="120" t="s">
        <v>9</v>
      </c>
      <c r="R924" s="120" t="s">
        <v>10</v>
      </c>
      <c r="S924" s="120" t="s">
        <v>11</v>
      </c>
      <c r="T924" s="120" t="s">
        <v>12</v>
      </c>
      <c r="U924" s="120" t="s">
        <v>13</v>
      </c>
      <c r="V924" s="120" t="s">
        <v>14</v>
      </c>
      <c r="W924" s="41" t="s">
        <v>15</v>
      </c>
      <c r="X924" s="41" t="s">
        <v>16</v>
      </c>
      <c r="Y924" s="41" t="s">
        <v>17</v>
      </c>
      <c r="Z924" s="107" t="s">
        <v>18</v>
      </c>
      <c r="AA924" s="107" t="s">
        <v>19</v>
      </c>
      <c r="AB924" s="95" t="s">
        <v>20</v>
      </c>
      <c r="AC924" s="95" t="s">
        <v>21</v>
      </c>
      <c r="AD924" s="95" t="s">
        <v>22</v>
      </c>
      <c r="AE924" s="95" t="s">
        <v>23</v>
      </c>
      <c r="AF924" s="95" t="s">
        <v>24</v>
      </c>
      <c r="AG924" s="95" t="s">
        <v>25</v>
      </c>
      <c r="AH924" s="95" t="s">
        <v>26</v>
      </c>
      <c r="AI924" s="95" t="s">
        <v>27</v>
      </c>
      <c r="AJ924" s="95" t="s">
        <v>28</v>
      </c>
      <c r="AK924" s="107" t="s">
        <v>29</v>
      </c>
      <c r="AL924" s="42" t="s">
        <v>30</v>
      </c>
      <c r="AM924" s="42" t="s">
        <v>31</v>
      </c>
      <c r="AN924" s="42" t="s">
        <v>32</v>
      </c>
      <c r="AO924" s="42" t="s">
        <v>33</v>
      </c>
      <c r="AP924" s="42" t="s">
        <v>34</v>
      </c>
      <c r="AQ924" s="42" t="s">
        <v>35</v>
      </c>
      <c r="AR924" s="42" t="s">
        <v>36</v>
      </c>
      <c r="AS924" s="100" t="s">
        <v>37</v>
      </c>
      <c r="AT924" s="41" t="s">
        <v>38</v>
      </c>
      <c r="AU924" s="23" t="s">
        <v>39</v>
      </c>
      <c r="AV924" s="51" t="s">
        <v>40</v>
      </c>
      <c r="AW924" s="51" t="s">
        <v>41</v>
      </c>
      <c r="AX924" s="51" t="s">
        <v>42</v>
      </c>
      <c r="AY924" s="66" t="s">
        <v>43</v>
      </c>
      <c r="AZ924" s="58" t="s">
        <v>44</v>
      </c>
      <c r="BA924" s="58" t="s">
        <v>45</v>
      </c>
      <c r="BB924" s="75" t="s">
        <v>46</v>
      </c>
      <c r="BC924" s="83" t="s">
        <v>47</v>
      </c>
      <c r="BD924" s="89" t="s">
        <v>48</v>
      </c>
      <c r="BE924" s="89" t="s">
        <v>49</v>
      </c>
      <c r="BF924" s="89" t="s">
        <v>50</v>
      </c>
      <c r="BG924" s="89" t="s">
        <v>51</v>
      </c>
      <c r="BH924" s="89" t="s">
        <v>52</v>
      </c>
      <c r="BI924" s="89" t="s">
        <v>53</v>
      </c>
      <c r="BJ924" s="86" t="s">
        <v>54</v>
      </c>
      <c r="BK924" s="123" t="s">
        <v>55</v>
      </c>
      <c r="BL924" s="123" t="s">
        <v>56</v>
      </c>
      <c r="BM924" s="123" t="s">
        <v>57</v>
      </c>
      <c r="BN924" s="123" t="s">
        <v>58</v>
      </c>
      <c r="BO924" s="131" t="s">
        <v>59</v>
      </c>
      <c r="BP924" s="131" t="s">
        <v>60</v>
      </c>
      <c r="BQ924" s="131" t="s">
        <v>61</v>
      </c>
      <c r="BR924" s="131" t="s">
        <v>62</v>
      </c>
      <c r="BS924" s="131" t="s">
        <v>63</v>
      </c>
      <c r="BT924" s="131" t="s">
        <v>64</v>
      </c>
      <c r="BU924" s="131" t="s">
        <v>65</v>
      </c>
      <c r="BV924" s="132" t="s">
        <v>66</v>
      </c>
      <c r="BW924" s="132" t="s">
        <v>67</v>
      </c>
      <c r="BX924" s="132" t="s">
        <v>68</v>
      </c>
      <c r="BY924" s="132" t="s">
        <v>69</v>
      </c>
      <c r="BZ924" s="132" t="s">
        <v>70</v>
      </c>
      <c r="CA924" s="132" t="s">
        <v>71</v>
      </c>
      <c r="CB924" s="132" t="s">
        <v>72</v>
      </c>
      <c r="CC924" s="123" t="s">
        <v>73</v>
      </c>
      <c r="CD924" s="123" t="s">
        <v>74</v>
      </c>
      <c r="CE924" s="123" t="s">
        <v>75</v>
      </c>
      <c r="CF924" s="123" t="s">
        <v>76</v>
      </c>
      <c r="CG924" s="123" t="s">
        <v>77</v>
      </c>
      <c r="CH924" s="123" t="s">
        <v>78</v>
      </c>
      <c r="CI924" s="22" t="s">
        <v>2</v>
      </c>
      <c r="CJ924" s="21" t="s">
        <v>0</v>
      </c>
      <c r="CK924" s="24" t="s">
        <v>79</v>
      </c>
      <c r="CL924"/>
      <c r="CM924"/>
      <c r="CN924"/>
      <c r="CO924"/>
      <c r="CP924"/>
      <c r="CQ924"/>
      <c r="CR924"/>
      <c r="CS924"/>
      <c r="CT924"/>
      <c r="CU924"/>
    </row>
    <row r="925" spans="1:99" x14ac:dyDescent="0.25">
      <c r="A925" s="18" t="s">
        <v>489</v>
      </c>
      <c r="B925" s="19" t="s">
        <v>483</v>
      </c>
      <c r="C925" s="26" t="s">
        <v>424</v>
      </c>
      <c r="D925" s="6">
        <v>15</v>
      </c>
      <c r="E925" s="40" t="s">
        <v>83</v>
      </c>
      <c r="F925" s="6">
        <v>15</v>
      </c>
      <c r="G925" s="162" t="s">
        <v>83</v>
      </c>
      <c r="H925" s="162" t="s">
        <v>83</v>
      </c>
      <c r="I925" s="166">
        <v>0</v>
      </c>
      <c r="J925" s="166">
        <v>5</v>
      </c>
      <c r="K925" s="166">
        <v>4</v>
      </c>
      <c r="L925" s="166">
        <v>0</v>
      </c>
      <c r="M925" s="166">
        <v>6</v>
      </c>
      <c r="N925" s="119">
        <v>2.4916943521594698E-2</v>
      </c>
      <c r="O925" s="119">
        <v>2.4916943521594698E-2</v>
      </c>
      <c r="P925" s="116" t="s">
        <v>83</v>
      </c>
      <c r="Q925" s="116" t="s">
        <v>83</v>
      </c>
      <c r="R925" s="119">
        <v>0</v>
      </c>
      <c r="S925" s="119">
        <v>1.8382352941176499E-2</v>
      </c>
      <c r="T925" s="119">
        <v>3.0534351145038201E-2</v>
      </c>
      <c r="U925" s="119">
        <v>0</v>
      </c>
      <c r="V925" s="119">
        <v>5.5555555555555601E-2</v>
      </c>
      <c r="W925" s="6">
        <v>533</v>
      </c>
      <c r="X925" s="40">
        <f t="shared" si="66"/>
        <v>533</v>
      </c>
      <c r="Y925" s="40">
        <f t="shared" si="67"/>
        <v>533</v>
      </c>
      <c r="Z925" s="59">
        <v>0.51219999999999999</v>
      </c>
      <c r="AA925" s="59">
        <v>0.48780000000000001</v>
      </c>
      <c r="AB925" s="61">
        <v>0</v>
      </c>
      <c r="AC925" s="61">
        <v>0</v>
      </c>
      <c r="AD925" s="61">
        <v>0.99437148217636018</v>
      </c>
      <c r="AE925" s="61">
        <v>1.876172607879925E-3</v>
      </c>
      <c r="AF925" s="61">
        <v>0</v>
      </c>
      <c r="AG925" s="61">
        <v>1.876172607879925E-3</v>
      </c>
      <c r="AH925" s="61">
        <v>1.876172607879925E-3</v>
      </c>
      <c r="AI925" s="61">
        <v>0.99812382739212002</v>
      </c>
      <c r="AJ925" s="59">
        <v>0.92500000000000004</v>
      </c>
      <c r="AK925" s="59">
        <v>0</v>
      </c>
      <c r="AL925" s="3">
        <v>0</v>
      </c>
      <c r="AM925" s="3">
        <v>0</v>
      </c>
      <c r="AN925" s="3">
        <v>3</v>
      </c>
      <c r="AO925" s="3">
        <v>237</v>
      </c>
      <c r="AP925" s="3">
        <v>112</v>
      </c>
      <c r="AQ925" s="3">
        <v>80</v>
      </c>
      <c r="AR925" s="3">
        <v>101</v>
      </c>
      <c r="AS925" s="59">
        <v>1.2500000000000001E-2</v>
      </c>
      <c r="AT925" s="3">
        <v>9</v>
      </c>
      <c r="AU925" s="3">
        <v>6</v>
      </c>
      <c r="AV925" s="49">
        <v>59.274193548387103</v>
      </c>
      <c r="AW925" s="49">
        <v>26.209677419354797</v>
      </c>
      <c r="AX925" s="49">
        <v>13.709677419354799</v>
      </c>
      <c r="AY925" s="67">
        <v>0.80645161290322598</v>
      </c>
      <c r="AZ925" s="62">
        <v>4.6744574290484141E-2</v>
      </c>
      <c r="BA925" s="62">
        <v>0.35225375626043404</v>
      </c>
      <c r="BB925" s="77">
        <v>89.011459542294403</v>
      </c>
      <c r="BC925" s="49">
        <v>51.747088186356102</v>
      </c>
      <c r="BD925" s="90" t="s">
        <v>83</v>
      </c>
      <c r="BE925" s="90" t="s">
        <v>83</v>
      </c>
      <c r="BF925" s="87">
        <v>30.5</v>
      </c>
      <c r="BG925" s="87">
        <v>8.4</v>
      </c>
      <c r="BH925" s="87">
        <v>0</v>
      </c>
      <c r="BI925" s="87">
        <v>1</v>
      </c>
      <c r="BJ925" s="49">
        <v>16.8</v>
      </c>
      <c r="BK925" s="126">
        <v>13126</v>
      </c>
      <c r="BL925" s="126">
        <v>54002</v>
      </c>
      <c r="BM925" s="126">
        <v>57599</v>
      </c>
      <c r="BN925" s="126">
        <v>42324</v>
      </c>
      <c r="BO925" s="59">
        <v>0</v>
      </c>
      <c r="BP925" s="59">
        <v>0.24679999999999999</v>
      </c>
      <c r="BQ925" s="59">
        <v>0.2331</v>
      </c>
      <c r="BR925" s="59">
        <v>0</v>
      </c>
      <c r="BS925" s="59">
        <v>1.5800000000000002E-2</v>
      </c>
      <c r="BT925" s="49">
        <v>12.9</v>
      </c>
      <c r="BU925" s="59">
        <f t="shared" si="68"/>
        <v>0.49569999999999997</v>
      </c>
      <c r="BV925" s="59">
        <v>3.85E-2</v>
      </c>
      <c r="BW925" s="59">
        <v>8.0000000000000004E-4</v>
      </c>
      <c r="BX925" s="59">
        <v>3.7600000000000001E-2</v>
      </c>
      <c r="BY925" s="59">
        <v>0</v>
      </c>
      <c r="BZ925" s="59">
        <v>1.23E-2</v>
      </c>
      <c r="CA925" s="49">
        <v>21.6</v>
      </c>
      <c r="CB925" s="59">
        <f t="shared" si="69"/>
        <v>8.9200000000000002E-2</v>
      </c>
      <c r="CC925" s="59">
        <v>0.3322</v>
      </c>
      <c r="CD925" s="59">
        <v>0.3095</v>
      </c>
      <c r="CE925" s="59">
        <v>0.3256</v>
      </c>
      <c r="CF925" s="59">
        <v>4.5999999999999999E-3</v>
      </c>
      <c r="CG925" s="59">
        <v>2.81E-2</v>
      </c>
      <c r="CH925" s="49">
        <v>14</v>
      </c>
      <c r="CI925" s="26" t="s">
        <v>424</v>
      </c>
      <c r="CJ925" s="18" t="s">
        <v>489</v>
      </c>
      <c r="CK925" s="20"/>
    </row>
    <row r="926" spans="1:99" x14ac:dyDescent="0.25">
      <c r="A926" s="18" t="s">
        <v>489</v>
      </c>
      <c r="B926" s="19" t="s">
        <v>483</v>
      </c>
      <c r="C926" s="26" t="s">
        <v>425</v>
      </c>
      <c r="D926" s="6">
        <v>11</v>
      </c>
      <c r="E926" s="40" t="s">
        <v>83</v>
      </c>
      <c r="F926" s="6">
        <v>11</v>
      </c>
      <c r="G926" s="162" t="s">
        <v>83</v>
      </c>
      <c r="H926" s="162" t="s">
        <v>83</v>
      </c>
      <c r="I926" s="162" t="s">
        <v>83</v>
      </c>
      <c r="J926" s="166">
        <v>4</v>
      </c>
      <c r="K926" s="166">
        <v>4</v>
      </c>
      <c r="L926" s="166">
        <v>1</v>
      </c>
      <c r="M926" s="166">
        <v>2</v>
      </c>
      <c r="N926" s="119">
        <v>1.0752688172042999E-2</v>
      </c>
      <c r="O926" s="119">
        <v>1.0752688172042999E-2</v>
      </c>
      <c r="P926" s="116" t="s">
        <v>83</v>
      </c>
      <c r="Q926" s="116" t="s">
        <v>83</v>
      </c>
      <c r="R926" s="116" t="s">
        <v>83</v>
      </c>
      <c r="S926" s="119">
        <v>1.39372822299652E-2</v>
      </c>
      <c r="T926" s="119">
        <v>1.5444015444015399E-2</v>
      </c>
      <c r="U926" s="119">
        <v>3.9370078740157497E-3</v>
      </c>
      <c r="V926" s="119">
        <v>8.9686098654708502E-3</v>
      </c>
      <c r="W926" s="6">
        <v>977</v>
      </c>
      <c r="X926" s="40">
        <f t="shared" si="66"/>
        <v>977</v>
      </c>
      <c r="Y926" s="40">
        <f t="shared" si="67"/>
        <v>977</v>
      </c>
      <c r="Z926" s="59">
        <v>0.49230000000000002</v>
      </c>
      <c r="AA926" s="59">
        <v>0.50770000000000004</v>
      </c>
      <c r="AB926" s="61">
        <v>2.0470829068577278E-3</v>
      </c>
      <c r="AC926" s="61">
        <v>2.1494370522006142E-2</v>
      </c>
      <c r="AD926" s="61">
        <v>0.60184237461617196</v>
      </c>
      <c r="AE926" s="61">
        <v>1.6376663254861822E-2</v>
      </c>
      <c r="AF926" s="61">
        <v>3.0706243602865915E-3</v>
      </c>
      <c r="AG926" s="61">
        <v>0.35005117707267142</v>
      </c>
      <c r="AH926" s="61">
        <v>5.1177072671443197E-3</v>
      </c>
      <c r="AI926" s="61">
        <v>0.64994882292732858</v>
      </c>
      <c r="AJ926" s="59">
        <v>0.55500000000000005</v>
      </c>
      <c r="AK926" s="59">
        <v>2E-3</v>
      </c>
      <c r="AL926" s="3">
        <v>0</v>
      </c>
      <c r="AM926" s="3">
        <v>0</v>
      </c>
      <c r="AN926" s="3">
        <v>0</v>
      </c>
      <c r="AO926" s="3">
        <v>269</v>
      </c>
      <c r="AP926" s="3">
        <v>248</v>
      </c>
      <c r="AQ926" s="3">
        <v>240</v>
      </c>
      <c r="AR926" s="3">
        <v>220</v>
      </c>
      <c r="AS926" s="59">
        <v>0</v>
      </c>
      <c r="AT926" s="3">
        <v>9</v>
      </c>
      <c r="AU926" s="3">
        <v>6</v>
      </c>
      <c r="AV926" s="49">
        <v>74.334600760456311</v>
      </c>
      <c r="AW926" s="49">
        <v>17.4904942965779</v>
      </c>
      <c r="AX926" s="49">
        <v>7.7946768060836504</v>
      </c>
      <c r="AY926" s="67">
        <v>0.38022813688212903</v>
      </c>
      <c r="AZ926" s="62">
        <v>0</v>
      </c>
      <c r="BA926" s="62">
        <v>8.73405299313052E-2</v>
      </c>
      <c r="BB926" s="78">
        <v>94.967422165060995</v>
      </c>
      <c r="BC926" s="49">
        <v>14.789422135161599</v>
      </c>
      <c r="BD926" s="90" t="s">
        <v>83</v>
      </c>
      <c r="BE926" s="90" t="s">
        <v>83</v>
      </c>
      <c r="BF926" s="87">
        <v>14.2</v>
      </c>
      <c r="BG926" s="87">
        <v>1.7</v>
      </c>
      <c r="BH926" s="87">
        <v>0.8</v>
      </c>
      <c r="BI926" s="87">
        <v>0</v>
      </c>
      <c r="BJ926" s="49">
        <v>20.5</v>
      </c>
      <c r="BK926" s="126">
        <v>11328</v>
      </c>
      <c r="BL926" s="126">
        <v>54650</v>
      </c>
      <c r="BM926" s="126">
        <v>52940</v>
      </c>
      <c r="BN926" s="126">
        <v>46257</v>
      </c>
      <c r="BO926" s="59">
        <v>9.2999999999999992E-3</v>
      </c>
      <c r="BP926" s="59">
        <v>0.28110000000000002</v>
      </c>
      <c r="BQ926" s="59">
        <v>0.30070000000000002</v>
      </c>
      <c r="BR926" s="59">
        <v>0</v>
      </c>
      <c r="BS926" s="59">
        <v>1.06E-2</v>
      </c>
      <c r="BT926" s="49">
        <v>15.6</v>
      </c>
      <c r="BU926" s="59">
        <f t="shared" si="68"/>
        <v>0.60170000000000001</v>
      </c>
      <c r="BV926" s="59">
        <v>3.3700000000000001E-2</v>
      </c>
      <c r="BW926" s="59">
        <v>1.5699999999999999E-2</v>
      </c>
      <c r="BX926" s="59">
        <v>1.7899999999999999E-2</v>
      </c>
      <c r="BY926" s="59">
        <v>0</v>
      </c>
      <c r="BZ926" s="59">
        <v>9.2999999999999992E-3</v>
      </c>
      <c r="CA926" s="49">
        <v>22.6</v>
      </c>
      <c r="CB926" s="59">
        <f t="shared" si="69"/>
        <v>7.6600000000000001E-2</v>
      </c>
      <c r="CC926" s="59">
        <v>0.25390000000000001</v>
      </c>
      <c r="CD926" s="59">
        <v>0.34949999999999998</v>
      </c>
      <c r="CE926" s="59">
        <v>0.37440000000000001</v>
      </c>
      <c r="CF926" s="59">
        <v>2.3E-3</v>
      </c>
      <c r="CG926" s="59">
        <v>1.9900000000000001E-2</v>
      </c>
      <c r="CH926" s="49">
        <v>15.2</v>
      </c>
      <c r="CI926" s="26" t="s">
        <v>425</v>
      </c>
      <c r="CJ926" s="18" t="s">
        <v>489</v>
      </c>
      <c r="CK926" s="20"/>
    </row>
    <row r="927" spans="1:99" x14ac:dyDescent="0.25">
      <c r="A927" s="18" t="s">
        <v>489</v>
      </c>
      <c r="B927" s="19" t="s">
        <v>483</v>
      </c>
      <c r="C927" s="26" t="s">
        <v>426</v>
      </c>
      <c r="D927" s="6">
        <v>18</v>
      </c>
      <c r="E927" s="40" t="s">
        <v>83</v>
      </c>
      <c r="F927" s="6">
        <v>18</v>
      </c>
      <c r="G927" s="162" t="s">
        <v>83</v>
      </c>
      <c r="H927" s="162" t="s">
        <v>83</v>
      </c>
      <c r="I927" s="166">
        <v>2</v>
      </c>
      <c r="J927" s="166">
        <v>6</v>
      </c>
      <c r="K927" s="166">
        <v>1</v>
      </c>
      <c r="L927" s="166">
        <v>1</v>
      </c>
      <c r="M927" s="166">
        <v>8</v>
      </c>
      <c r="N927" s="119">
        <v>2.4523160762942801E-2</v>
      </c>
      <c r="O927" s="119">
        <v>2.4523160762942801E-2</v>
      </c>
      <c r="P927" s="116" t="s">
        <v>83</v>
      </c>
      <c r="Q927" s="116" t="s">
        <v>83</v>
      </c>
      <c r="R927" s="119">
        <v>0.125</v>
      </c>
      <c r="S927" s="119">
        <v>2.3529411764705899E-2</v>
      </c>
      <c r="T927" s="119">
        <v>5.8479532163742704E-3</v>
      </c>
      <c r="U927" s="119">
        <v>7.7519379844961196E-3</v>
      </c>
      <c r="V927" s="119">
        <v>4.9079754601227002E-2</v>
      </c>
      <c r="W927" s="6">
        <v>635</v>
      </c>
      <c r="X927" s="40">
        <f t="shared" si="66"/>
        <v>635</v>
      </c>
      <c r="Y927" s="40">
        <f t="shared" si="67"/>
        <v>635</v>
      </c>
      <c r="Z927" s="59">
        <v>0.53700000000000003</v>
      </c>
      <c r="AA927" s="59">
        <v>0.46300000000000002</v>
      </c>
      <c r="AB927" s="61">
        <v>0</v>
      </c>
      <c r="AC927" s="61">
        <v>1.5748031496062992E-3</v>
      </c>
      <c r="AD927" s="61">
        <v>0.98897637795275595</v>
      </c>
      <c r="AE927" s="61">
        <v>3.1496062992125984E-3</v>
      </c>
      <c r="AF927" s="61">
        <v>0</v>
      </c>
      <c r="AG927" s="61">
        <v>1.5748031496062992E-3</v>
      </c>
      <c r="AH927" s="61">
        <v>4.7244094488188976E-3</v>
      </c>
      <c r="AI927" s="61">
        <v>0.99842519685039366</v>
      </c>
      <c r="AJ927" s="59">
        <v>0.89</v>
      </c>
      <c r="AK927" s="59">
        <v>1.6000000000000001E-3</v>
      </c>
      <c r="AL927" s="3">
        <v>0</v>
      </c>
      <c r="AM927" s="3">
        <v>0</v>
      </c>
      <c r="AN927" s="3">
        <v>17</v>
      </c>
      <c r="AO927" s="3">
        <v>219</v>
      </c>
      <c r="AP927" s="3">
        <v>147</v>
      </c>
      <c r="AQ927" s="3">
        <v>119</v>
      </c>
      <c r="AR927" s="3">
        <v>133</v>
      </c>
      <c r="AS927" s="59">
        <v>7.2033898305084748E-2</v>
      </c>
      <c r="AT927" s="3">
        <v>9</v>
      </c>
      <c r="AU927" s="3">
        <v>6</v>
      </c>
      <c r="AV927" s="49">
        <v>78.292682926829301</v>
      </c>
      <c r="AW927" s="49">
        <v>14.390243902439002</v>
      </c>
      <c r="AX927" s="49">
        <v>7.0731707317073207</v>
      </c>
      <c r="AY927" s="67">
        <v>0.24390243902438999</v>
      </c>
      <c r="AZ927" s="62">
        <v>0.10041265474552957</v>
      </c>
      <c r="BA927" s="62">
        <v>0.24896836313617607</v>
      </c>
      <c r="BB927" s="77">
        <v>90.244585511575806</v>
      </c>
      <c r="BC927" s="49">
        <v>52.043596730245199</v>
      </c>
      <c r="BD927" s="90" t="s">
        <v>83</v>
      </c>
      <c r="BE927" s="90" t="s">
        <v>83</v>
      </c>
      <c r="BF927" s="87">
        <v>6.3</v>
      </c>
      <c r="BG927" s="87">
        <v>1.4</v>
      </c>
      <c r="BH927" s="87">
        <v>0</v>
      </c>
      <c r="BI927" s="87">
        <v>8.4</v>
      </c>
      <c r="BJ927" s="49">
        <v>17.5</v>
      </c>
      <c r="BK927" s="126">
        <v>13382</v>
      </c>
      <c r="BL927" s="126">
        <v>55847</v>
      </c>
      <c r="BM927" s="126">
        <v>61651</v>
      </c>
      <c r="BN927" s="126">
        <v>44044</v>
      </c>
      <c r="BO927" s="59">
        <v>1.0699999999999999E-2</v>
      </c>
      <c r="BP927" s="59">
        <v>0.19750000000000001</v>
      </c>
      <c r="BQ927" s="59">
        <v>0.29649999999999999</v>
      </c>
      <c r="BR927" s="59">
        <v>0</v>
      </c>
      <c r="BS927" s="59">
        <v>0</v>
      </c>
      <c r="BT927" s="49">
        <v>15.6</v>
      </c>
      <c r="BU927" s="59">
        <f t="shared" si="68"/>
        <v>0.50469999999999993</v>
      </c>
      <c r="BV927" s="59">
        <v>2.1399999999999999E-2</v>
      </c>
      <c r="BW927" s="59">
        <v>9.7000000000000003E-3</v>
      </c>
      <c r="BX927" s="59">
        <v>2.2700000000000001E-2</v>
      </c>
      <c r="BY927" s="59">
        <v>0</v>
      </c>
      <c r="BZ927" s="59">
        <v>1.0500000000000001E-2</v>
      </c>
      <c r="CA927" s="49">
        <v>18.2</v>
      </c>
      <c r="CB927" s="59">
        <f t="shared" si="69"/>
        <v>6.4299999999999996E-2</v>
      </c>
      <c r="CC927" s="59">
        <v>0.32600000000000001</v>
      </c>
      <c r="CD927" s="59">
        <v>0.31180000000000002</v>
      </c>
      <c r="CE927" s="59">
        <v>0.34710000000000002</v>
      </c>
      <c r="CF927" s="59">
        <v>4.5999999999999999E-3</v>
      </c>
      <c r="CG927" s="59">
        <v>1.0500000000000001E-2</v>
      </c>
      <c r="CH927" s="49">
        <v>14.5</v>
      </c>
      <c r="CI927" s="26" t="s">
        <v>426</v>
      </c>
      <c r="CJ927" s="18" t="s">
        <v>489</v>
      </c>
      <c r="CK927" s="20"/>
    </row>
    <row r="928" spans="1:99" x14ac:dyDescent="0.25">
      <c r="A928" s="18" t="s">
        <v>489</v>
      </c>
      <c r="B928" s="19" t="s">
        <v>484</v>
      </c>
      <c r="C928" s="26" t="s">
        <v>428</v>
      </c>
      <c r="D928" s="6">
        <v>85</v>
      </c>
      <c r="E928" s="6">
        <v>8</v>
      </c>
      <c r="F928" s="6">
        <v>77</v>
      </c>
      <c r="G928" s="166">
        <v>1</v>
      </c>
      <c r="H928" s="166">
        <v>7</v>
      </c>
      <c r="I928" s="166">
        <v>0</v>
      </c>
      <c r="J928" s="166">
        <v>26</v>
      </c>
      <c r="K928" s="166">
        <v>27</v>
      </c>
      <c r="L928" s="166">
        <v>13</v>
      </c>
      <c r="M928" s="166">
        <v>11</v>
      </c>
      <c r="N928" s="119">
        <v>0.104039167686659</v>
      </c>
      <c r="O928" s="119">
        <v>0.136283185840708</v>
      </c>
      <c r="P928" s="119">
        <v>8.9285714285714298E-3</v>
      </c>
      <c r="Q928" s="119">
        <v>0.05</v>
      </c>
      <c r="R928" s="119">
        <v>0</v>
      </c>
      <c r="S928" s="119">
        <v>0.14942528735632199</v>
      </c>
      <c r="T928" s="119">
        <v>0.16875000000000001</v>
      </c>
      <c r="U928" s="119">
        <v>0.114035087719298</v>
      </c>
      <c r="V928" s="119">
        <v>9.5652173913043495E-2</v>
      </c>
      <c r="W928" s="6">
        <v>738</v>
      </c>
      <c r="X928" s="40">
        <f t="shared" si="66"/>
        <v>436</v>
      </c>
      <c r="Y928" s="40">
        <f t="shared" si="67"/>
        <v>644</v>
      </c>
      <c r="Z928" s="59">
        <v>0.4919</v>
      </c>
      <c r="AA928" s="59">
        <v>0.5081</v>
      </c>
      <c r="AB928" s="61">
        <v>0</v>
      </c>
      <c r="AC928" s="61">
        <v>5.4200542005420054E-3</v>
      </c>
      <c r="AD928" s="61">
        <v>0.78455284552845528</v>
      </c>
      <c r="AE928" s="61">
        <v>2.5745257452574527E-2</v>
      </c>
      <c r="AF928" s="61">
        <v>0</v>
      </c>
      <c r="AG928" s="61">
        <v>0.17615176151761516</v>
      </c>
      <c r="AH928" s="61">
        <v>8.130081300813009E-3</v>
      </c>
      <c r="AI928" s="61">
        <v>0.82384823848238486</v>
      </c>
      <c r="AJ928" s="59">
        <v>0.90900000000000003</v>
      </c>
      <c r="AK928" s="59">
        <v>8.0999999999999996E-3</v>
      </c>
      <c r="AL928" s="3">
        <v>96</v>
      </c>
      <c r="AM928" s="3">
        <v>112</v>
      </c>
      <c r="AN928" s="3">
        <v>1</v>
      </c>
      <c r="AO928" s="3">
        <v>127</v>
      </c>
      <c r="AP928" s="3">
        <v>115</v>
      </c>
      <c r="AQ928" s="3">
        <v>99</v>
      </c>
      <c r="AR928" s="3">
        <v>94</v>
      </c>
      <c r="AS928" s="59">
        <v>7.8125E-3</v>
      </c>
      <c r="AT928" s="3">
        <v>6</v>
      </c>
      <c r="AU928" s="3">
        <v>6</v>
      </c>
      <c r="AV928" s="49">
        <v>65.606936416185007</v>
      </c>
      <c r="AW928" s="49">
        <v>21.3872832369942</v>
      </c>
      <c r="AX928" s="49">
        <v>12.4277456647399</v>
      </c>
      <c r="AY928" s="67">
        <v>0.57803468208092501</v>
      </c>
      <c r="AZ928" s="62">
        <v>0.46565774155995343</v>
      </c>
      <c r="BA928" s="62">
        <v>0.15715948777648428</v>
      </c>
      <c r="BB928" s="77">
        <v>91.679986142496105</v>
      </c>
      <c r="BC928" s="49">
        <v>41.559953434225797</v>
      </c>
      <c r="BD928" s="87">
        <v>8.9</v>
      </c>
      <c r="BE928" s="87">
        <v>3</v>
      </c>
      <c r="BF928" s="87">
        <v>3.7</v>
      </c>
      <c r="BG928" s="87">
        <v>5.6</v>
      </c>
      <c r="BH928" s="87">
        <v>1.1000000000000001</v>
      </c>
      <c r="BI928" s="87">
        <v>6.1</v>
      </c>
      <c r="BJ928" s="49">
        <v>16.899999999999999</v>
      </c>
      <c r="BK928" s="126">
        <v>15221</v>
      </c>
      <c r="BL928" s="126">
        <v>50323</v>
      </c>
      <c r="BM928" s="126">
        <v>53276</v>
      </c>
      <c r="BN928" s="126">
        <v>44985</v>
      </c>
      <c r="BO928" s="59">
        <v>0.01</v>
      </c>
      <c r="BP928" s="59">
        <v>0.36830000000000002</v>
      </c>
      <c r="BQ928" s="59">
        <v>0.2117</v>
      </c>
      <c r="BR928" s="59">
        <v>0</v>
      </c>
      <c r="BS928" s="59">
        <v>0</v>
      </c>
      <c r="BT928" s="49">
        <v>13.3</v>
      </c>
      <c r="BU928" s="59">
        <f t="shared" si="68"/>
        <v>0.59000000000000008</v>
      </c>
      <c r="BV928" s="59">
        <v>3.15E-2</v>
      </c>
      <c r="BW928" s="59">
        <v>0</v>
      </c>
      <c r="BX928" s="59">
        <v>3.15E-2</v>
      </c>
      <c r="BY928" s="59">
        <v>0</v>
      </c>
      <c r="BZ928" s="59">
        <v>0</v>
      </c>
      <c r="CA928" s="49">
        <v>14.8</v>
      </c>
      <c r="CB928" s="59">
        <f t="shared" si="69"/>
        <v>6.3E-2</v>
      </c>
      <c r="CC928" s="59">
        <v>0.27410000000000001</v>
      </c>
      <c r="CD928" s="59">
        <v>0.42399999999999999</v>
      </c>
      <c r="CE928" s="59">
        <v>0.3019</v>
      </c>
      <c r="CF928" s="59">
        <v>0</v>
      </c>
      <c r="CG928" s="59">
        <v>0</v>
      </c>
      <c r="CH928" s="49">
        <v>13.2</v>
      </c>
      <c r="CI928" s="26" t="s">
        <v>428</v>
      </c>
      <c r="CJ928" s="18" t="s">
        <v>489</v>
      </c>
      <c r="CK928" s="20"/>
    </row>
    <row r="929" spans="1:89" x14ac:dyDescent="0.25">
      <c r="A929" s="18" t="s">
        <v>489</v>
      </c>
      <c r="B929" s="19" t="s">
        <v>485</v>
      </c>
      <c r="C929" s="26" t="s">
        <v>430</v>
      </c>
      <c r="D929" s="6">
        <v>34</v>
      </c>
      <c r="E929" s="40" t="s">
        <v>83</v>
      </c>
      <c r="F929" s="6">
        <v>34</v>
      </c>
      <c r="G929" s="162" t="s">
        <v>83</v>
      </c>
      <c r="H929" s="162" t="s">
        <v>83</v>
      </c>
      <c r="I929" s="166">
        <v>0</v>
      </c>
      <c r="J929" s="166">
        <v>9</v>
      </c>
      <c r="K929" s="166">
        <v>8</v>
      </c>
      <c r="L929" s="166">
        <v>9</v>
      </c>
      <c r="M929" s="166">
        <v>8</v>
      </c>
      <c r="N929" s="119">
        <v>2.0656136087484799E-2</v>
      </c>
      <c r="O929" s="119">
        <v>2.0656136087484799E-2</v>
      </c>
      <c r="P929" s="116" t="s">
        <v>83</v>
      </c>
      <c r="Q929" s="116" t="s">
        <v>83</v>
      </c>
      <c r="R929" s="119">
        <v>0</v>
      </c>
      <c r="S929" s="119">
        <v>1.8947368421052602E-2</v>
      </c>
      <c r="T929" s="119">
        <v>1.9851116625310201E-2</v>
      </c>
      <c r="U929" s="119">
        <v>2.2670025188916899E-2</v>
      </c>
      <c r="V929" s="119">
        <v>2.2222222222222199E-2</v>
      </c>
      <c r="W929" s="6">
        <v>1556</v>
      </c>
      <c r="X929" s="40">
        <f t="shared" si="66"/>
        <v>1556</v>
      </c>
      <c r="Y929" s="40">
        <f t="shared" si="67"/>
        <v>1556</v>
      </c>
      <c r="Z929" s="59">
        <v>0.48780000000000001</v>
      </c>
      <c r="AA929" s="59">
        <v>0.51219999999999999</v>
      </c>
      <c r="AB929" s="61">
        <v>0</v>
      </c>
      <c r="AC929" s="61">
        <v>8.9974293059125968E-3</v>
      </c>
      <c r="AD929" s="61">
        <v>0.51542416452442164</v>
      </c>
      <c r="AE929" s="61">
        <v>1.2853470437017995E-2</v>
      </c>
      <c r="AF929" s="61">
        <v>0</v>
      </c>
      <c r="AG929" s="61">
        <v>0.4473007712082262</v>
      </c>
      <c r="AH929" s="61">
        <v>1.5424164524421594E-2</v>
      </c>
      <c r="AI929" s="61">
        <v>0.5526992287917738</v>
      </c>
      <c r="AJ929" s="59">
        <v>0.51</v>
      </c>
      <c r="AK929" s="59">
        <v>5.1000000000000004E-3</v>
      </c>
      <c r="AL929" s="3">
        <v>0</v>
      </c>
      <c r="AM929" s="3">
        <v>0</v>
      </c>
      <c r="AN929" s="3">
        <v>10</v>
      </c>
      <c r="AO929" s="3">
        <v>445</v>
      </c>
      <c r="AP929" s="3">
        <v>389</v>
      </c>
      <c r="AQ929" s="3">
        <v>368</v>
      </c>
      <c r="AR929" s="3">
        <v>344</v>
      </c>
      <c r="AS929" s="59">
        <v>2.197802197802198E-2</v>
      </c>
      <c r="AT929" s="3">
        <v>9</v>
      </c>
      <c r="AU929" s="3">
        <v>6</v>
      </c>
      <c r="AV929" s="49">
        <v>57.288629737609298</v>
      </c>
      <c r="AW929" s="49">
        <v>22.157434402332399</v>
      </c>
      <c r="AX929" s="49">
        <v>19.825072886297402</v>
      </c>
      <c r="AY929" s="67">
        <v>0.72886297376093301</v>
      </c>
      <c r="AZ929" s="62">
        <v>0.13995067817509249</v>
      </c>
      <c r="BA929" s="62">
        <v>6.1652281134401974E-4</v>
      </c>
      <c r="BB929" s="78">
        <v>94.925585509364296</v>
      </c>
      <c r="BC929" s="49">
        <v>23.634131368938</v>
      </c>
      <c r="BD929" s="90" t="s">
        <v>83</v>
      </c>
      <c r="BE929" s="90" t="s">
        <v>83</v>
      </c>
      <c r="BF929" s="87">
        <v>4.8</v>
      </c>
      <c r="BG929" s="87">
        <v>0.8</v>
      </c>
      <c r="BH929" s="87">
        <v>0.3</v>
      </c>
      <c r="BI929" s="87">
        <v>1.5</v>
      </c>
      <c r="BJ929" s="49">
        <v>21.4</v>
      </c>
      <c r="BK929" s="126">
        <v>10496</v>
      </c>
      <c r="BL929" s="126">
        <v>55747</v>
      </c>
      <c r="BM929" s="126">
        <v>56020</v>
      </c>
      <c r="BN929" s="126">
        <v>50740</v>
      </c>
      <c r="BO929" s="59">
        <v>1.04E-2</v>
      </c>
      <c r="BP929" s="59">
        <v>0.46689999999999998</v>
      </c>
      <c r="BQ929" s="59">
        <v>0.20860000000000001</v>
      </c>
      <c r="BR929" s="59">
        <v>0</v>
      </c>
      <c r="BS929" s="59">
        <v>1.34E-2</v>
      </c>
      <c r="BT929" s="49">
        <v>13.3</v>
      </c>
      <c r="BU929" s="59">
        <f t="shared" si="68"/>
        <v>0.69929999999999992</v>
      </c>
      <c r="BV929" s="59">
        <v>3.3599999999999998E-2</v>
      </c>
      <c r="BW929" s="59">
        <v>8.8000000000000005E-3</v>
      </c>
      <c r="BX929" s="59">
        <v>3.0700000000000002E-2</v>
      </c>
      <c r="BY929" s="59">
        <v>0</v>
      </c>
      <c r="BZ929" s="59">
        <v>0</v>
      </c>
      <c r="CA929" s="49">
        <v>10.9</v>
      </c>
      <c r="CB929" s="59">
        <f t="shared" si="69"/>
        <v>7.3099999999999998E-2</v>
      </c>
      <c r="CC929" s="59">
        <v>0.18740000000000001</v>
      </c>
      <c r="CD929" s="59">
        <v>0.49940000000000001</v>
      </c>
      <c r="CE929" s="59">
        <v>0.29980000000000001</v>
      </c>
      <c r="CF929" s="59">
        <v>0</v>
      </c>
      <c r="CG929" s="59">
        <v>1.34E-2</v>
      </c>
      <c r="CH929" s="49">
        <v>11.2</v>
      </c>
      <c r="CI929" s="26" t="s">
        <v>430</v>
      </c>
      <c r="CJ929" s="18" t="s">
        <v>489</v>
      </c>
      <c r="CK929" s="20"/>
    </row>
    <row r="930" spans="1:89" x14ac:dyDescent="0.25">
      <c r="A930" s="18" t="s">
        <v>489</v>
      </c>
      <c r="B930" s="19" t="s">
        <v>486</v>
      </c>
      <c r="C930" s="26" t="s">
        <v>432</v>
      </c>
      <c r="D930" s="6">
        <v>47</v>
      </c>
      <c r="E930" s="40" t="s">
        <v>83</v>
      </c>
      <c r="F930" s="6">
        <v>47</v>
      </c>
      <c r="G930" s="162" t="s">
        <v>83</v>
      </c>
      <c r="H930" s="162" t="s">
        <v>83</v>
      </c>
      <c r="I930" s="162" t="s">
        <v>83</v>
      </c>
      <c r="J930" s="166">
        <v>16</v>
      </c>
      <c r="K930" s="166">
        <v>16</v>
      </c>
      <c r="L930" s="166">
        <v>8</v>
      </c>
      <c r="M930" s="166">
        <v>7</v>
      </c>
      <c r="N930" s="119">
        <v>7.2755417956656299E-2</v>
      </c>
      <c r="O930" s="119">
        <v>7.2755417956656299E-2</v>
      </c>
      <c r="P930" s="116" t="s">
        <v>83</v>
      </c>
      <c r="Q930" s="116" t="s">
        <v>83</v>
      </c>
      <c r="R930" s="116" t="s">
        <v>83</v>
      </c>
      <c r="S930" s="119">
        <v>8.6956521739130405E-2</v>
      </c>
      <c r="T930" s="119">
        <v>8.8888888888888906E-2</v>
      </c>
      <c r="U930" s="119">
        <v>4.9079754601227002E-2</v>
      </c>
      <c r="V930" s="119">
        <v>5.93220338983051E-2</v>
      </c>
      <c r="W930" s="6">
        <v>530</v>
      </c>
      <c r="X930" s="40">
        <f t="shared" si="66"/>
        <v>530</v>
      </c>
      <c r="Y930" s="40">
        <f t="shared" si="67"/>
        <v>530</v>
      </c>
      <c r="Z930" s="59">
        <v>0.45279999999999998</v>
      </c>
      <c r="AA930" s="59">
        <v>0.54720000000000002</v>
      </c>
      <c r="AB930" s="61">
        <v>0</v>
      </c>
      <c r="AC930" s="61">
        <v>1.8867924528301887E-3</v>
      </c>
      <c r="AD930" s="61">
        <v>0.93207547169811322</v>
      </c>
      <c r="AE930" s="61">
        <v>1.3207547169811321E-2</v>
      </c>
      <c r="AF930" s="61">
        <v>1.8867924528301887E-3</v>
      </c>
      <c r="AG930" s="61">
        <v>4.9056603773584909E-2</v>
      </c>
      <c r="AH930" s="61">
        <v>1.8867924528301887E-3</v>
      </c>
      <c r="AI930" s="61">
        <v>0.95094339622641511</v>
      </c>
      <c r="AJ930" s="59">
        <v>0.92800000000000005</v>
      </c>
      <c r="AK930" s="59">
        <v>1.32E-2</v>
      </c>
      <c r="AL930" s="3">
        <v>0</v>
      </c>
      <c r="AM930" s="3">
        <v>0</v>
      </c>
      <c r="AN930" s="3">
        <v>0</v>
      </c>
      <c r="AO930" s="3">
        <v>140</v>
      </c>
      <c r="AP930" s="3">
        <v>149</v>
      </c>
      <c r="AQ930" s="3">
        <v>141</v>
      </c>
      <c r="AR930" s="3">
        <v>100</v>
      </c>
      <c r="AS930" s="59">
        <v>0</v>
      </c>
      <c r="AT930" s="3">
        <v>9</v>
      </c>
      <c r="AU930" s="3">
        <v>6</v>
      </c>
      <c r="AV930" s="49">
        <v>54.741379310344797</v>
      </c>
      <c r="AW930" s="49">
        <v>23.7068965517241</v>
      </c>
      <c r="AX930" s="49">
        <v>20.689655172413801</v>
      </c>
      <c r="AY930" s="67">
        <v>0.86206896551724099</v>
      </c>
      <c r="AZ930" s="62">
        <v>0.3360258481421648</v>
      </c>
      <c r="BA930" s="62">
        <v>1.6155088852988692E-3</v>
      </c>
      <c r="BB930" s="77">
        <v>91.580891912975602</v>
      </c>
      <c r="BC930" s="49">
        <v>54.193548387096797</v>
      </c>
      <c r="BD930" s="90" t="s">
        <v>83</v>
      </c>
      <c r="BE930" s="90" t="s">
        <v>83</v>
      </c>
      <c r="BF930" s="87">
        <v>8.9</v>
      </c>
      <c r="BG930" s="87">
        <v>6.4</v>
      </c>
      <c r="BH930" s="87">
        <v>4.5</v>
      </c>
      <c r="BI930" s="87">
        <v>6.5</v>
      </c>
      <c r="BJ930" s="49">
        <v>17.3</v>
      </c>
      <c r="BK930" s="126">
        <v>9686</v>
      </c>
      <c r="BL930" s="126">
        <v>50339</v>
      </c>
      <c r="BM930" s="126">
        <v>61297</v>
      </c>
      <c r="BN930" s="126">
        <v>41964</v>
      </c>
      <c r="BO930" s="59">
        <v>4.5499999999999999E-2</v>
      </c>
      <c r="BP930" s="59">
        <v>0.14729999999999999</v>
      </c>
      <c r="BQ930" s="59">
        <v>0.22359999999999999</v>
      </c>
      <c r="BR930" s="59">
        <v>0</v>
      </c>
      <c r="BS930" s="59">
        <v>6.8199999999999997E-2</v>
      </c>
      <c r="BT930" s="49">
        <v>19.3</v>
      </c>
      <c r="BU930" s="59">
        <f t="shared" si="68"/>
        <v>0.48459999999999998</v>
      </c>
      <c r="BV930" s="59">
        <v>2.2700000000000001E-2</v>
      </c>
      <c r="BW930" s="59">
        <v>2.2700000000000001E-2</v>
      </c>
      <c r="BX930" s="59">
        <v>4.5499999999999999E-2</v>
      </c>
      <c r="BY930" s="59">
        <v>0</v>
      </c>
      <c r="BZ930" s="59">
        <v>2.2700000000000001E-2</v>
      </c>
      <c r="CA930" s="49">
        <v>21</v>
      </c>
      <c r="CB930" s="59">
        <f t="shared" si="69"/>
        <v>0.11360000000000001</v>
      </c>
      <c r="CC930" s="59">
        <v>0.35620000000000002</v>
      </c>
      <c r="CD930" s="59">
        <v>0.2382</v>
      </c>
      <c r="CE930" s="59">
        <v>0.31459999999999999</v>
      </c>
      <c r="CF930" s="59">
        <v>0</v>
      </c>
      <c r="CG930" s="59">
        <v>9.0999999999999998E-2</v>
      </c>
      <c r="CH930" s="49">
        <v>16.399999999999999</v>
      </c>
      <c r="CI930" s="26" t="s">
        <v>432</v>
      </c>
      <c r="CJ930" s="18" t="s">
        <v>489</v>
      </c>
      <c r="CK930" s="20"/>
    </row>
    <row r="931" spans="1:89" x14ac:dyDescent="0.25">
      <c r="A931" s="18" t="s">
        <v>489</v>
      </c>
      <c r="B931" s="19" t="s">
        <v>487</v>
      </c>
      <c r="C931" s="26" t="s">
        <v>160</v>
      </c>
      <c r="D931" s="6">
        <v>32</v>
      </c>
      <c r="E931" s="40" t="s">
        <v>83</v>
      </c>
      <c r="F931" s="6">
        <v>32</v>
      </c>
      <c r="G931" s="162" t="s">
        <v>83</v>
      </c>
      <c r="H931" s="162" t="s">
        <v>83</v>
      </c>
      <c r="I931" s="166">
        <v>2</v>
      </c>
      <c r="J931" s="166">
        <v>4</v>
      </c>
      <c r="K931" s="166">
        <v>11</v>
      </c>
      <c r="L931" s="166">
        <v>7</v>
      </c>
      <c r="M931" s="166">
        <v>8</v>
      </c>
      <c r="N931" s="119">
        <v>2.23619846261356E-2</v>
      </c>
      <c r="O931" s="119">
        <v>2.23619846261356E-2</v>
      </c>
      <c r="P931" s="116" t="s">
        <v>83</v>
      </c>
      <c r="Q931" s="116" t="s">
        <v>83</v>
      </c>
      <c r="R931" s="119">
        <v>2.66666666666667E-2</v>
      </c>
      <c r="S931" s="119">
        <v>1.2944983818770199E-2</v>
      </c>
      <c r="T931" s="119">
        <v>2.9411764705882401E-2</v>
      </c>
      <c r="U931" s="119">
        <v>2.1021021021020998E-2</v>
      </c>
      <c r="V931" s="119">
        <v>2.3529411764705899E-2</v>
      </c>
      <c r="W931" s="6">
        <v>1353</v>
      </c>
      <c r="X931" s="40">
        <f t="shared" si="66"/>
        <v>1353</v>
      </c>
      <c r="Y931" s="40">
        <f t="shared" si="67"/>
        <v>1353</v>
      </c>
      <c r="Z931" s="59">
        <v>0.49519999999999997</v>
      </c>
      <c r="AA931" s="59">
        <v>0.50480000000000003</v>
      </c>
      <c r="AB931" s="61">
        <v>4.434589800443459E-3</v>
      </c>
      <c r="AC931" s="61">
        <v>1.4042867701404288E-2</v>
      </c>
      <c r="AD931" s="61">
        <v>0.20473022912047303</v>
      </c>
      <c r="AE931" s="61">
        <v>2.5129342202512936E-2</v>
      </c>
      <c r="AF931" s="61">
        <v>0</v>
      </c>
      <c r="AG931" s="61">
        <v>0.74501108647450109</v>
      </c>
      <c r="AH931" s="61">
        <v>6.6518847006651885E-3</v>
      </c>
      <c r="AI931" s="61">
        <v>0.25498891352549891</v>
      </c>
      <c r="AJ931" s="59">
        <v>0.63700000000000001</v>
      </c>
      <c r="AK931" s="59">
        <v>4.4000000000000003E-3</v>
      </c>
      <c r="AL931" s="3">
        <v>0</v>
      </c>
      <c r="AM931" s="3">
        <v>0</v>
      </c>
      <c r="AN931" s="3">
        <v>72</v>
      </c>
      <c r="AO931" s="3">
        <v>294</v>
      </c>
      <c r="AP931" s="3">
        <v>354</v>
      </c>
      <c r="AQ931" s="3">
        <v>310</v>
      </c>
      <c r="AR931" s="3">
        <v>323</v>
      </c>
      <c r="AS931" s="59">
        <v>0.19672131147540983</v>
      </c>
      <c r="AT931" s="3">
        <v>9</v>
      </c>
      <c r="AU931" s="3">
        <v>6</v>
      </c>
      <c r="AV931" s="49">
        <v>53.685897435897402</v>
      </c>
      <c r="AW931" s="49">
        <v>26.923076923076898</v>
      </c>
      <c r="AX931" s="49">
        <v>18.75</v>
      </c>
      <c r="AY931" s="67">
        <v>0.64102564102564097</v>
      </c>
      <c r="AZ931" s="62">
        <v>7.6706544686840253E-2</v>
      </c>
      <c r="BA931" s="62">
        <v>6.1928219563687541E-2</v>
      </c>
      <c r="BB931" s="78">
        <v>93.093696243668404</v>
      </c>
      <c r="BC931" s="49">
        <v>32.775453277545303</v>
      </c>
      <c r="BD931" s="90" t="s">
        <v>83</v>
      </c>
      <c r="BE931" s="90" t="s">
        <v>83</v>
      </c>
      <c r="BF931" s="87">
        <v>3.3</v>
      </c>
      <c r="BG931" s="87">
        <v>1.2</v>
      </c>
      <c r="BH931" s="87">
        <v>1.1000000000000001</v>
      </c>
      <c r="BI931" s="87">
        <v>3.3</v>
      </c>
      <c r="BJ931" s="49">
        <v>21.2</v>
      </c>
      <c r="BK931" s="126">
        <v>11055</v>
      </c>
      <c r="BL931" s="126">
        <v>51149</v>
      </c>
      <c r="BM931" s="126">
        <v>55872</v>
      </c>
      <c r="BN931" s="126">
        <v>47196</v>
      </c>
      <c r="BO931" s="59">
        <v>7.7000000000000002E-3</v>
      </c>
      <c r="BP931" s="59">
        <v>0.37519999999999998</v>
      </c>
      <c r="BQ931" s="59">
        <v>0.26490000000000002</v>
      </c>
      <c r="BR931" s="59">
        <v>9.5999999999999992E-3</v>
      </c>
      <c r="BS931" s="59">
        <v>4.0000000000000002E-4</v>
      </c>
      <c r="BT931" s="49">
        <v>13.8</v>
      </c>
      <c r="BU931" s="59">
        <f t="shared" si="68"/>
        <v>0.65779999999999994</v>
      </c>
      <c r="BV931" s="59">
        <v>2.3E-2</v>
      </c>
      <c r="BW931" s="59">
        <v>0</v>
      </c>
      <c r="BX931" s="59">
        <v>3.0700000000000002E-2</v>
      </c>
      <c r="BY931" s="59">
        <v>0</v>
      </c>
      <c r="BZ931" s="59">
        <v>0</v>
      </c>
      <c r="CA931" s="49">
        <v>23.1</v>
      </c>
      <c r="CB931" s="59">
        <f t="shared" si="69"/>
        <v>5.3699999999999998E-2</v>
      </c>
      <c r="CC931" s="59">
        <v>0.18410000000000001</v>
      </c>
      <c r="CD931" s="59">
        <v>0.4289</v>
      </c>
      <c r="CE931" s="59">
        <v>0.36159999999999998</v>
      </c>
      <c r="CF931" s="59">
        <v>2.4899999999999999E-2</v>
      </c>
      <c r="CG931" s="59">
        <v>4.0000000000000002E-4</v>
      </c>
      <c r="CH931" s="49">
        <v>14.1</v>
      </c>
      <c r="CI931" s="26" t="s">
        <v>160</v>
      </c>
      <c r="CJ931" s="18" t="s">
        <v>489</v>
      </c>
      <c r="CK931" s="20"/>
    </row>
    <row r="932" spans="1:89" x14ac:dyDescent="0.25">
      <c r="A932" s="18" t="s">
        <v>489</v>
      </c>
      <c r="B932" s="19" t="s">
        <v>436</v>
      </c>
      <c r="C932" s="26" t="s">
        <v>436</v>
      </c>
      <c r="D932" s="6">
        <v>0</v>
      </c>
      <c r="E932" s="40" t="s">
        <v>83</v>
      </c>
      <c r="F932" s="6">
        <v>0</v>
      </c>
      <c r="G932" s="162" t="s">
        <v>83</v>
      </c>
      <c r="H932" s="162" t="s">
        <v>83</v>
      </c>
      <c r="I932" s="162" t="s">
        <v>83</v>
      </c>
      <c r="J932" s="162" t="s">
        <v>83</v>
      </c>
      <c r="K932" s="166">
        <v>0</v>
      </c>
      <c r="L932" s="166">
        <v>0</v>
      </c>
      <c r="M932" s="166">
        <v>0</v>
      </c>
      <c r="N932" s="119">
        <v>0</v>
      </c>
      <c r="O932" s="119">
        <v>0</v>
      </c>
      <c r="P932" s="116" t="s">
        <v>83</v>
      </c>
      <c r="Q932" s="116" t="s">
        <v>83</v>
      </c>
      <c r="R932" s="116" t="s">
        <v>83</v>
      </c>
      <c r="S932" s="116" t="s">
        <v>83</v>
      </c>
      <c r="T932" s="119">
        <v>0</v>
      </c>
      <c r="U932" s="119">
        <v>0</v>
      </c>
      <c r="V932" s="119">
        <v>0</v>
      </c>
      <c r="W932" s="6">
        <v>330</v>
      </c>
      <c r="X932" s="40">
        <f t="shared" si="66"/>
        <v>330</v>
      </c>
      <c r="Y932" s="40">
        <f t="shared" si="67"/>
        <v>330</v>
      </c>
      <c r="Z932" s="59">
        <v>0.64239999999999997</v>
      </c>
      <c r="AA932" s="59">
        <v>0.35759999999999997</v>
      </c>
      <c r="AB932" s="61">
        <v>1.8181818181818181E-2</v>
      </c>
      <c r="AC932" s="61">
        <v>8.1818181818181818E-2</v>
      </c>
      <c r="AD932" s="61">
        <v>8.7878787878787876E-2</v>
      </c>
      <c r="AE932" s="61">
        <v>5.1515151515151514E-2</v>
      </c>
      <c r="AF932" s="61">
        <v>4.8484848484848485E-2</v>
      </c>
      <c r="AG932" s="61">
        <v>0.71212121212121215</v>
      </c>
      <c r="AH932" s="61">
        <v>0</v>
      </c>
      <c r="AI932" s="61">
        <v>0.2878787878787879</v>
      </c>
      <c r="AJ932" s="59">
        <v>0.28199999999999997</v>
      </c>
      <c r="AK932" s="59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89</v>
      </c>
      <c r="AQ932" s="3">
        <v>125</v>
      </c>
      <c r="AR932" s="3">
        <v>116</v>
      </c>
      <c r="AS932" s="59" t="s">
        <v>83</v>
      </c>
      <c r="AT932" s="3">
        <v>10</v>
      </c>
      <c r="AU932" s="3">
        <v>9</v>
      </c>
      <c r="AV932" s="49">
        <v>94.805194805194802</v>
      </c>
      <c r="AW932" s="49">
        <v>2.5974025974026</v>
      </c>
      <c r="AX932" s="49">
        <v>2.16450216450216</v>
      </c>
      <c r="AY932" s="67">
        <v>0.43290043290043301</v>
      </c>
      <c r="AZ932" s="62">
        <v>0</v>
      </c>
      <c r="BA932" s="62">
        <v>0</v>
      </c>
      <c r="BB932" s="78">
        <v>97.748008544790295</v>
      </c>
      <c r="BC932" s="49"/>
      <c r="BD932" s="90" t="s">
        <v>83</v>
      </c>
      <c r="BE932" s="90" t="s">
        <v>83</v>
      </c>
      <c r="BF932" s="90" t="s">
        <v>83</v>
      </c>
      <c r="BG932" s="87">
        <v>0</v>
      </c>
      <c r="BH932" s="87">
        <v>0.9</v>
      </c>
      <c r="BI932" s="87">
        <v>0</v>
      </c>
      <c r="BJ932" s="49">
        <v>29.6</v>
      </c>
      <c r="BK932" s="126">
        <v>27364</v>
      </c>
      <c r="BL932" s="126">
        <v>58892</v>
      </c>
      <c r="BM932" s="126">
        <v>74971</v>
      </c>
      <c r="BN932" s="126">
        <v>53629</v>
      </c>
      <c r="BO932" s="59">
        <v>0</v>
      </c>
      <c r="BP932" s="59">
        <v>0</v>
      </c>
      <c r="BQ932" s="59">
        <v>0.19969999999999999</v>
      </c>
      <c r="BR932" s="59">
        <v>0</v>
      </c>
      <c r="BS932" s="59">
        <v>0.26840000000000003</v>
      </c>
      <c r="BT932" s="49">
        <v>13.3</v>
      </c>
      <c r="BU932" s="59">
        <f t="shared" si="68"/>
        <v>0.46810000000000002</v>
      </c>
      <c r="BV932" s="59">
        <v>0</v>
      </c>
      <c r="BW932" s="59">
        <v>0</v>
      </c>
      <c r="BX932" s="59">
        <v>1.2500000000000001E-2</v>
      </c>
      <c r="BY932" s="59">
        <v>0</v>
      </c>
      <c r="BZ932" s="59">
        <v>1.2500000000000001E-2</v>
      </c>
      <c r="CA932" s="49">
        <v>2</v>
      </c>
      <c r="CB932" s="59">
        <f t="shared" si="69"/>
        <v>2.5000000000000001E-2</v>
      </c>
      <c r="CC932" s="59">
        <v>0.15509999999999999</v>
      </c>
      <c r="CD932" s="59">
        <v>0.192</v>
      </c>
      <c r="CE932" s="59">
        <v>0.37190000000000001</v>
      </c>
      <c r="CF932" s="59">
        <v>0</v>
      </c>
      <c r="CG932" s="59">
        <v>0.28089999999999998</v>
      </c>
      <c r="CH932" s="49">
        <v>12.2</v>
      </c>
      <c r="CI932" s="26" t="s">
        <v>436</v>
      </c>
      <c r="CJ932" s="18" t="s">
        <v>489</v>
      </c>
      <c r="CK932" s="20"/>
    </row>
    <row r="933" spans="1:89" x14ac:dyDescent="0.25">
      <c r="A933" s="18" t="s">
        <v>489</v>
      </c>
      <c r="B933" s="19" t="s">
        <v>437</v>
      </c>
      <c r="C933" s="26" t="s">
        <v>437</v>
      </c>
      <c r="D933" s="6">
        <v>2</v>
      </c>
      <c r="E933" s="6">
        <v>0</v>
      </c>
      <c r="F933" s="6">
        <v>2</v>
      </c>
      <c r="G933" s="166">
        <v>0</v>
      </c>
      <c r="H933" s="166">
        <v>0</v>
      </c>
      <c r="I933" s="162" t="s">
        <v>83</v>
      </c>
      <c r="J933" s="166">
        <v>0</v>
      </c>
      <c r="K933" s="166">
        <v>0</v>
      </c>
      <c r="L933" s="166">
        <v>0</v>
      </c>
      <c r="M933" s="166">
        <v>2</v>
      </c>
      <c r="N933" s="119">
        <v>2.77008310249307E-3</v>
      </c>
      <c r="O933" s="119">
        <v>4.15800415800416E-3</v>
      </c>
      <c r="P933" s="119">
        <v>0</v>
      </c>
      <c r="Q933" s="119">
        <v>0</v>
      </c>
      <c r="R933" s="116" t="s">
        <v>83</v>
      </c>
      <c r="S933" s="119">
        <v>0</v>
      </c>
      <c r="T933" s="119">
        <v>0</v>
      </c>
      <c r="U933" s="119">
        <v>0</v>
      </c>
      <c r="V933" s="119">
        <v>1.6806722689075598E-2</v>
      </c>
      <c r="W933" s="6">
        <v>1447</v>
      </c>
      <c r="X933" s="40">
        <f t="shared" si="66"/>
        <v>460</v>
      </c>
      <c r="Y933" s="40">
        <f t="shared" si="67"/>
        <v>697</v>
      </c>
      <c r="Z933" s="59">
        <v>0.50449999999999995</v>
      </c>
      <c r="AA933" s="59">
        <v>0.4955</v>
      </c>
      <c r="AB933" s="61">
        <v>1.38217000691085E-3</v>
      </c>
      <c r="AC933" s="61">
        <v>4.2847270214236351E-2</v>
      </c>
      <c r="AD933" s="61">
        <v>0.10366275051831375</v>
      </c>
      <c r="AE933" s="61">
        <v>1.796821008984105E-2</v>
      </c>
      <c r="AF933" s="61">
        <v>0</v>
      </c>
      <c r="AG933" s="61">
        <v>0.83068417415342088</v>
      </c>
      <c r="AH933" s="61">
        <v>3.4554250172771253E-3</v>
      </c>
      <c r="AI933" s="61">
        <v>0.16931582584657912</v>
      </c>
      <c r="AJ933" s="59">
        <v>6.4000000000000001E-2</v>
      </c>
      <c r="AK933" s="59">
        <v>0</v>
      </c>
      <c r="AL933" s="3">
        <v>115</v>
      </c>
      <c r="AM933" s="3">
        <v>122</v>
      </c>
      <c r="AN933" s="3">
        <v>0</v>
      </c>
      <c r="AO933" s="3">
        <v>110</v>
      </c>
      <c r="AP933" s="3">
        <v>117</v>
      </c>
      <c r="AQ933" s="3">
        <v>116</v>
      </c>
      <c r="AR933" s="3">
        <v>117</v>
      </c>
      <c r="AS933" s="59">
        <v>0</v>
      </c>
      <c r="AT933" s="3">
        <v>1</v>
      </c>
      <c r="AU933" s="3">
        <v>8</v>
      </c>
      <c r="AV933" s="49">
        <v>19.548872180451099</v>
      </c>
      <c r="AW933" s="49">
        <v>66.729323308270708</v>
      </c>
      <c r="AX933" s="49">
        <v>12.593984962405999</v>
      </c>
      <c r="AY933" s="67">
        <v>1.1278195488721801</v>
      </c>
      <c r="AZ933" s="62">
        <v>4.6916890080428951E-3</v>
      </c>
      <c r="BA933" s="62">
        <v>9.3833780160857902E-3</v>
      </c>
      <c r="BB933" s="77">
        <v>96.8611275371251</v>
      </c>
      <c r="BC933" s="49">
        <v>6.7024128686327095E-2</v>
      </c>
      <c r="BD933" s="87">
        <v>0</v>
      </c>
      <c r="BE933" s="87">
        <v>0</v>
      </c>
      <c r="BF933" s="87">
        <v>0</v>
      </c>
      <c r="BG933" s="87">
        <v>0</v>
      </c>
      <c r="BH933" s="87">
        <v>0</v>
      </c>
      <c r="BI933" s="87">
        <v>0</v>
      </c>
      <c r="BJ933" s="49">
        <v>26.4</v>
      </c>
      <c r="BK933" s="126">
        <v>9188</v>
      </c>
      <c r="BL933" s="126">
        <v>63256</v>
      </c>
      <c r="BM933" s="126">
        <v>68049</v>
      </c>
      <c r="BN933" s="126">
        <v>61106</v>
      </c>
      <c r="BO933" s="59">
        <v>0</v>
      </c>
      <c r="BP933" s="59">
        <v>1.8700000000000001E-2</v>
      </c>
      <c r="BQ933" s="59">
        <v>0.55049999999999999</v>
      </c>
      <c r="BR933" s="59">
        <v>3.5000000000000003E-2</v>
      </c>
      <c r="BS933" s="59">
        <v>3.04E-2</v>
      </c>
      <c r="BT933" s="49">
        <v>15.6</v>
      </c>
      <c r="BU933" s="59">
        <f t="shared" si="68"/>
        <v>0.63460000000000005</v>
      </c>
      <c r="BV933" s="59">
        <v>1.52E-2</v>
      </c>
      <c r="BW933" s="59">
        <v>1.52E-2</v>
      </c>
      <c r="BX933" s="59">
        <v>1.52E-2</v>
      </c>
      <c r="BY933" s="59">
        <v>0</v>
      </c>
      <c r="BZ933" s="59">
        <v>0</v>
      </c>
      <c r="CA933" s="49">
        <v>24.8</v>
      </c>
      <c r="CB933" s="59">
        <f t="shared" si="69"/>
        <v>4.5600000000000002E-2</v>
      </c>
      <c r="CC933" s="59">
        <v>5.3199999999999997E-2</v>
      </c>
      <c r="CD933" s="59">
        <v>0.186</v>
      </c>
      <c r="CE933" s="59">
        <v>0.67249999999999999</v>
      </c>
      <c r="CF933" s="59">
        <v>4.2599999999999999E-2</v>
      </c>
      <c r="CG933" s="59">
        <v>4.5600000000000002E-2</v>
      </c>
      <c r="CH933" s="49">
        <v>16</v>
      </c>
      <c r="CI933" s="26" t="s">
        <v>437</v>
      </c>
      <c r="CJ933" s="18" t="s">
        <v>489</v>
      </c>
      <c r="CK933" s="20"/>
    </row>
    <row r="934" spans="1:89" x14ac:dyDescent="0.25">
      <c r="A934" s="18" t="s">
        <v>489</v>
      </c>
      <c r="B934" s="19" t="s">
        <v>438</v>
      </c>
      <c r="C934" s="26" t="s">
        <v>438</v>
      </c>
      <c r="D934" s="6">
        <v>13</v>
      </c>
      <c r="E934" s="6">
        <v>7</v>
      </c>
      <c r="F934" s="6">
        <v>6</v>
      </c>
      <c r="G934" s="166">
        <v>3</v>
      </c>
      <c r="H934" s="166">
        <v>4</v>
      </c>
      <c r="I934" s="162" t="s">
        <v>83</v>
      </c>
      <c r="J934" s="166">
        <v>0</v>
      </c>
      <c r="K934" s="166">
        <v>2</v>
      </c>
      <c r="L934" s="166">
        <v>4</v>
      </c>
      <c r="M934" s="166">
        <v>0</v>
      </c>
      <c r="N934" s="119">
        <v>4.1401273885350302E-2</v>
      </c>
      <c r="O934" s="119">
        <v>2.5423728813559299E-2</v>
      </c>
      <c r="P934" s="119">
        <v>7.4999999999999997E-2</v>
      </c>
      <c r="Q934" s="119">
        <v>0.105263157894737</v>
      </c>
      <c r="R934" s="116" t="s">
        <v>83</v>
      </c>
      <c r="S934" s="119">
        <v>0</v>
      </c>
      <c r="T934" s="119">
        <v>2.6315789473684199E-2</v>
      </c>
      <c r="U934" s="119">
        <v>7.0175438596491196E-2</v>
      </c>
      <c r="V934" s="119">
        <v>0</v>
      </c>
      <c r="W934" s="6">
        <v>369</v>
      </c>
      <c r="X934" s="40">
        <f t="shared" si="66"/>
        <v>197</v>
      </c>
      <c r="Y934" s="40">
        <f t="shared" si="67"/>
        <v>264</v>
      </c>
      <c r="Z934" s="59">
        <v>0.39300000000000002</v>
      </c>
      <c r="AA934" s="59">
        <v>0.60699999999999998</v>
      </c>
      <c r="AB934" s="61">
        <v>0</v>
      </c>
      <c r="AC934" s="61">
        <v>0</v>
      </c>
      <c r="AD934" s="61">
        <v>0.99457994579945797</v>
      </c>
      <c r="AE934" s="61">
        <v>2.7100271002710027E-3</v>
      </c>
      <c r="AF934" s="61">
        <v>0</v>
      </c>
      <c r="AG934" s="61">
        <v>0</v>
      </c>
      <c r="AH934" s="61">
        <v>2.7100271002710027E-3</v>
      </c>
      <c r="AI934" s="61">
        <v>1</v>
      </c>
      <c r="AJ934" s="59">
        <v>0.82399999999999995</v>
      </c>
      <c r="AK934" s="59">
        <v>0</v>
      </c>
      <c r="AL934" s="3">
        <v>35</v>
      </c>
      <c r="AM934" s="3">
        <v>32</v>
      </c>
      <c r="AN934" s="3">
        <v>0</v>
      </c>
      <c r="AO934" s="3">
        <v>48</v>
      </c>
      <c r="AP934" s="3">
        <v>58</v>
      </c>
      <c r="AQ934" s="3">
        <v>46</v>
      </c>
      <c r="AR934" s="3">
        <v>45</v>
      </c>
      <c r="AS934" s="59">
        <v>0</v>
      </c>
      <c r="AT934" s="3">
        <v>1</v>
      </c>
      <c r="AU934" s="3">
        <v>8</v>
      </c>
      <c r="AV934" s="49">
        <v>81.144781144781092</v>
      </c>
      <c r="AW934" s="49">
        <v>9.4276094276094309</v>
      </c>
      <c r="AX934" s="49">
        <v>3.0303030303030298</v>
      </c>
      <c r="AY934" s="67">
        <v>6.3973063973063997</v>
      </c>
      <c r="AZ934" s="62">
        <v>4.449648711943794E-2</v>
      </c>
      <c r="BA934" s="62">
        <v>0.10772833723653395</v>
      </c>
      <c r="BB934" s="78">
        <v>93.290436740931398</v>
      </c>
      <c r="BC934" s="49">
        <v>55.2825552825553</v>
      </c>
      <c r="BD934" s="87">
        <v>3</v>
      </c>
      <c r="BE934" s="87">
        <v>0</v>
      </c>
      <c r="BF934" s="87">
        <v>0</v>
      </c>
      <c r="BG934" s="87">
        <v>0</v>
      </c>
      <c r="BH934" s="87">
        <v>0</v>
      </c>
      <c r="BI934" s="87">
        <v>5</v>
      </c>
      <c r="BJ934" s="49">
        <v>19.600000000000001</v>
      </c>
      <c r="BK934" s="126">
        <v>15346</v>
      </c>
      <c r="BL934" s="126">
        <v>50283</v>
      </c>
      <c r="BM934" s="126">
        <v>44241</v>
      </c>
      <c r="BN934" s="126">
        <v>46072</v>
      </c>
      <c r="BO934" s="59">
        <v>0</v>
      </c>
      <c r="BP934" s="59">
        <v>0.45250000000000001</v>
      </c>
      <c r="BQ934" s="59">
        <v>0.25</v>
      </c>
      <c r="BR934" s="59">
        <v>0</v>
      </c>
      <c r="BS934" s="59">
        <v>0</v>
      </c>
      <c r="BT934" s="49">
        <v>11.8</v>
      </c>
      <c r="BU934" s="59">
        <f t="shared" si="68"/>
        <v>0.70250000000000001</v>
      </c>
      <c r="BV934" s="59">
        <v>0</v>
      </c>
      <c r="BW934" s="59">
        <v>7.1300000000000002E-2</v>
      </c>
      <c r="BX934" s="59">
        <v>1.1900000000000001E-2</v>
      </c>
      <c r="BY934" s="59">
        <v>0</v>
      </c>
      <c r="BZ934" s="59">
        <v>0</v>
      </c>
      <c r="CA934" s="49">
        <v>19</v>
      </c>
      <c r="CB934" s="59">
        <f t="shared" si="69"/>
        <v>8.3199999999999996E-2</v>
      </c>
      <c r="CC934" s="59">
        <v>9.5299999999999996E-2</v>
      </c>
      <c r="CD934" s="59">
        <v>0.59519999999999995</v>
      </c>
      <c r="CE934" s="59">
        <v>0.2858</v>
      </c>
      <c r="CF934" s="59">
        <v>0</v>
      </c>
      <c r="CG934" s="59">
        <v>2.3800000000000002E-2</v>
      </c>
      <c r="CH934" s="49">
        <v>13.2</v>
      </c>
      <c r="CI934" s="26" t="s">
        <v>438</v>
      </c>
      <c r="CJ934" s="18" t="s">
        <v>489</v>
      </c>
      <c r="CK934" s="20"/>
    </row>
    <row r="935" spans="1:89" x14ac:dyDescent="0.25">
      <c r="A935" s="18" t="s">
        <v>489</v>
      </c>
      <c r="B935" s="19" t="s">
        <v>441</v>
      </c>
      <c r="C935" s="26" t="s">
        <v>441</v>
      </c>
      <c r="D935" s="6">
        <v>1</v>
      </c>
      <c r="E935" s="6">
        <v>0</v>
      </c>
      <c r="F935" s="6">
        <v>1</v>
      </c>
      <c r="G935" s="166">
        <v>0</v>
      </c>
      <c r="H935" s="166">
        <v>0</v>
      </c>
      <c r="I935" s="162" t="s">
        <v>83</v>
      </c>
      <c r="J935" s="166">
        <v>0</v>
      </c>
      <c r="K935" s="166">
        <v>0</v>
      </c>
      <c r="L935" s="166">
        <v>1</v>
      </c>
      <c r="M935" s="166">
        <v>0</v>
      </c>
      <c r="N935" s="119">
        <v>2.8409090909090901E-3</v>
      </c>
      <c r="O935" s="119">
        <v>3.9525691699604697E-3</v>
      </c>
      <c r="P935" s="119">
        <v>0</v>
      </c>
      <c r="Q935" s="119">
        <v>0</v>
      </c>
      <c r="R935" s="116" t="s">
        <v>83</v>
      </c>
      <c r="S935" s="119">
        <v>0</v>
      </c>
      <c r="T935" s="119">
        <v>0</v>
      </c>
      <c r="U935" s="119">
        <v>1.58730158730159E-2</v>
      </c>
      <c r="V935" s="119">
        <v>0</v>
      </c>
      <c r="W935" s="6">
        <v>746</v>
      </c>
      <c r="X935" s="40">
        <f t="shared" si="66"/>
        <v>251</v>
      </c>
      <c r="Y935" s="40">
        <f t="shared" si="67"/>
        <v>347</v>
      </c>
      <c r="Z935" s="59">
        <v>0.53890000000000005</v>
      </c>
      <c r="AA935" s="59">
        <v>0.46110000000000001</v>
      </c>
      <c r="AB935" s="61">
        <v>2.5469168900804289E-2</v>
      </c>
      <c r="AC935" s="61">
        <v>2.2788203753351208E-2</v>
      </c>
      <c r="AD935" s="61">
        <v>0.25335120643431636</v>
      </c>
      <c r="AE935" s="61">
        <v>3.4852546916890083E-2</v>
      </c>
      <c r="AF935" s="61">
        <v>0</v>
      </c>
      <c r="AG935" s="61">
        <v>0.65951742627345844</v>
      </c>
      <c r="AH935" s="61">
        <v>4.0214477211796247E-3</v>
      </c>
      <c r="AI935" s="61">
        <v>0.34048257372654156</v>
      </c>
      <c r="AJ935" s="59">
        <v>0.46400000000000002</v>
      </c>
      <c r="AK935" s="59">
        <v>0</v>
      </c>
      <c r="AL935" s="3">
        <v>48</v>
      </c>
      <c r="AM935" s="3">
        <v>48</v>
      </c>
      <c r="AN935" s="3">
        <v>0</v>
      </c>
      <c r="AO935" s="3">
        <v>66</v>
      </c>
      <c r="AP935" s="3">
        <v>68</v>
      </c>
      <c r="AQ935" s="3">
        <v>62</v>
      </c>
      <c r="AR935" s="3">
        <v>55</v>
      </c>
      <c r="AS935" s="59">
        <v>0</v>
      </c>
      <c r="AT935" s="3">
        <v>1</v>
      </c>
      <c r="AU935" s="3">
        <v>2</v>
      </c>
      <c r="AV935" s="49">
        <v>53.0744336569579</v>
      </c>
      <c r="AW935" s="49">
        <v>19.093851132686098</v>
      </c>
      <c r="AX935" s="49">
        <v>26.860841423948202</v>
      </c>
      <c r="AY935" s="67">
        <v>0.97087378640776711</v>
      </c>
      <c r="AZ935" s="62">
        <v>0</v>
      </c>
      <c r="BA935" s="62">
        <v>2.8985507246376812E-2</v>
      </c>
      <c r="BB935" s="77">
        <v>95.672399777865394</v>
      </c>
      <c r="BC935" s="49"/>
      <c r="BD935" s="87">
        <v>4.3</v>
      </c>
      <c r="BE935" s="87">
        <v>0</v>
      </c>
      <c r="BF935" s="87">
        <v>0</v>
      </c>
      <c r="BG935" s="87">
        <v>0</v>
      </c>
      <c r="BH935" s="87">
        <v>0</v>
      </c>
      <c r="BI935" s="87">
        <v>0</v>
      </c>
      <c r="BJ935" s="49">
        <v>23.4</v>
      </c>
      <c r="BK935" s="126">
        <v>7222</v>
      </c>
      <c r="BL935" s="126">
        <v>45986</v>
      </c>
      <c r="BM935" s="126">
        <v>63967</v>
      </c>
      <c r="BN935" s="126">
        <v>41136</v>
      </c>
      <c r="BO935" s="59">
        <v>0</v>
      </c>
      <c r="BP935" s="59">
        <v>0.3972</v>
      </c>
      <c r="BQ935" s="59">
        <v>0.1956</v>
      </c>
      <c r="BR935" s="59">
        <v>0</v>
      </c>
      <c r="BS935" s="59">
        <v>0</v>
      </c>
      <c r="BT935" s="49">
        <v>11.8</v>
      </c>
      <c r="BU935" s="59">
        <f t="shared" si="68"/>
        <v>0.59279999999999999</v>
      </c>
      <c r="BV935" s="59">
        <v>0</v>
      </c>
      <c r="BW935" s="59">
        <v>1.5900000000000001E-2</v>
      </c>
      <c r="BX935" s="59">
        <v>1.5900000000000001E-2</v>
      </c>
      <c r="BY935" s="59">
        <v>0</v>
      </c>
      <c r="BZ935" s="59">
        <v>0</v>
      </c>
      <c r="CA935" s="49">
        <v>29</v>
      </c>
      <c r="CB935" s="59">
        <f t="shared" si="69"/>
        <v>3.1800000000000002E-2</v>
      </c>
      <c r="CC935" s="59">
        <v>0.30669999999999997</v>
      </c>
      <c r="CD935" s="59">
        <v>0.46600000000000003</v>
      </c>
      <c r="CE935" s="59">
        <v>0.2273</v>
      </c>
      <c r="CF935" s="59">
        <v>0</v>
      </c>
      <c r="CG935" s="59">
        <v>0</v>
      </c>
      <c r="CH935" s="49">
        <v>11.8</v>
      </c>
      <c r="CI935" s="26" t="s">
        <v>441</v>
      </c>
      <c r="CJ935" s="18" t="s">
        <v>489</v>
      </c>
      <c r="CK935" s="20"/>
    </row>
    <row r="936" spans="1:89" x14ac:dyDescent="0.25">
      <c r="A936" s="18" t="s">
        <v>489</v>
      </c>
      <c r="B936" s="19" t="s">
        <v>442</v>
      </c>
      <c r="C936" s="26" t="s">
        <v>442</v>
      </c>
      <c r="D936" s="6">
        <v>3</v>
      </c>
      <c r="E936" s="40" t="s">
        <v>83</v>
      </c>
      <c r="F936" s="6">
        <v>3</v>
      </c>
      <c r="G936" s="162" t="s">
        <v>83</v>
      </c>
      <c r="H936" s="162" t="s">
        <v>83</v>
      </c>
      <c r="I936" s="162" t="s">
        <v>83</v>
      </c>
      <c r="J936" s="166">
        <v>2</v>
      </c>
      <c r="K936" s="166">
        <v>1</v>
      </c>
      <c r="L936" s="166">
        <v>0</v>
      </c>
      <c r="M936" s="166">
        <v>0</v>
      </c>
      <c r="N936" s="119">
        <v>1.26582278481013E-2</v>
      </c>
      <c r="O936" s="119">
        <v>1.26582278481013E-2</v>
      </c>
      <c r="P936" s="116" t="s">
        <v>83</v>
      </c>
      <c r="Q936" s="116" t="s">
        <v>83</v>
      </c>
      <c r="R936" s="116" t="s">
        <v>83</v>
      </c>
      <c r="S936" s="119">
        <v>2.9850746268656699E-2</v>
      </c>
      <c r="T936" s="119">
        <v>1.63934426229508E-2</v>
      </c>
      <c r="U936" s="119">
        <v>0</v>
      </c>
      <c r="V936" s="119">
        <v>0</v>
      </c>
      <c r="W936" s="6">
        <v>243</v>
      </c>
      <c r="X936" s="40">
        <f t="shared" si="66"/>
        <v>243</v>
      </c>
      <c r="Y936" s="40">
        <f t="shared" si="67"/>
        <v>243</v>
      </c>
      <c r="Z936" s="59">
        <v>0.67900000000000005</v>
      </c>
      <c r="AA936" s="59">
        <v>0.32100000000000001</v>
      </c>
      <c r="AB936" s="61">
        <v>1.2345679012345678E-2</v>
      </c>
      <c r="AC936" s="61">
        <v>1.646090534979424E-2</v>
      </c>
      <c r="AD936" s="61">
        <v>0.2839506172839506</v>
      </c>
      <c r="AE936" s="61">
        <v>7.407407407407407E-2</v>
      </c>
      <c r="AF936" s="61">
        <v>8.23045267489712E-3</v>
      </c>
      <c r="AG936" s="61">
        <v>0.54732510288065839</v>
      </c>
      <c r="AH936" s="61">
        <v>5.7613168724279837E-2</v>
      </c>
      <c r="AI936" s="61">
        <v>0.45267489711934156</v>
      </c>
      <c r="AJ936" s="59">
        <v>0.33300000000000002</v>
      </c>
      <c r="AK936" s="59">
        <v>0</v>
      </c>
      <c r="AL936" s="3">
        <v>0</v>
      </c>
      <c r="AM936" s="3">
        <v>0</v>
      </c>
      <c r="AN936" s="3">
        <v>0</v>
      </c>
      <c r="AO936" s="3">
        <v>73</v>
      </c>
      <c r="AP936" s="3">
        <v>61</v>
      </c>
      <c r="AQ936" s="3">
        <v>53</v>
      </c>
      <c r="AR936" s="3">
        <v>56</v>
      </c>
      <c r="AS936" s="59">
        <v>0</v>
      </c>
      <c r="AT936" s="3">
        <v>9</v>
      </c>
      <c r="AU936" s="3">
        <v>9</v>
      </c>
      <c r="AV936" s="49">
        <v>65.811965811965806</v>
      </c>
      <c r="AW936" s="49">
        <v>10.2564102564103</v>
      </c>
      <c r="AX936" s="49">
        <v>16.239316239316199</v>
      </c>
      <c r="AY936" s="67">
        <v>7.6923076923076898</v>
      </c>
      <c r="AZ936" s="62">
        <v>0</v>
      </c>
      <c r="BA936" s="62">
        <v>0</v>
      </c>
      <c r="BB936" s="78">
        <v>99.117483437010094</v>
      </c>
      <c r="BC936" s="49"/>
      <c r="BD936" s="90" t="s">
        <v>83</v>
      </c>
      <c r="BE936" s="90" t="s">
        <v>83</v>
      </c>
      <c r="BF936" s="87">
        <v>1.6</v>
      </c>
      <c r="BG936" s="87">
        <v>0</v>
      </c>
      <c r="BH936" s="87">
        <v>0</v>
      </c>
      <c r="BI936" s="87">
        <v>0</v>
      </c>
      <c r="BJ936" s="49">
        <v>22.9</v>
      </c>
      <c r="BK936" s="126">
        <v>33289</v>
      </c>
      <c r="BL936" s="126">
        <v>50212</v>
      </c>
      <c r="BM936" s="126">
        <v>67000</v>
      </c>
      <c r="BN936" s="126">
        <v>52407</v>
      </c>
      <c r="BO936" s="59">
        <v>6.6500000000000004E-2</v>
      </c>
      <c r="BP936" s="59">
        <v>0.1472</v>
      </c>
      <c r="BQ936" s="59">
        <v>0.35699999999999998</v>
      </c>
      <c r="BR936" s="59">
        <v>0</v>
      </c>
      <c r="BS936" s="59">
        <v>0.15970000000000001</v>
      </c>
      <c r="BT936" s="49">
        <v>11.7</v>
      </c>
      <c r="BU936" s="59">
        <f t="shared" si="68"/>
        <v>0.73039999999999994</v>
      </c>
      <c r="BV936" s="59">
        <v>1.26E-2</v>
      </c>
      <c r="BW936" s="59">
        <v>0</v>
      </c>
      <c r="BX936" s="59">
        <v>0</v>
      </c>
      <c r="BY936" s="59">
        <v>0</v>
      </c>
      <c r="BZ936" s="59">
        <v>0</v>
      </c>
      <c r="CA936" s="49">
        <v>17</v>
      </c>
      <c r="CB936" s="59">
        <f t="shared" si="69"/>
        <v>1.26E-2</v>
      </c>
      <c r="CC936" s="59">
        <v>0.1726</v>
      </c>
      <c r="CD936" s="59">
        <v>0.2036</v>
      </c>
      <c r="CE936" s="59">
        <v>0.43880000000000002</v>
      </c>
      <c r="CF936" s="59">
        <v>1.26E-2</v>
      </c>
      <c r="CG936" s="59">
        <v>0.17230000000000001</v>
      </c>
      <c r="CH936" s="49">
        <v>12.7</v>
      </c>
      <c r="CI936" s="26" t="s">
        <v>442</v>
      </c>
      <c r="CJ936" s="18" t="s">
        <v>489</v>
      </c>
      <c r="CK936" s="20"/>
    </row>
    <row r="937" spans="1:89" x14ac:dyDescent="0.25">
      <c r="A937" s="18" t="s">
        <v>489</v>
      </c>
      <c r="B937" s="19" t="s">
        <v>443</v>
      </c>
      <c r="C937" s="26" t="s">
        <v>443</v>
      </c>
      <c r="D937" s="6">
        <v>3</v>
      </c>
      <c r="E937" s="6">
        <v>1</v>
      </c>
      <c r="F937" s="6">
        <v>2</v>
      </c>
      <c r="G937" s="166">
        <v>0</v>
      </c>
      <c r="H937" s="166">
        <v>1</v>
      </c>
      <c r="I937" s="162" t="s">
        <v>83</v>
      </c>
      <c r="J937" s="166">
        <v>0</v>
      </c>
      <c r="K937" s="166">
        <v>2</v>
      </c>
      <c r="L937" s="166">
        <v>0</v>
      </c>
      <c r="M937" s="166">
        <v>0</v>
      </c>
      <c r="N937" s="119">
        <v>7.7922077922077896E-3</v>
      </c>
      <c r="O937" s="119">
        <v>8.1632653061224497E-3</v>
      </c>
      <c r="P937" s="119">
        <v>0</v>
      </c>
      <c r="Q937" s="119">
        <v>1.4285714285714299E-2</v>
      </c>
      <c r="R937" s="116" t="s">
        <v>83</v>
      </c>
      <c r="S937" s="119">
        <v>0</v>
      </c>
      <c r="T937" s="119">
        <v>2.8169014084507001E-2</v>
      </c>
      <c r="U937" s="119">
        <v>0</v>
      </c>
      <c r="V937" s="119">
        <v>0</v>
      </c>
      <c r="W937" s="6">
        <v>857</v>
      </c>
      <c r="X937" s="40">
        <f t="shared" si="66"/>
        <v>236</v>
      </c>
      <c r="Y937" s="40">
        <f t="shared" si="67"/>
        <v>372</v>
      </c>
      <c r="Z937" s="59">
        <v>0.47839999999999999</v>
      </c>
      <c r="AA937" s="59">
        <v>0.52159999999999995</v>
      </c>
      <c r="AB937" s="61">
        <v>0</v>
      </c>
      <c r="AC937" s="61">
        <v>3.5005834305717621E-3</v>
      </c>
      <c r="AD937" s="61">
        <v>0.33955659276546091</v>
      </c>
      <c r="AE937" s="61">
        <v>3.8506417736289385E-2</v>
      </c>
      <c r="AF937" s="61">
        <v>0</v>
      </c>
      <c r="AG937" s="61">
        <v>0.60443407234539093</v>
      </c>
      <c r="AH937" s="61">
        <v>1.4002333722287048E-2</v>
      </c>
      <c r="AI937" s="61">
        <v>0.39556592765460913</v>
      </c>
      <c r="AJ937" s="59">
        <v>0.65500000000000003</v>
      </c>
      <c r="AK937" s="59">
        <v>0</v>
      </c>
      <c r="AL937" s="3">
        <v>69</v>
      </c>
      <c r="AM937" s="3">
        <v>67</v>
      </c>
      <c r="AN937" s="3">
        <v>0</v>
      </c>
      <c r="AO937" s="3">
        <v>73</v>
      </c>
      <c r="AP937" s="3">
        <v>64</v>
      </c>
      <c r="AQ937" s="3">
        <v>60</v>
      </c>
      <c r="AR937" s="3">
        <v>39</v>
      </c>
      <c r="AS937" s="59">
        <v>0</v>
      </c>
      <c r="AT937" s="3">
        <v>1</v>
      </c>
      <c r="AU937" s="3">
        <v>2</v>
      </c>
      <c r="AV937" s="49">
        <v>39.097744360902297</v>
      </c>
      <c r="AW937" s="49">
        <v>54.887218045112796</v>
      </c>
      <c r="AX937" s="49">
        <v>4.5112781954887202</v>
      </c>
      <c r="AY937" s="67">
        <v>1.5037593984962401</v>
      </c>
      <c r="AZ937" s="62">
        <v>1.9428571428571427E-2</v>
      </c>
      <c r="BA937" s="62">
        <v>1.9428571428571427E-2</v>
      </c>
      <c r="BB937" s="77">
        <v>95.242632688121205</v>
      </c>
      <c r="BC937" s="49">
        <v>21.0285714285714</v>
      </c>
      <c r="BD937" s="87">
        <v>0</v>
      </c>
      <c r="BE937" s="87">
        <v>0</v>
      </c>
      <c r="BF937" s="87">
        <v>0</v>
      </c>
      <c r="BG937" s="87">
        <v>0</v>
      </c>
      <c r="BH937" s="87">
        <v>0</v>
      </c>
      <c r="BI937" s="87">
        <v>0</v>
      </c>
      <c r="BJ937" s="49">
        <v>19.5</v>
      </c>
      <c r="BK937" s="126">
        <v>9071</v>
      </c>
      <c r="BL937" s="126">
        <v>54027</v>
      </c>
      <c r="BM937" s="126">
        <v>81470</v>
      </c>
      <c r="BN937" s="126">
        <v>39814</v>
      </c>
      <c r="BO937" s="59">
        <v>0</v>
      </c>
      <c r="BP937" s="59">
        <v>0.28189999999999998</v>
      </c>
      <c r="BQ937" s="59">
        <v>0.18149999999999999</v>
      </c>
      <c r="BR937" s="59">
        <v>0</v>
      </c>
      <c r="BS937" s="59">
        <v>0</v>
      </c>
      <c r="BT937" s="49">
        <v>11.5</v>
      </c>
      <c r="BU937" s="59">
        <f t="shared" si="68"/>
        <v>0.46339999999999998</v>
      </c>
      <c r="BV937" s="59">
        <v>8.5000000000000006E-3</v>
      </c>
      <c r="BW937" s="59">
        <v>7.1000000000000004E-3</v>
      </c>
      <c r="BX937" s="59">
        <v>2.7199999999999998E-2</v>
      </c>
      <c r="BY937" s="59">
        <v>0</v>
      </c>
      <c r="BZ937" s="59">
        <v>0</v>
      </c>
      <c r="CA937" s="49">
        <v>18.600000000000001</v>
      </c>
      <c r="CB937" s="59">
        <f t="shared" si="69"/>
        <v>4.2799999999999998E-2</v>
      </c>
      <c r="CC937" s="59">
        <v>0.45700000000000002</v>
      </c>
      <c r="CD937" s="59">
        <v>0.31619999999999998</v>
      </c>
      <c r="CE937" s="59">
        <v>0.2268</v>
      </c>
      <c r="CF937" s="59">
        <v>0</v>
      </c>
      <c r="CG937" s="59">
        <v>0</v>
      </c>
      <c r="CH937" s="49">
        <v>10.1</v>
      </c>
      <c r="CI937" s="26" t="s">
        <v>443</v>
      </c>
      <c r="CJ937" s="18" t="s">
        <v>489</v>
      </c>
      <c r="CK937" s="20"/>
    </row>
    <row r="938" spans="1:89" x14ac:dyDescent="0.25">
      <c r="A938" s="18" t="s">
        <v>489</v>
      </c>
      <c r="B938" s="19" t="s">
        <v>444</v>
      </c>
      <c r="C938" s="26" t="s">
        <v>444</v>
      </c>
      <c r="D938" s="6">
        <v>2</v>
      </c>
      <c r="E938" s="6">
        <v>0</v>
      </c>
      <c r="F938" s="6">
        <v>2</v>
      </c>
      <c r="G938" s="166">
        <v>0</v>
      </c>
      <c r="H938" s="166">
        <v>0</v>
      </c>
      <c r="I938" s="166">
        <v>0</v>
      </c>
      <c r="J938" s="166">
        <v>0</v>
      </c>
      <c r="K938" s="166">
        <v>2</v>
      </c>
      <c r="L938" s="166">
        <v>0</v>
      </c>
      <c r="M938" s="166">
        <v>0</v>
      </c>
      <c r="N938" s="119">
        <v>4.8899755501222502E-3</v>
      </c>
      <c r="O938" s="119">
        <v>7.9681274900398405E-3</v>
      </c>
      <c r="P938" s="119">
        <v>0</v>
      </c>
      <c r="Q938" s="119">
        <v>0</v>
      </c>
      <c r="R938" s="119">
        <v>0</v>
      </c>
      <c r="S938" s="119">
        <v>0</v>
      </c>
      <c r="T938" s="119">
        <v>3.2258064516128997E-2</v>
      </c>
      <c r="U938" s="119">
        <v>0</v>
      </c>
      <c r="V938" s="119">
        <v>0</v>
      </c>
      <c r="W938" s="6">
        <v>945</v>
      </c>
      <c r="X938" s="40">
        <f t="shared" si="66"/>
        <v>248</v>
      </c>
      <c r="Y938" s="40">
        <f t="shared" si="67"/>
        <v>402</v>
      </c>
      <c r="Z938" s="59">
        <v>0.48039999999999999</v>
      </c>
      <c r="AA938" s="59">
        <v>0.51959999999999995</v>
      </c>
      <c r="AB938" s="61">
        <v>1.0582010582010581E-2</v>
      </c>
      <c r="AC938" s="61">
        <v>8.4656084656084662E-3</v>
      </c>
      <c r="AD938" s="61">
        <v>6.6666666666666666E-2</v>
      </c>
      <c r="AE938" s="61">
        <v>0.10052910052910052</v>
      </c>
      <c r="AF938" s="61">
        <v>3.1746031746031746E-3</v>
      </c>
      <c r="AG938" s="61">
        <v>0.78518518518518521</v>
      </c>
      <c r="AH938" s="61">
        <v>2.5396825396825397E-2</v>
      </c>
      <c r="AI938" s="61">
        <v>0.21481481481481482</v>
      </c>
      <c r="AJ938" s="59">
        <v>0.55700000000000005</v>
      </c>
      <c r="AK938" s="59">
        <v>4.6600000000000003E-2</v>
      </c>
      <c r="AL938" s="3">
        <v>79</v>
      </c>
      <c r="AM938" s="3">
        <v>75</v>
      </c>
      <c r="AN938" s="3">
        <v>1</v>
      </c>
      <c r="AO938" s="3">
        <v>74</v>
      </c>
      <c r="AP938" s="3">
        <v>60</v>
      </c>
      <c r="AQ938" s="3">
        <v>65</v>
      </c>
      <c r="AR938" s="3">
        <v>48</v>
      </c>
      <c r="AS938" s="59">
        <v>1.3333333333333334E-2</v>
      </c>
      <c r="AT938" s="3">
        <v>1</v>
      </c>
      <c r="AU938" s="3">
        <v>2</v>
      </c>
      <c r="AV938" s="49">
        <v>38.605898123324401</v>
      </c>
      <c r="AW938" s="49">
        <v>47.989276139410194</v>
      </c>
      <c r="AX938" s="49">
        <v>13.4048257372654</v>
      </c>
      <c r="AY938" s="67">
        <v>0</v>
      </c>
      <c r="AZ938" s="62">
        <v>0</v>
      </c>
      <c r="BA938" s="62">
        <v>2.05761316872428E-3</v>
      </c>
      <c r="BB938" s="78">
        <v>95.2853713025019</v>
      </c>
      <c r="BC938" s="49">
        <v>57.716049382716101</v>
      </c>
      <c r="BD938" s="87">
        <v>0</v>
      </c>
      <c r="BE938" s="87">
        <v>0</v>
      </c>
      <c r="BF938" s="87">
        <v>0</v>
      </c>
      <c r="BG938" s="87">
        <v>0</v>
      </c>
      <c r="BH938" s="87">
        <v>0</v>
      </c>
      <c r="BI938" s="87">
        <v>0</v>
      </c>
      <c r="BJ938" s="49">
        <v>20.9</v>
      </c>
      <c r="BK938" s="126">
        <v>9323</v>
      </c>
      <c r="BL938" s="126">
        <v>48998</v>
      </c>
      <c r="BM938" s="126">
        <v>44253</v>
      </c>
      <c r="BN938" s="126">
        <v>41152</v>
      </c>
      <c r="BO938" s="59">
        <v>0</v>
      </c>
      <c r="BP938" s="59">
        <v>0.4244</v>
      </c>
      <c r="BQ938" s="59">
        <v>0.1769</v>
      </c>
      <c r="BR938" s="59">
        <v>0</v>
      </c>
      <c r="BS938" s="59">
        <v>0</v>
      </c>
      <c r="BT938" s="49">
        <v>10.8</v>
      </c>
      <c r="BU938" s="59">
        <f t="shared" si="68"/>
        <v>0.60129999999999995</v>
      </c>
      <c r="BV938" s="59">
        <v>2.23E-2</v>
      </c>
      <c r="BW938" s="59">
        <v>0</v>
      </c>
      <c r="BX938" s="59">
        <v>1.06E-2</v>
      </c>
      <c r="BY938" s="59">
        <v>6.7000000000000002E-3</v>
      </c>
      <c r="BZ938" s="59">
        <v>0</v>
      </c>
      <c r="CA938" s="49">
        <v>1.6</v>
      </c>
      <c r="CB938" s="59">
        <f t="shared" si="69"/>
        <v>3.9599999999999996E-2</v>
      </c>
      <c r="CC938" s="59">
        <v>0.29709999999999998</v>
      </c>
      <c r="CD938" s="59">
        <v>0.4899</v>
      </c>
      <c r="CE938" s="59">
        <v>0.20230000000000001</v>
      </c>
      <c r="CF938" s="59">
        <v>1.06E-2</v>
      </c>
      <c r="CG938" s="59">
        <v>0</v>
      </c>
      <c r="CH938" s="49">
        <v>7.6</v>
      </c>
      <c r="CI938" s="26" t="s">
        <v>444</v>
      </c>
      <c r="CJ938" s="18" t="s">
        <v>489</v>
      </c>
      <c r="CK938" s="20"/>
    </row>
    <row r="939" spans="1:89" x14ac:dyDescent="0.25">
      <c r="A939" s="18" t="s">
        <v>489</v>
      </c>
      <c r="B939" s="19" t="s">
        <v>488</v>
      </c>
      <c r="C939" s="26" t="s">
        <v>446</v>
      </c>
      <c r="D939" s="6">
        <v>3</v>
      </c>
      <c r="E939" s="40" t="s">
        <v>83</v>
      </c>
      <c r="F939" s="6">
        <v>3</v>
      </c>
      <c r="G939" s="162" t="s">
        <v>83</v>
      </c>
      <c r="H939" s="162" t="s">
        <v>83</v>
      </c>
      <c r="I939" s="162" t="s">
        <v>83</v>
      </c>
      <c r="J939" s="166">
        <v>0</v>
      </c>
      <c r="K939" s="166">
        <v>0</v>
      </c>
      <c r="L939" s="166">
        <v>1</v>
      </c>
      <c r="M939" s="166">
        <v>2</v>
      </c>
      <c r="N939" s="119">
        <v>5.7142857142857099E-3</v>
      </c>
      <c r="O939" s="119">
        <v>5.7142857142857099E-3</v>
      </c>
      <c r="P939" s="116" t="s">
        <v>83</v>
      </c>
      <c r="Q939" s="116" t="s">
        <v>83</v>
      </c>
      <c r="R939" s="116" t="s">
        <v>83</v>
      </c>
      <c r="S939" s="119">
        <v>0</v>
      </c>
      <c r="T939" s="119">
        <v>0</v>
      </c>
      <c r="U939" s="119">
        <v>7.0422535211267599E-3</v>
      </c>
      <c r="V939" s="119">
        <v>2.06185567010309E-2</v>
      </c>
      <c r="W939" s="6">
        <v>511</v>
      </c>
      <c r="X939" s="40">
        <f t="shared" si="66"/>
        <v>511</v>
      </c>
      <c r="Y939" s="40">
        <f t="shared" si="67"/>
        <v>511</v>
      </c>
      <c r="Z939" s="59">
        <v>0.47749999999999998</v>
      </c>
      <c r="AA939" s="59">
        <v>0.52249999999999996</v>
      </c>
      <c r="AB939" s="61">
        <v>0</v>
      </c>
      <c r="AC939" s="61">
        <v>1.9569471624266144E-3</v>
      </c>
      <c r="AD939" s="61">
        <v>0.99608610567514677</v>
      </c>
      <c r="AE939" s="61">
        <v>1.9569471624266144E-3</v>
      </c>
      <c r="AF939" s="61">
        <v>0</v>
      </c>
      <c r="AG939" s="61">
        <v>0</v>
      </c>
      <c r="AH939" s="61">
        <v>0</v>
      </c>
      <c r="AI939" s="61">
        <v>1</v>
      </c>
      <c r="AJ939" s="59">
        <v>0.91200000000000003</v>
      </c>
      <c r="AK939" s="59">
        <v>0</v>
      </c>
      <c r="AL939" s="3">
        <v>0</v>
      </c>
      <c r="AM939" s="3">
        <v>0</v>
      </c>
      <c r="AN939" s="3">
        <v>0</v>
      </c>
      <c r="AO939" s="3">
        <v>142</v>
      </c>
      <c r="AP939" s="3">
        <v>146</v>
      </c>
      <c r="AQ939" s="3">
        <v>125</v>
      </c>
      <c r="AR939" s="3">
        <v>98</v>
      </c>
      <c r="AS939" s="59">
        <v>0</v>
      </c>
      <c r="AT939" s="3">
        <v>9</v>
      </c>
      <c r="AU939" s="3">
        <v>2</v>
      </c>
      <c r="AV939" s="49">
        <v>41.450777202072494</v>
      </c>
      <c r="AW939" s="49">
        <v>40.9326424870466</v>
      </c>
      <c r="AX939" s="49">
        <v>17.098445595854901</v>
      </c>
      <c r="AY939" s="67">
        <v>0.51813471502590702</v>
      </c>
      <c r="AZ939" s="62">
        <v>0</v>
      </c>
      <c r="BA939" s="62">
        <v>0</v>
      </c>
      <c r="BB939" s="77">
        <v>97.143464304488404</v>
      </c>
      <c r="BC939" s="49">
        <v>4.3893129770992401</v>
      </c>
      <c r="BD939" s="90" t="s">
        <v>83</v>
      </c>
      <c r="BE939" s="90" t="s">
        <v>83</v>
      </c>
      <c r="BF939" s="87">
        <v>0</v>
      </c>
      <c r="BG939" s="87">
        <v>0</v>
      </c>
      <c r="BH939" s="87">
        <v>0</v>
      </c>
      <c r="BI939" s="87">
        <v>0</v>
      </c>
      <c r="BJ939" s="49">
        <v>17.600000000000001</v>
      </c>
      <c r="BK939" s="126">
        <v>9773</v>
      </c>
      <c r="BL939" s="126">
        <v>52302</v>
      </c>
      <c r="BM939" s="126">
        <v>82052</v>
      </c>
      <c r="BN939" s="126">
        <v>53224</v>
      </c>
      <c r="BO939" s="59">
        <v>2.3300000000000001E-2</v>
      </c>
      <c r="BP939" s="59">
        <v>0.43380000000000002</v>
      </c>
      <c r="BQ939" s="59">
        <v>0.25619999999999998</v>
      </c>
      <c r="BR939" s="59">
        <v>0</v>
      </c>
      <c r="BS939" s="59">
        <v>0</v>
      </c>
      <c r="BT939" s="49">
        <v>10.3</v>
      </c>
      <c r="BU939" s="59">
        <f t="shared" si="68"/>
        <v>0.71330000000000005</v>
      </c>
      <c r="BV939" s="59">
        <v>2.3300000000000001E-2</v>
      </c>
      <c r="BW939" s="59">
        <v>2.3300000000000001E-2</v>
      </c>
      <c r="BX939" s="59">
        <v>3.5400000000000001E-2</v>
      </c>
      <c r="BY939" s="59">
        <v>0</v>
      </c>
      <c r="BZ939" s="59">
        <v>0</v>
      </c>
      <c r="CA939" s="49">
        <v>15.9</v>
      </c>
      <c r="CB939" s="59">
        <f t="shared" si="69"/>
        <v>8.2000000000000003E-2</v>
      </c>
      <c r="CC939" s="59">
        <v>0.14000000000000001</v>
      </c>
      <c r="CD939" s="59">
        <v>0.50460000000000005</v>
      </c>
      <c r="CE939" s="59">
        <v>0.33339999999999997</v>
      </c>
      <c r="CF939" s="59">
        <v>0</v>
      </c>
      <c r="CG939" s="59">
        <v>2.1999999999999999E-2</v>
      </c>
      <c r="CH939" s="49">
        <v>10.7</v>
      </c>
      <c r="CI939" s="26" t="s">
        <v>446</v>
      </c>
      <c r="CJ939" s="18" t="s">
        <v>489</v>
      </c>
      <c r="CK939" s="20"/>
    </row>
    <row r="940" spans="1:89" x14ac:dyDescent="0.25">
      <c r="A940" s="18" t="s">
        <v>489</v>
      </c>
      <c r="B940" s="19" t="s">
        <v>447</v>
      </c>
      <c r="C940" s="26" t="s">
        <v>448</v>
      </c>
      <c r="D940" s="6">
        <v>28</v>
      </c>
      <c r="E940" s="40" t="s">
        <v>83</v>
      </c>
      <c r="F940" s="6">
        <v>28</v>
      </c>
      <c r="G940" s="162" t="s">
        <v>83</v>
      </c>
      <c r="H940" s="162" t="s">
        <v>83</v>
      </c>
      <c r="I940" s="162" t="s">
        <v>83</v>
      </c>
      <c r="J940" s="166">
        <v>11</v>
      </c>
      <c r="K940" s="166">
        <v>6</v>
      </c>
      <c r="L940" s="166">
        <v>5</v>
      </c>
      <c r="M940" s="166">
        <v>6</v>
      </c>
      <c r="N940" s="119">
        <v>4.4303797468354403E-2</v>
      </c>
      <c r="O940" s="119">
        <v>4.4303797468354403E-2</v>
      </c>
      <c r="P940" s="116" t="s">
        <v>83</v>
      </c>
      <c r="Q940" s="116" t="s">
        <v>83</v>
      </c>
      <c r="R940" s="116" t="s">
        <v>83</v>
      </c>
      <c r="S940" s="119">
        <v>7.1428571428571397E-2</v>
      </c>
      <c r="T940" s="119">
        <v>3.3707865168539297E-2</v>
      </c>
      <c r="U940" s="119">
        <v>3.2051282051282E-2</v>
      </c>
      <c r="V940" s="119">
        <v>4.1666666666666699E-2</v>
      </c>
      <c r="W940" s="6">
        <v>567</v>
      </c>
      <c r="X940" s="40">
        <f t="shared" si="66"/>
        <v>567</v>
      </c>
      <c r="Y940" s="40">
        <f t="shared" si="67"/>
        <v>567</v>
      </c>
      <c r="Z940" s="59">
        <v>0.55030000000000001</v>
      </c>
      <c r="AA940" s="59">
        <v>0.44969999999999999</v>
      </c>
      <c r="AB940" s="61">
        <v>0</v>
      </c>
      <c r="AC940" s="61">
        <v>7.2310405643738973E-2</v>
      </c>
      <c r="AD940" s="61">
        <v>0.61375661375661372</v>
      </c>
      <c r="AE940" s="61">
        <v>0.22398589065255731</v>
      </c>
      <c r="AF940" s="61">
        <v>0</v>
      </c>
      <c r="AG940" s="61">
        <v>7.5837742504409167E-2</v>
      </c>
      <c r="AH940" s="61">
        <v>1.4109347442680775E-2</v>
      </c>
      <c r="AI940" s="61">
        <v>0.92416225749559078</v>
      </c>
      <c r="AJ940" s="59">
        <v>0.76900000000000002</v>
      </c>
      <c r="AK940" s="59">
        <v>0.1129</v>
      </c>
      <c r="AL940" s="3">
        <v>0</v>
      </c>
      <c r="AM940" s="3">
        <v>0</v>
      </c>
      <c r="AN940" s="3">
        <v>0</v>
      </c>
      <c r="AO940" s="3">
        <v>128</v>
      </c>
      <c r="AP940" s="3">
        <v>161</v>
      </c>
      <c r="AQ940" s="3">
        <v>148</v>
      </c>
      <c r="AR940" s="3">
        <v>130</v>
      </c>
      <c r="AS940" s="59">
        <v>0</v>
      </c>
      <c r="AT940" s="3">
        <v>9</v>
      </c>
      <c r="AU940" s="3">
        <v>2</v>
      </c>
      <c r="AV940" s="49">
        <v>50.2092050209205</v>
      </c>
      <c r="AW940" s="49">
        <v>37.238493723849395</v>
      </c>
      <c r="AX940" s="49">
        <v>11.297071129707099</v>
      </c>
      <c r="AY940" s="67">
        <v>1.2552301255230098</v>
      </c>
      <c r="AZ940" s="62">
        <v>0.10771704180064309</v>
      </c>
      <c r="BA940" s="62">
        <v>9.0032154340836015E-2</v>
      </c>
      <c r="BB940" s="78">
        <v>94.059504270466306</v>
      </c>
      <c r="BC940" s="49">
        <v>71.290322580645196</v>
      </c>
      <c r="BD940" s="90" t="s">
        <v>83</v>
      </c>
      <c r="BE940" s="90" t="s">
        <v>83</v>
      </c>
      <c r="BF940" s="87">
        <v>14.3</v>
      </c>
      <c r="BG940" s="87">
        <v>8.8000000000000007</v>
      </c>
      <c r="BH940" s="87">
        <v>3.4</v>
      </c>
      <c r="BI940" s="87">
        <v>3.1</v>
      </c>
      <c r="BJ940" s="49">
        <v>18.399999999999999</v>
      </c>
      <c r="BK940" s="126">
        <v>11082</v>
      </c>
      <c r="BL940" s="126">
        <v>46660</v>
      </c>
      <c r="BM940" s="126">
        <v>99294</v>
      </c>
      <c r="BN940" s="126">
        <v>45993</v>
      </c>
      <c r="BO940" s="59">
        <v>1.26E-2</v>
      </c>
      <c r="BP940" s="59">
        <v>0.27850000000000003</v>
      </c>
      <c r="BQ940" s="59">
        <v>0.1799</v>
      </c>
      <c r="BR940" s="59">
        <v>0</v>
      </c>
      <c r="BS940" s="59">
        <v>5.0500000000000003E-2</v>
      </c>
      <c r="BT940" s="49">
        <v>7.2</v>
      </c>
      <c r="BU940" s="59">
        <f t="shared" si="68"/>
        <v>0.52150000000000007</v>
      </c>
      <c r="BV940" s="59">
        <v>0</v>
      </c>
      <c r="BW940" s="59">
        <v>1.26E-2</v>
      </c>
      <c r="BX940" s="59">
        <v>3.7900000000000003E-2</v>
      </c>
      <c r="BY940" s="59">
        <v>0</v>
      </c>
      <c r="BZ940" s="59">
        <v>0</v>
      </c>
      <c r="CA940" s="49">
        <v>14</v>
      </c>
      <c r="CB940" s="59">
        <f t="shared" si="69"/>
        <v>5.0500000000000003E-2</v>
      </c>
      <c r="CC940" s="59">
        <v>0.23980000000000001</v>
      </c>
      <c r="CD940" s="59">
        <v>0.4047</v>
      </c>
      <c r="CE940" s="59">
        <v>0.30509999999999998</v>
      </c>
      <c r="CF940" s="59">
        <v>0</v>
      </c>
      <c r="CG940" s="59">
        <v>5.0500000000000003E-2</v>
      </c>
      <c r="CH940" s="49">
        <v>7.8</v>
      </c>
      <c r="CI940" s="26" t="s">
        <v>448</v>
      </c>
      <c r="CJ940" s="18" t="s">
        <v>489</v>
      </c>
      <c r="CK940" s="20"/>
    </row>
    <row r="941" spans="1:89" x14ac:dyDescent="0.25">
      <c r="A941" s="18" t="s">
        <v>489</v>
      </c>
      <c r="B941" s="19" t="s">
        <v>499</v>
      </c>
      <c r="C941" s="26" t="s">
        <v>499</v>
      </c>
      <c r="D941" s="6">
        <v>10</v>
      </c>
      <c r="E941" s="40" t="s">
        <v>83</v>
      </c>
      <c r="F941" s="6">
        <v>10</v>
      </c>
      <c r="G941" s="162" t="s">
        <v>83</v>
      </c>
      <c r="H941" s="162" t="s">
        <v>83</v>
      </c>
      <c r="I941" s="166">
        <v>0</v>
      </c>
      <c r="J941" s="166">
        <v>3</v>
      </c>
      <c r="K941" s="166">
        <v>4</v>
      </c>
      <c r="L941" s="166">
        <v>3</v>
      </c>
      <c r="M941" s="166">
        <v>0</v>
      </c>
      <c r="N941" s="119">
        <v>1.2484394506866401E-2</v>
      </c>
      <c r="O941" s="119">
        <v>1.2484394506866401E-2</v>
      </c>
      <c r="P941" s="116" t="s">
        <v>83</v>
      </c>
      <c r="Q941" s="116" t="s">
        <v>83</v>
      </c>
      <c r="R941" s="119">
        <v>0</v>
      </c>
      <c r="S941" s="119">
        <v>1.21951219512195E-2</v>
      </c>
      <c r="T941" s="119">
        <v>1.8018018018018001E-2</v>
      </c>
      <c r="U941" s="119">
        <v>1.6483516483516501E-2</v>
      </c>
      <c r="V941" s="119">
        <v>0</v>
      </c>
      <c r="W941" s="6">
        <v>745</v>
      </c>
      <c r="X941" s="40">
        <f t="shared" si="66"/>
        <v>745</v>
      </c>
      <c r="Y941" s="40">
        <f t="shared" si="67"/>
        <v>745</v>
      </c>
      <c r="Z941" s="59">
        <v>0.34899999999999998</v>
      </c>
      <c r="AA941" s="59">
        <v>0.65100000000000002</v>
      </c>
      <c r="AB941" s="61">
        <v>6.7114093959731542E-3</v>
      </c>
      <c r="AC941" s="61">
        <v>2.1476510067114093E-2</v>
      </c>
      <c r="AD941" s="61">
        <v>0.50469798657718123</v>
      </c>
      <c r="AE941" s="61">
        <v>0.13691275167785236</v>
      </c>
      <c r="AF941" s="61">
        <v>0</v>
      </c>
      <c r="AG941" s="61">
        <v>0.29395973154362415</v>
      </c>
      <c r="AH941" s="61">
        <v>3.6241610738255034E-2</v>
      </c>
      <c r="AI941" s="61">
        <v>0.7060402684563758</v>
      </c>
      <c r="AJ941" s="59">
        <v>0.59599999999999997</v>
      </c>
      <c r="AK941" s="59">
        <v>1.61E-2</v>
      </c>
      <c r="AL941" s="3">
        <v>0</v>
      </c>
      <c r="AM941" s="3">
        <v>0</v>
      </c>
      <c r="AN941" s="3">
        <v>10</v>
      </c>
      <c r="AO941" s="3">
        <v>215</v>
      </c>
      <c r="AP941" s="3">
        <v>203</v>
      </c>
      <c r="AQ941" s="3">
        <v>173</v>
      </c>
      <c r="AR941" s="3">
        <v>144</v>
      </c>
      <c r="AS941" s="59">
        <v>4.4444444444444446E-2</v>
      </c>
      <c r="AT941" s="3">
        <v>9</v>
      </c>
      <c r="AU941" s="3">
        <v>2</v>
      </c>
      <c r="AV941" s="49">
        <v>46.604938271604901</v>
      </c>
      <c r="AW941" s="49">
        <v>47.2222222222222</v>
      </c>
      <c r="AX941" s="49">
        <v>6.1728395061728403</v>
      </c>
      <c r="AY941" s="67">
        <v>0</v>
      </c>
      <c r="AZ941" s="62">
        <v>0.23618090452261306</v>
      </c>
      <c r="BA941" s="62">
        <v>0.20854271356783918</v>
      </c>
      <c r="BB941" s="78">
        <v>94.907892022402393</v>
      </c>
      <c r="BC941" s="49">
        <v>59.7256857855362</v>
      </c>
      <c r="BD941" s="90" t="s">
        <v>83</v>
      </c>
      <c r="BE941" s="90" t="s">
        <v>83</v>
      </c>
      <c r="BF941" s="87">
        <v>6</v>
      </c>
      <c r="BG941" s="87">
        <v>4</v>
      </c>
      <c r="BH941" s="87">
        <v>0</v>
      </c>
      <c r="BI941" s="87">
        <v>0.7</v>
      </c>
      <c r="BJ941" s="49">
        <v>19.7</v>
      </c>
      <c r="BK941" s="126">
        <v>10924</v>
      </c>
      <c r="BL941" s="126">
        <v>48547</v>
      </c>
      <c r="BM941" s="126">
        <v>57207</v>
      </c>
      <c r="BN941" s="126">
        <v>51465</v>
      </c>
      <c r="BO941" s="59">
        <v>4.6699999999999998E-2</v>
      </c>
      <c r="BP941" s="59">
        <v>0.33810000000000001</v>
      </c>
      <c r="BQ941" s="59">
        <v>0.33629999999999999</v>
      </c>
      <c r="BR941" s="59">
        <v>0</v>
      </c>
      <c r="BS941" s="59">
        <v>1.17E-2</v>
      </c>
      <c r="BT941" s="49">
        <v>8.9</v>
      </c>
      <c r="BU941" s="59">
        <f t="shared" si="68"/>
        <v>0.73280000000000012</v>
      </c>
      <c r="BV941" s="59">
        <v>8.1699999999999995E-2</v>
      </c>
      <c r="BW941" s="59">
        <v>1.17E-2</v>
      </c>
      <c r="BX941" s="59">
        <v>1.17E-2</v>
      </c>
      <c r="BY941" s="59">
        <v>0</v>
      </c>
      <c r="BZ941" s="59">
        <v>1.17E-2</v>
      </c>
      <c r="CA941" s="49">
        <v>6.7</v>
      </c>
      <c r="CB941" s="59">
        <f t="shared" si="69"/>
        <v>0.1168</v>
      </c>
      <c r="CC941" s="59">
        <v>0.17510000000000001</v>
      </c>
      <c r="CD941" s="59">
        <v>0.39650000000000002</v>
      </c>
      <c r="CE941" s="59">
        <v>0.40500000000000003</v>
      </c>
      <c r="CF941" s="59">
        <v>0</v>
      </c>
      <c r="CG941" s="59">
        <v>2.3300000000000001E-2</v>
      </c>
      <c r="CH941" s="49">
        <v>7.9</v>
      </c>
      <c r="CI941" s="26" t="s">
        <v>499</v>
      </c>
      <c r="CJ941" s="18" t="s">
        <v>489</v>
      </c>
      <c r="CK941" s="20"/>
    </row>
    <row r="942" spans="1:89" x14ac:dyDescent="0.25">
      <c r="A942" s="18" t="s">
        <v>489</v>
      </c>
      <c r="B942" s="19" t="s">
        <v>435</v>
      </c>
      <c r="C942" s="26" t="s">
        <v>435</v>
      </c>
      <c r="D942" s="6">
        <v>43</v>
      </c>
      <c r="E942" s="40" t="s">
        <v>83</v>
      </c>
      <c r="F942" s="6">
        <v>43</v>
      </c>
      <c r="G942" s="162" t="s">
        <v>83</v>
      </c>
      <c r="H942" s="162" t="s">
        <v>83</v>
      </c>
      <c r="I942" s="162" t="s">
        <v>83</v>
      </c>
      <c r="J942" s="166">
        <v>11</v>
      </c>
      <c r="K942" s="166">
        <v>18</v>
      </c>
      <c r="L942" s="166">
        <v>7</v>
      </c>
      <c r="M942" s="166">
        <v>7</v>
      </c>
      <c r="N942" s="119">
        <v>4.6688382193268201E-2</v>
      </c>
      <c r="O942" s="119">
        <v>4.6688382193268201E-2</v>
      </c>
      <c r="P942" s="116" t="s">
        <v>83</v>
      </c>
      <c r="Q942" s="116" t="s">
        <v>83</v>
      </c>
      <c r="R942" s="116" t="s">
        <v>83</v>
      </c>
      <c r="S942" s="119">
        <v>4.7008547008547001E-2</v>
      </c>
      <c r="T942" s="119">
        <v>6.2717770034843204E-2</v>
      </c>
      <c r="U942" s="119">
        <v>3.5000000000000003E-2</v>
      </c>
      <c r="V942" s="119">
        <v>3.8461538461538498E-2</v>
      </c>
      <c r="W942" s="6">
        <v>783</v>
      </c>
      <c r="X942" s="40">
        <f t="shared" si="66"/>
        <v>783</v>
      </c>
      <c r="Y942" s="40">
        <f t="shared" si="67"/>
        <v>783</v>
      </c>
      <c r="Z942" s="59">
        <v>0.50960000000000005</v>
      </c>
      <c r="AA942" s="59">
        <v>0.4904</v>
      </c>
      <c r="AB942" s="61">
        <v>1.277139208173691E-3</v>
      </c>
      <c r="AC942" s="61">
        <v>0</v>
      </c>
      <c r="AD942" s="61">
        <v>0.98212005108556832</v>
      </c>
      <c r="AE942" s="61">
        <v>1.0217113665389528E-2</v>
      </c>
      <c r="AF942" s="61">
        <v>0</v>
      </c>
      <c r="AG942" s="61">
        <v>6.3856960408684551E-3</v>
      </c>
      <c r="AH942" s="61">
        <v>0</v>
      </c>
      <c r="AI942" s="61">
        <v>0.99361430395913153</v>
      </c>
      <c r="AJ942" s="59">
        <v>0.88600000000000001</v>
      </c>
      <c r="AK942" s="59">
        <v>3.8E-3</v>
      </c>
      <c r="AL942" s="3">
        <v>0</v>
      </c>
      <c r="AM942" s="3">
        <v>0</v>
      </c>
      <c r="AN942" s="3">
        <v>0</v>
      </c>
      <c r="AO942" s="3">
        <v>209</v>
      </c>
      <c r="AP942" s="3">
        <v>235</v>
      </c>
      <c r="AQ942" s="3">
        <v>168</v>
      </c>
      <c r="AR942" s="3">
        <v>171</v>
      </c>
      <c r="AS942" s="59">
        <v>0</v>
      </c>
      <c r="AT942" s="3">
        <v>9</v>
      </c>
      <c r="AU942" s="3">
        <v>5</v>
      </c>
      <c r="AV942" s="49">
        <v>30.9446254071661</v>
      </c>
      <c r="AW942" s="49">
        <v>23.127035830618901</v>
      </c>
      <c r="AX942" s="49">
        <v>33.550488599348498</v>
      </c>
      <c r="AY942" s="67">
        <v>12.3778501628664</v>
      </c>
      <c r="AZ942" s="62">
        <v>0</v>
      </c>
      <c r="BA942" s="62">
        <v>0</v>
      </c>
      <c r="BB942" s="78">
        <v>96.902641896595895</v>
      </c>
      <c r="BC942" s="49">
        <v>4.7982551799345696</v>
      </c>
      <c r="BD942" s="90" t="s">
        <v>83</v>
      </c>
      <c r="BE942" s="90" t="s">
        <v>83</v>
      </c>
      <c r="BF942" s="87">
        <v>2.7</v>
      </c>
      <c r="BG942" s="87">
        <v>11.7</v>
      </c>
      <c r="BH942" s="87">
        <v>3.1</v>
      </c>
      <c r="BI942" s="87">
        <v>4.5</v>
      </c>
      <c r="BJ942" s="49">
        <v>16.5</v>
      </c>
      <c r="BK942" s="126">
        <v>12435</v>
      </c>
      <c r="BL942" s="126">
        <v>48093</v>
      </c>
      <c r="BM942" s="126">
        <v>74156</v>
      </c>
      <c r="BN942" s="126">
        <v>44803</v>
      </c>
      <c r="BO942" s="59">
        <v>0</v>
      </c>
      <c r="BP942" s="59">
        <v>0.39279999999999998</v>
      </c>
      <c r="BQ942" s="59">
        <v>0.1447</v>
      </c>
      <c r="BR942" s="59">
        <v>0</v>
      </c>
      <c r="BS942" s="59">
        <v>3.09E-2</v>
      </c>
      <c r="BT942" s="49">
        <v>6.5</v>
      </c>
      <c r="BU942" s="59">
        <f t="shared" si="68"/>
        <v>0.56840000000000002</v>
      </c>
      <c r="BV942" s="59">
        <v>1.2800000000000001E-2</v>
      </c>
      <c r="BW942" s="59">
        <v>0</v>
      </c>
      <c r="BX942" s="59">
        <v>2.5600000000000001E-2</v>
      </c>
      <c r="BY942" s="59">
        <v>0</v>
      </c>
      <c r="BZ942" s="59">
        <v>2.7000000000000001E-3</v>
      </c>
      <c r="CA942" s="49">
        <v>16.899999999999999</v>
      </c>
      <c r="CB942" s="59">
        <f t="shared" si="69"/>
        <v>4.1100000000000005E-2</v>
      </c>
      <c r="CC942" s="59">
        <v>0.14779999999999999</v>
      </c>
      <c r="CD942" s="59">
        <v>0.53190000000000004</v>
      </c>
      <c r="CE942" s="59">
        <v>0.28670000000000001</v>
      </c>
      <c r="CF942" s="59">
        <v>0</v>
      </c>
      <c r="CG942" s="59">
        <v>3.3599999999999998E-2</v>
      </c>
      <c r="CH942" s="49">
        <v>7.7</v>
      </c>
      <c r="CI942" s="26" t="s">
        <v>435</v>
      </c>
      <c r="CJ942" s="18" t="s">
        <v>489</v>
      </c>
      <c r="CK942" s="20"/>
    </row>
    <row r="943" spans="1:89" x14ac:dyDescent="0.25">
      <c r="A943" s="18" t="s">
        <v>489</v>
      </c>
      <c r="B943" s="19" t="s">
        <v>461</v>
      </c>
      <c r="C943" s="26" t="s">
        <v>461</v>
      </c>
      <c r="D943" s="6">
        <v>20</v>
      </c>
      <c r="E943" s="6">
        <v>1</v>
      </c>
      <c r="F943" s="6">
        <v>19</v>
      </c>
      <c r="G943" s="166">
        <v>1</v>
      </c>
      <c r="H943" s="166">
        <v>0</v>
      </c>
      <c r="I943" s="162" t="s">
        <v>83</v>
      </c>
      <c r="J943" s="166">
        <v>5</v>
      </c>
      <c r="K943" s="166">
        <v>8</v>
      </c>
      <c r="L943" s="166">
        <v>3</v>
      </c>
      <c r="M943" s="166">
        <v>3</v>
      </c>
      <c r="N943" s="119">
        <v>3.4071550255536598E-2</v>
      </c>
      <c r="O943" s="119">
        <v>3.9915966386554598E-2</v>
      </c>
      <c r="P943" s="119">
        <v>0.02</v>
      </c>
      <c r="Q943" s="119">
        <v>0</v>
      </c>
      <c r="R943" s="116" t="s">
        <v>83</v>
      </c>
      <c r="S943" s="119">
        <v>2.39234449760766E-2</v>
      </c>
      <c r="T943" s="119">
        <v>5.2631578947368397E-2</v>
      </c>
      <c r="U943" s="119">
        <v>0.05</v>
      </c>
      <c r="V943" s="119">
        <v>5.4545454545454501E-2</v>
      </c>
      <c r="W943" s="6">
        <v>1064</v>
      </c>
      <c r="X943" s="40">
        <f t="shared" si="66"/>
        <v>419</v>
      </c>
      <c r="Y943" s="40">
        <f t="shared" si="67"/>
        <v>530</v>
      </c>
      <c r="Z943" s="59">
        <v>0.52349999999999997</v>
      </c>
      <c r="AA943" s="59">
        <v>0.47649999999999998</v>
      </c>
      <c r="AB943" s="61">
        <v>0</v>
      </c>
      <c r="AC943" s="61">
        <v>0</v>
      </c>
      <c r="AD943" s="61">
        <v>0.99436090225563911</v>
      </c>
      <c r="AE943" s="61">
        <v>3.7593984962406013E-3</v>
      </c>
      <c r="AF943" s="61">
        <v>0</v>
      </c>
      <c r="AG943" s="61">
        <v>9.3984962406015032E-4</v>
      </c>
      <c r="AH943" s="61">
        <v>9.3984962406015032E-4</v>
      </c>
      <c r="AI943" s="61">
        <v>0.99906015037593987</v>
      </c>
      <c r="AJ943" s="59">
        <v>0.876</v>
      </c>
      <c r="AK943" s="59">
        <v>0</v>
      </c>
      <c r="AL943" s="3">
        <v>48</v>
      </c>
      <c r="AM943" s="3">
        <v>63</v>
      </c>
      <c r="AN943" s="3">
        <v>0</v>
      </c>
      <c r="AO943" s="3">
        <v>185</v>
      </c>
      <c r="AP943" s="3">
        <v>126</v>
      </c>
      <c r="AQ943" s="3">
        <v>55</v>
      </c>
      <c r="AR943" s="3">
        <v>53</v>
      </c>
      <c r="AS943" s="59">
        <v>0</v>
      </c>
      <c r="AT943" s="3">
        <v>1</v>
      </c>
      <c r="AU943" s="3">
        <v>2</v>
      </c>
      <c r="AV943" s="49">
        <v>16.528925619834702</v>
      </c>
      <c r="AW943" s="49">
        <v>40.082644628099203</v>
      </c>
      <c r="AX943" s="49">
        <v>28.099173553718998</v>
      </c>
      <c r="AY943" s="67">
        <v>15.2892561983471</v>
      </c>
      <c r="AZ943" s="62">
        <v>2.6737967914438501E-3</v>
      </c>
      <c r="BA943" s="62">
        <v>0.18270944741532977</v>
      </c>
      <c r="BB943" s="78">
        <v>96.275611693952897</v>
      </c>
      <c r="BC943" s="49">
        <v>29.4625719769674</v>
      </c>
      <c r="BD943" s="87">
        <v>2.2999999999999998</v>
      </c>
      <c r="BE943" s="87">
        <v>0</v>
      </c>
      <c r="BF943" s="87">
        <v>8.5</v>
      </c>
      <c r="BG943" s="87">
        <v>18.2</v>
      </c>
      <c r="BH943" s="87">
        <v>10.4</v>
      </c>
      <c r="BI943" s="87">
        <v>2</v>
      </c>
      <c r="BJ943" s="49">
        <v>16.8</v>
      </c>
      <c r="BK943" s="126">
        <v>9001</v>
      </c>
      <c r="BL943" s="126">
        <v>49147</v>
      </c>
      <c r="BM943" s="126">
        <v>67546</v>
      </c>
      <c r="BN943" s="126">
        <v>40907</v>
      </c>
      <c r="BO943" s="59">
        <v>2.4799999999999999E-2</v>
      </c>
      <c r="BP943" s="59">
        <v>0.28110000000000002</v>
      </c>
      <c r="BQ943" s="59">
        <v>0.124</v>
      </c>
      <c r="BR943" s="59">
        <v>0</v>
      </c>
      <c r="BS943" s="59">
        <v>8.3000000000000001E-3</v>
      </c>
      <c r="BT943" s="49">
        <v>15.2</v>
      </c>
      <c r="BU943" s="59">
        <f t="shared" si="68"/>
        <v>0.43819999999999998</v>
      </c>
      <c r="BV943" s="59">
        <v>0</v>
      </c>
      <c r="BW943" s="59">
        <v>2.4799999999999999E-2</v>
      </c>
      <c r="BX943" s="59">
        <v>8.3000000000000001E-3</v>
      </c>
      <c r="BY943" s="59">
        <v>0</v>
      </c>
      <c r="BZ943" s="59">
        <v>8.3000000000000001E-3</v>
      </c>
      <c r="CA943" s="49">
        <v>21.4</v>
      </c>
      <c r="CB943" s="59">
        <f t="shared" si="69"/>
        <v>4.1399999999999999E-2</v>
      </c>
      <c r="CC943" s="59">
        <v>0.32250000000000001</v>
      </c>
      <c r="CD943" s="59">
        <v>0.45429999999999998</v>
      </c>
      <c r="CE943" s="59">
        <v>0.19850000000000001</v>
      </c>
      <c r="CF943" s="59">
        <v>0</v>
      </c>
      <c r="CG943" s="59">
        <v>2.4799999999999999E-2</v>
      </c>
      <c r="CH943" s="49">
        <v>12.9</v>
      </c>
      <c r="CI943" s="26" t="s">
        <v>461</v>
      </c>
      <c r="CJ943" s="18" t="s">
        <v>489</v>
      </c>
      <c r="CK943" s="20"/>
    </row>
    <row r="944" spans="1:89" x14ac:dyDescent="0.25">
      <c r="A944" s="18" t="s">
        <v>489</v>
      </c>
      <c r="B944" s="19" t="s">
        <v>500</v>
      </c>
      <c r="C944" s="26" t="s">
        <v>500</v>
      </c>
      <c r="D944" s="6">
        <v>4</v>
      </c>
      <c r="E944" s="6">
        <v>2</v>
      </c>
      <c r="F944" s="6">
        <v>2</v>
      </c>
      <c r="G944" s="166">
        <v>1</v>
      </c>
      <c r="H944" s="166">
        <v>1</v>
      </c>
      <c r="I944" s="162" t="s">
        <v>83</v>
      </c>
      <c r="J944" s="166">
        <v>0</v>
      </c>
      <c r="K944" s="166">
        <v>1</v>
      </c>
      <c r="L944" s="166">
        <v>1</v>
      </c>
      <c r="M944" s="166">
        <v>0</v>
      </c>
      <c r="N944" s="119">
        <v>1.8018018018018001E-2</v>
      </c>
      <c r="O944" s="119">
        <v>1.2987012987013E-2</v>
      </c>
      <c r="P944" s="119">
        <v>3.125E-2</v>
      </c>
      <c r="Q944" s="119">
        <v>2.7777777777777801E-2</v>
      </c>
      <c r="R944" s="116" t="s">
        <v>83</v>
      </c>
      <c r="S944" s="119">
        <v>0</v>
      </c>
      <c r="T944" s="119">
        <v>2.04081632653061E-2</v>
      </c>
      <c r="U944" s="119">
        <v>2.1739130434782601E-2</v>
      </c>
      <c r="V944" s="119">
        <v>0</v>
      </c>
      <c r="W944" s="6">
        <v>381</v>
      </c>
      <c r="X944" s="40">
        <f t="shared" si="66"/>
        <v>148</v>
      </c>
      <c r="Y944" s="40">
        <f t="shared" si="67"/>
        <v>208</v>
      </c>
      <c r="Z944" s="59">
        <v>0.49080000000000001</v>
      </c>
      <c r="AA944" s="59">
        <v>0.50919999999999999</v>
      </c>
      <c r="AB944" s="61">
        <v>0</v>
      </c>
      <c r="AC944" s="61">
        <v>0</v>
      </c>
      <c r="AD944" s="61">
        <f>359/381</f>
        <v>0.94225721784776906</v>
      </c>
      <c r="AE944" s="61">
        <f>1/381</f>
        <v>2.6246719160104987E-3</v>
      </c>
      <c r="AF944" s="61">
        <v>0</v>
      </c>
      <c r="AG944" s="61">
        <f>9/381</f>
        <v>2.3622047244094488E-2</v>
      </c>
      <c r="AH944" s="61">
        <f>12/381</f>
        <v>3.1496062992125984E-2</v>
      </c>
      <c r="AI944" s="61">
        <f>372/381</f>
        <v>0.97637795275590555</v>
      </c>
      <c r="AJ944" s="59">
        <v>0.83499999999999996</v>
      </c>
      <c r="AK944" s="59">
        <v>2.5999999999999999E-3</v>
      </c>
      <c r="AL944" s="3">
        <v>26</v>
      </c>
      <c r="AM944" s="3">
        <v>34</v>
      </c>
      <c r="AN944" s="3">
        <v>0</v>
      </c>
      <c r="AO944" s="3">
        <v>29</v>
      </c>
      <c r="AP944" s="3">
        <v>46</v>
      </c>
      <c r="AQ944" s="3">
        <v>48</v>
      </c>
      <c r="AR944" s="3">
        <v>25</v>
      </c>
      <c r="AS944" s="59">
        <v>0</v>
      </c>
      <c r="AT944" s="3">
        <v>1</v>
      </c>
      <c r="AU944" s="3">
        <v>2</v>
      </c>
      <c r="AV944" s="49">
        <v>75.147928994082804</v>
      </c>
      <c r="AW944" s="49">
        <v>21.301775147929</v>
      </c>
      <c r="AX944" s="49">
        <v>3.55029585798817</v>
      </c>
      <c r="AY944" s="67">
        <v>0</v>
      </c>
      <c r="AZ944" s="62">
        <v>6.0679611650485438E-2</v>
      </c>
      <c r="BA944" s="62">
        <v>0.14077669902912621</v>
      </c>
      <c r="BB944" s="77">
        <v>94.537506286510094</v>
      </c>
      <c r="BC944" s="49">
        <v>48.786407766990301</v>
      </c>
      <c r="BD944" s="87">
        <v>0</v>
      </c>
      <c r="BE944" s="87">
        <v>0</v>
      </c>
      <c r="BF944" s="87">
        <v>3.8</v>
      </c>
      <c r="BG944" s="87">
        <v>0</v>
      </c>
      <c r="BH944" s="87">
        <v>0</v>
      </c>
      <c r="BI944" s="87">
        <v>0</v>
      </c>
      <c r="BJ944" s="49">
        <v>16.8</v>
      </c>
      <c r="BK944" s="126">
        <v>12443</v>
      </c>
      <c r="BL944" s="126">
        <v>45171</v>
      </c>
      <c r="BM944" s="126">
        <v>25874</v>
      </c>
      <c r="BN944" s="126">
        <v>42149</v>
      </c>
      <c r="BO944" s="59">
        <v>0</v>
      </c>
      <c r="BP944" s="59">
        <v>0.2737</v>
      </c>
      <c r="BQ944" s="59">
        <v>0.28320000000000001</v>
      </c>
      <c r="BR944" s="59">
        <v>0</v>
      </c>
      <c r="BS944" s="59">
        <v>0</v>
      </c>
      <c r="BT944" s="49">
        <v>8.8000000000000007</v>
      </c>
      <c r="BU944" s="59">
        <f t="shared" si="68"/>
        <v>0.55689999999999995</v>
      </c>
      <c r="BV944" s="59">
        <v>0</v>
      </c>
      <c r="BW944" s="59">
        <v>5.9900000000000002E-2</v>
      </c>
      <c r="BX944" s="59">
        <v>0</v>
      </c>
      <c r="BY944" s="59">
        <v>0</v>
      </c>
      <c r="BZ944" s="59">
        <v>0</v>
      </c>
      <c r="CA944" s="49">
        <v>3</v>
      </c>
      <c r="CB944" s="59">
        <f t="shared" si="69"/>
        <v>5.9900000000000002E-2</v>
      </c>
      <c r="CC944" s="59">
        <v>0.1212</v>
      </c>
      <c r="CD944" s="59">
        <v>0.53580000000000005</v>
      </c>
      <c r="CE944" s="59">
        <v>0.34300000000000003</v>
      </c>
      <c r="CF944" s="59">
        <v>0</v>
      </c>
      <c r="CG944" s="59">
        <v>0</v>
      </c>
      <c r="CH944" s="49">
        <v>8.1999999999999993</v>
      </c>
      <c r="CI944" s="26" t="s">
        <v>500</v>
      </c>
      <c r="CJ944" s="18" t="s">
        <v>489</v>
      </c>
      <c r="CK944" s="20"/>
    </row>
    <row r="945" spans="1:89" x14ac:dyDescent="0.25">
      <c r="A945" s="18" t="s">
        <v>489</v>
      </c>
      <c r="B945" s="19" t="s">
        <v>471</v>
      </c>
      <c r="C945" s="26" t="s">
        <v>501</v>
      </c>
      <c r="D945" s="6">
        <v>3</v>
      </c>
      <c r="E945" s="6">
        <v>0</v>
      </c>
      <c r="F945" s="6">
        <v>3</v>
      </c>
      <c r="G945" s="166">
        <v>0</v>
      </c>
      <c r="H945" s="166">
        <v>0</v>
      </c>
      <c r="I945" s="162" t="s">
        <v>83</v>
      </c>
      <c r="J945" s="166">
        <v>0</v>
      </c>
      <c r="K945" s="166">
        <v>0</v>
      </c>
      <c r="L945" s="166">
        <v>3</v>
      </c>
      <c r="M945" s="166">
        <v>0</v>
      </c>
      <c r="N945" s="119">
        <v>1.3274336283185801E-2</v>
      </c>
      <c r="O945" s="119">
        <v>1.9230769230769201E-2</v>
      </c>
      <c r="P945" s="119">
        <v>0</v>
      </c>
      <c r="Q945" s="119">
        <v>0</v>
      </c>
      <c r="R945" s="116" t="s">
        <v>83</v>
      </c>
      <c r="S945" s="119">
        <v>0</v>
      </c>
      <c r="T945" s="119">
        <v>0</v>
      </c>
      <c r="U945" s="119">
        <v>6.9767441860465101E-2</v>
      </c>
      <c r="V945" s="119">
        <v>0</v>
      </c>
      <c r="W945" s="6">
        <v>500</v>
      </c>
      <c r="X945" s="40">
        <f t="shared" si="66"/>
        <v>152</v>
      </c>
      <c r="Y945" s="40">
        <f t="shared" si="67"/>
        <v>221</v>
      </c>
      <c r="Z945" s="59">
        <v>0.48399999999999999</v>
      </c>
      <c r="AA945" s="59">
        <v>0.51600000000000001</v>
      </c>
      <c r="AB945" s="61">
        <v>4.0000000000000001E-3</v>
      </c>
      <c r="AC945" s="61">
        <v>4.0000000000000001E-3</v>
      </c>
      <c r="AD945" s="61">
        <v>0.17</v>
      </c>
      <c r="AE945" s="61">
        <v>1.6E-2</v>
      </c>
      <c r="AF945" s="61">
        <v>0</v>
      </c>
      <c r="AG945" s="61">
        <v>0.79</v>
      </c>
      <c r="AH945" s="61">
        <v>1.6E-2</v>
      </c>
      <c r="AI945" s="61">
        <v>0.21</v>
      </c>
      <c r="AJ945" s="59">
        <v>0.45600000000000002</v>
      </c>
      <c r="AK945" s="59">
        <v>2E-3</v>
      </c>
      <c r="AL945" s="3">
        <v>27</v>
      </c>
      <c r="AM945" s="3">
        <v>42</v>
      </c>
      <c r="AN945" s="3">
        <v>0</v>
      </c>
      <c r="AO945" s="3">
        <v>46</v>
      </c>
      <c r="AP945" s="3">
        <v>34</v>
      </c>
      <c r="AQ945" s="3">
        <v>40</v>
      </c>
      <c r="AR945" s="3">
        <v>32</v>
      </c>
      <c r="AS945" s="59">
        <v>0</v>
      </c>
      <c r="AT945" s="3">
        <v>1</v>
      </c>
      <c r="AU945" s="3">
        <v>2</v>
      </c>
      <c r="AV945" s="49">
        <v>63.636363636363605</v>
      </c>
      <c r="AW945" s="49">
        <v>32.085561497326196</v>
      </c>
      <c r="AX945" s="49">
        <v>2.1390374331550799</v>
      </c>
      <c r="AY945" s="67">
        <v>2.1390374331550799</v>
      </c>
      <c r="AZ945" s="62">
        <v>1.9569471624266144E-3</v>
      </c>
      <c r="BA945" s="62">
        <v>0.22113502935420742</v>
      </c>
      <c r="BB945" s="78">
        <v>95.049315034588602</v>
      </c>
      <c r="BC945" s="49">
        <v>68.688845401174206</v>
      </c>
      <c r="BD945" s="87">
        <v>0</v>
      </c>
      <c r="BE945" s="87">
        <v>2.6</v>
      </c>
      <c r="BF945" s="87">
        <v>0</v>
      </c>
      <c r="BG945" s="87">
        <v>3.2</v>
      </c>
      <c r="BH945" s="87">
        <v>0</v>
      </c>
      <c r="BI945" s="87">
        <v>0</v>
      </c>
      <c r="BJ945" s="49">
        <v>19.399999999999999</v>
      </c>
      <c r="BK945" s="126">
        <v>8621</v>
      </c>
      <c r="BL945" s="126">
        <v>45418</v>
      </c>
      <c r="BM945" s="126">
        <v>59948</v>
      </c>
      <c r="BN945" s="126">
        <v>44130</v>
      </c>
      <c r="BO945" s="59">
        <v>1.5100000000000001E-2</v>
      </c>
      <c r="BP945" s="59">
        <v>0.25</v>
      </c>
      <c r="BQ945" s="59">
        <v>0.38119999999999998</v>
      </c>
      <c r="BR945" s="59">
        <v>2.0199999999999999E-2</v>
      </c>
      <c r="BS945" s="59">
        <v>0</v>
      </c>
      <c r="BT945" s="49">
        <v>12.7</v>
      </c>
      <c r="BU945" s="59">
        <f t="shared" si="68"/>
        <v>0.66649999999999998</v>
      </c>
      <c r="BV945" s="59">
        <v>2.0199999999999999E-2</v>
      </c>
      <c r="BW945" s="59">
        <v>1.77E-2</v>
      </c>
      <c r="BX945" s="59">
        <v>4.0399999999999998E-2</v>
      </c>
      <c r="BY945" s="59">
        <v>0</v>
      </c>
      <c r="BZ945" s="59">
        <v>0</v>
      </c>
      <c r="CA945" s="49">
        <v>15.9</v>
      </c>
      <c r="CB945" s="59">
        <f t="shared" si="69"/>
        <v>7.8300000000000008E-2</v>
      </c>
      <c r="CC945" s="59">
        <v>0.1414</v>
      </c>
      <c r="CD945" s="59">
        <v>0.37380000000000002</v>
      </c>
      <c r="CE945" s="59">
        <v>0.46460000000000001</v>
      </c>
      <c r="CF945" s="59">
        <v>2.0199999999999999E-2</v>
      </c>
      <c r="CG945" s="59">
        <v>0</v>
      </c>
      <c r="CH945" s="49">
        <v>12.2</v>
      </c>
      <c r="CI945" s="26" t="s">
        <v>501</v>
      </c>
      <c r="CJ945" s="18" t="s">
        <v>489</v>
      </c>
      <c r="CK945" s="20"/>
    </row>
    <row r="946" spans="1:89" x14ac:dyDescent="0.25">
      <c r="A946" s="18" t="s">
        <v>489</v>
      </c>
      <c r="B946" s="19" t="s">
        <v>440</v>
      </c>
      <c r="C946" s="26" t="s">
        <v>440</v>
      </c>
      <c r="D946" s="6">
        <v>12</v>
      </c>
      <c r="E946" s="40" t="s">
        <v>83</v>
      </c>
      <c r="F946" s="6">
        <v>12</v>
      </c>
      <c r="G946" s="162" t="s">
        <v>83</v>
      </c>
      <c r="H946" s="162" t="s">
        <v>83</v>
      </c>
      <c r="I946" s="166">
        <v>0</v>
      </c>
      <c r="J946" s="166">
        <v>10</v>
      </c>
      <c r="K946" s="166">
        <v>1</v>
      </c>
      <c r="L946" s="166">
        <v>1</v>
      </c>
      <c r="M946" s="162" t="s">
        <v>83</v>
      </c>
      <c r="N946" s="119">
        <v>2.7522935779816501E-2</v>
      </c>
      <c r="O946" s="119">
        <v>2.7522935779816501E-2</v>
      </c>
      <c r="P946" s="116" t="s">
        <v>83</v>
      </c>
      <c r="Q946" s="116" t="s">
        <v>83</v>
      </c>
      <c r="R946" s="119">
        <v>0</v>
      </c>
      <c r="S946" s="119">
        <v>6.2111801242236003E-2</v>
      </c>
      <c r="T946" s="119">
        <v>6.6225165562913899E-3</v>
      </c>
      <c r="U946" s="119">
        <v>8.2644628099173608E-3</v>
      </c>
      <c r="V946" s="116" t="s">
        <v>83</v>
      </c>
      <c r="W946" s="6">
        <v>399</v>
      </c>
      <c r="X946" s="40">
        <f t="shared" si="66"/>
        <v>399</v>
      </c>
      <c r="Y946" s="40">
        <f t="shared" si="67"/>
        <v>399</v>
      </c>
      <c r="Z946" s="59">
        <v>0.4536</v>
      </c>
      <c r="AA946" s="59">
        <v>0.5464</v>
      </c>
      <c r="AB946" s="61">
        <v>0</v>
      </c>
      <c r="AC946" s="61">
        <v>2.2556390977443608E-2</v>
      </c>
      <c r="AD946" s="61">
        <v>0.85964912280701755</v>
      </c>
      <c r="AE946" s="61">
        <v>3.007518796992481E-2</v>
      </c>
      <c r="AF946" s="61">
        <v>0</v>
      </c>
      <c r="AG946" s="61">
        <v>8.2706766917293228E-2</v>
      </c>
      <c r="AH946" s="61">
        <v>5.0125313283208017E-3</v>
      </c>
      <c r="AI946" s="61">
        <v>0.91729323308270672</v>
      </c>
      <c r="AJ946" s="59">
        <v>0.81499999999999995</v>
      </c>
      <c r="AK946" s="59">
        <v>4.0099999999999997E-2</v>
      </c>
      <c r="AL946" s="3">
        <v>0</v>
      </c>
      <c r="AM946" s="3">
        <v>0</v>
      </c>
      <c r="AN946" s="3">
        <v>2</v>
      </c>
      <c r="AO946" s="3">
        <v>148</v>
      </c>
      <c r="AP946" s="3">
        <v>145</v>
      </c>
      <c r="AQ946" s="3">
        <v>104</v>
      </c>
      <c r="AR946" s="3">
        <v>0</v>
      </c>
      <c r="AS946" s="59">
        <v>1.3333333333333334E-2</v>
      </c>
      <c r="AT946" s="3">
        <v>9</v>
      </c>
      <c r="AU946" s="3">
        <v>2</v>
      </c>
      <c r="AV946" s="49">
        <v>57.309941520467802</v>
      </c>
      <c r="AW946" s="49">
        <v>28.654970760233901</v>
      </c>
      <c r="AX946" s="49">
        <v>14.0350877192982</v>
      </c>
      <c r="AY946" s="67">
        <v>0</v>
      </c>
      <c r="AZ946" s="62">
        <v>0</v>
      </c>
      <c r="BA946" s="62">
        <v>0.12322274881516587</v>
      </c>
      <c r="BB946" s="77">
        <v>95.222325463194593</v>
      </c>
      <c r="BC946" s="49">
        <v>1.6431924882629101</v>
      </c>
      <c r="BD946" s="90" t="s">
        <v>83</v>
      </c>
      <c r="BE946" s="90" t="s">
        <v>83</v>
      </c>
      <c r="BF946" s="87">
        <v>3.9</v>
      </c>
      <c r="BG946" s="87">
        <v>7.9</v>
      </c>
      <c r="BH946" s="87">
        <v>2.4</v>
      </c>
      <c r="BI946" s="90" t="s">
        <v>83</v>
      </c>
      <c r="BJ946" s="49"/>
      <c r="BK946" s="126">
        <v>10868</v>
      </c>
      <c r="BL946" s="126">
        <v>41494</v>
      </c>
      <c r="BM946" s="126">
        <v>29786</v>
      </c>
      <c r="BN946" s="126">
        <v>40464</v>
      </c>
      <c r="BO946" s="59">
        <v>0</v>
      </c>
      <c r="BP946" s="59">
        <v>0.59619999999999995</v>
      </c>
      <c r="BQ946" s="59">
        <v>0.1391</v>
      </c>
      <c r="BR946" s="59">
        <v>0</v>
      </c>
      <c r="BS946" s="59">
        <v>0</v>
      </c>
      <c r="BT946" s="49">
        <v>4.2</v>
      </c>
      <c r="BU946" s="59">
        <f t="shared" si="68"/>
        <v>0.73529999999999995</v>
      </c>
      <c r="BV946" s="59">
        <v>3.4299999999999997E-2</v>
      </c>
      <c r="BW946" s="59">
        <v>0</v>
      </c>
      <c r="BX946" s="59">
        <v>0</v>
      </c>
      <c r="BY946" s="59">
        <v>0</v>
      </c>
      <c r="BZ946" s="59">
        <v>0</v>
      </c>
      <c r="CA946" s="49">
        <v>5</v>
      </c>
      <c r="CB946" s="59">
        <f t="shared" si="69"/>
        <v>3.4299999999999997E-2</v>
      </c>
      <c r="CC946" s="59">
        <v>0.13800000000000001</v>
      </c>
      <c r="CD946" s="59">
        <v>0.64510000000000001</v>
      </c>
      <c r="CE946" s="59">
        <v>0.21690000000000001</v>
      </c>
      <c r="CF946" s="59">
        <v>0</v>
      </c>
      <c r="CG946" s="59">
        <v>0</v>
      </c>
      <c r="CH946" s="49">
        <v>5.3</v>
      </c>
      <c r="CI946" s="26" t="s">
        <v>440</v>
      </c>
      <c r="CJ946" s="18" t="s">
        <v>489</v>
      </c>
      <c r="CK946" s="20"/>
    </row>
    <row r="947" spans="1:89" x14ac:dyDescent="0.25">
      <c r="A947" s="18" t="s">
        <v>489</v>
      </c>
      <c r="B947" s="19" t="s">
        <v>476</v>
      </c>
      <c r="C947" s="26" t="s">
        <v>476</v>
      </c>
      <c r="D947" s="6">
        <v>0</v>
      </c>
      <c r="E947" s="6">
        <v>0</v>
      </c>
      <c r="F947" s="6">
        <v>0</v>
      </c>
      <c r="G947" s="166">
        <v>0</v>
      </c>
      <c r="H947" s="166">
        <v>0</v>
      </c>
      <c r="I947" s="162" t="s">
        <v>83</v>
      </c>
      <c r="J947" s="166">
        <v>0</v>
      </c>
      <c r="K947" s="166">
        <v>0</v>
      </c>
      <c r="L947" s="166">
        <v>0</v>
      </c>
      <c r="M947" s="166">
        <v>0</v>
      </c>
      <c r="N947" s="119">
        <v>0</v>
      </c>
      <c r="O947" s="119">
        <v>0</v>
      </c>
      <c r="P947" s="119">
        <v>0</v>
      </c>
      <c r="Q947" s="119">
        <v>0</v>
      </c>
      <c r="R947" s="116" t="s">
        <v>83</v>
      </c>
      <c r="S947" s="119">
        <v>0</v>
      </c>
      <c r="T947" s="119">
        <v>0</v>
      </c>
      <c r="U947" s="119">
        <v>0</v>
      </c>
      <c r="V947" s="119">
        <v>0</v>
      </c>
      <c r="W947" s="6">
        <v>169</v>
      </c>
      <c r="X947" s="40">
        <f t="shared" si="66"/>
        <v>43</v>
      </c>
      <c r="Y947" s="40">
        <f t="shared" si="67"/>
        <v>73</v>
      </c>
      <c r="Z947" s="59">
        <v>0.51480000000000004</v>
      </c>
      <c r="AA947" s="59">
        <v>0.48520000000000002</v>
      </c>
      <c r="AB947" s="61">
        <v>0</v>
      </c>
      <c r="AC947" s="61">
        <v>0</v>
      </c>
      <c r="AD947" s="61">
        <v>0.50295857988165682</v>
      </c>
      <c r="AE947" s="61">
        <v>3.5502958579881658E-2</v>
      </c>
      <c r="AF947" s="61">
        <v>0</v>
      </c>
      <c r="AG947" s="61">
        <v>0.4437869822485207</v>
      </c>
      <c r="AH947" s="61">
        <v>1.7751479289940829E-2</v>
      </c>
      <c r="AI947" s="61">
        <v>0.55621301775147924</v>
      </c>
      <c r="AJ947" s="59">
        <v>0.64500000000000002</v>
      </c>
      <c r="AK947" s="59">
        <v>0</v>
      </c>
      <c r="AL947" s="3">
        <v>13</v>
      </c>
      <c r="AM947" s="3">
        <v>17</v>
      </c>
      <c r="AN947" s="3">
        <v>0</v>
      </c>
      <c r="AO947" s="3">
        <v>9</v>
      </c>
      <c r="AP947" s="3">
        <v>13</v>
      </c>
      <c r="AQ947" s="3">
        <v>11</v>
      </c>
      <c r="AR947" s="3">
        <v>10</v>
      </c>
      <c r="AS947" s="59">
        <v>0</v>
      </c>
      <c r="AT947" s="3">
        <v>1</v>
      </c>
      <c r="AU947" s="3">
        <v>2</v>
      </c>
      <c r="AV947" s="49">
        <v>100</v>
      </c>
      <c r="AW947" s="49">
        <v>0</v>
      </c>
      <c r="AX947" s="49">
        <v>0</v>
      </c>
      <c r="AY947" s="67">
        <v>0</v>
      </c>
      <c r="AZ947" s="62">
        <v>0.10614525139664804</v>
      </c>
      <c r="BA947" s="62">
        <v>3.9106145251396648E-2</v>
      </c>
      <c r="BB947" s="78">
        <v>95.561962535830901</v>
      </c>
      <c r="BC947" s="49">
        <v>22.346368715083798</v>
      </c>
      <c r="BD947" s="87">
        <v>0</v>
      </c>
      <c r="BE947" s="87">
        <v>0</v>
      </c>
      <c r="BF947" s="87">
        <v>0</v>
      </c>
      <c r="BG947" s="87">
        <v>0</v>
      </c>
      <c r="BH947" s="87">
        <v>7.7</v>
      </c>
      <c r="BI947" s="87">
        <v>0</v>
      </c>
      <c r="BJ947" s="49">
        <v>18.100000000000001</v>
      </c>
      <c r="BK947" s="126">
        <v>10246</v>
      </c>
      <c r="BL947" s="126">
        <v>40920</v>
      </c>
      <c r="BM947" s="126">
        <v>39922</v>
      </c>
      <c r="BN947" s="126">
        <v>35030</v>
      </c>
      <c r="BO947" s="59">
        <v>0</v>
      </c>
      <c r="BP947" s="59">
        <v>0.15459999999999999</v>
      </c>
      <c r="BQ947" s="59">
        <v>7.7299999999999994E-2</v>
      </c>
      <c r="BR947" s="59">
        <v>0</v>
      </c>
      <c r="BS947" s="59">
        <v>0</v>
      </c>
      <c r="BT947" s="49">
        <v>15.3</v>
      </c>
      <c r="BU947" s="59">
        <f t="shared" si="68"/>
        <v>0.2319</v>
      </c>
      <c r="BV947" s="59">
        <v>0.14949999999999999</v>
      </c>
      <c r="BW947" s="59">
        <v>0</v>
      </c>
      <c r="BX947" s="59">
        <v>7.7299999999999994E-2</v>
      </c>
      <c r="BY947" s="59">
        <v>0</v>
      </c>
      <c r="BZ947" s="59">
        <v>0</v>
      </c>
      <c r="CA947" s="49">
        <v>7.8</v>
      </c>
      <c r="CB947" s="59">
        <f t="shared" si="69"/>
        <v>0.2268</v>
      </c>
      <c r="CC947" s="59">
        <v>0.53610000000000002</v>
      </c>
      <c r="CD947" s="59">
        <v>0.15459999999999999</v>
      </c>
      <c r="CE947" s="59">
        <v>0.30930000000000002</v>
      </c>
      <c r="CF947" s="59">
        <v>0</v>
      </c>
      <c r="CG947" s="59">
        <v>0</v>
      </c>
      <c r="CH947" s="49">
        <v>12.4</v>
      </c>
      <c r="CI947" s="26" t="s">
        <v>476</v>
      </c>
      <c r="CJ947" s="18" t="s">
        <v>489</v>
      </c>
      <c r="CK947" s="20"/>
    </row>
    <row r="948" spans="1:89" x14ac:dyDescent="0.25">
      <c r="A948" s="18" t="s">
        <v>489</v>
      </c>
      <c r="B948" s="19" t="s">
        <v>463</v>
      </c>
      <c r="C948" s="26" t="s">
        <v>463</v>
      </c>
      <c r="D948" s="6">
        <v>91</v>
      </c>
      <c r="E948" s="40" t="s">
        <v>83</v>
      </c>
      <c r="F948" s="6">
        <v>91</v>
      </c>
      <c r="G948" s="162" t="s">
        <v>83</v>
      </c>
      <c r="H948" s="162" t="s">
        <v>83</v>
      </c>
      <c r="I948" s="162">
        <v>3</v>
      </c>
      <c r="J948" s="166">
        <v>21</v>
      </c>
      <c r="K948" s="166">
        <v>15</v>
      </c>
      <c r="L948" s="166">
        <v>15</v>
      </c>
      <c r="M948" s="166">
        <v>37</v>
      </c>
      <c r="N948" s="119">
        <v>6.8215892053973007E-2</v>
      </c>
      <c r="O948" s="119">
        <v>6.8215892053973007E-2</v>
      </c>
      <c r="P948" s="116" t="s">
        <v>83</v>
      </c>
      <c r="Q948" s="116" t="s">
        <v>83</v>
      </c>
      <c r="R948" s="116">
        <v>1</v>
      </c>
      <c r="S948" s="119">
        <v>5.6603773584905703E-2</v>
      </c>
      <c r="T948" s="119">
        <v>4.31034482758621E-2</v>
      </c>
      <c r="U948" s="119">
        <v>5.2264808362369297E-2</v>
      </c>
      <c r="V948" s="119">
        <v>0.113846153846154</v>
      </c>
      <c r="W948" s="6">
        <v>1207</v>
      </c>
      <c r="X948" s="40">
        <f t="shared" si="66"/>
        <v>1207</v>
      </c>
      <c r="Y948" s="40">
        <f t="shared" si="67"/>
        <v>1207</v>
      </c>
      <c r="Z948" s="59">
        <v>0.50039999999999996</v>
      </c>
      <c r="AA948" s="59">
        <v>0.49959999999999999</v>
      </c>
      <c r="AB948" s="61">
        <v>8.2850041425020708E-4</v>
      </c>
      <c r="AC948" s="61">
        <v>8.2850041425020708E-4</v>
      </c>
      <c r="AD948" s="61">
        <v>0.97763048881524439</v>
      </c>
      <c r="AE948" s="61">
        <v>1.4913007456503728E-2</v>
      </c>
      <c r="AF948" s="61">
        <v>3.3140016570008283E-3</v>
      </c>
      <c r="AG948" s="61">
        <v>2.4855012427506215E-3</v>
      </c>
      <c r="AH948" s="61">
        <v>0</v>
      </c>
      <c r="AI948" s="61">
        <v>0.9975144987572494</v>
      </c>
      <c r="AJ948" s="59">
        <v>0.90200000000000002</v>
      </c>
      <c r="AK948" s="59">
        <v>1.7399999999999999E-2</v>
      </c>
      <c r="AL948" s="3">
        <v>0</v>
      </c>
      <c r="AM948" s="3">
        <v>0</v>
      </c>
      <c r="AN948" s="3">
        <v>0</v>
      </c>
      <c r="AO948" s="3">
        <v>315</v>
      </c>
      <c r="AP948" s="3">
        <v>309</v>
      </c>
      <c r="AQ948" s="3">
        <v>314</v>
      </c>
      <c r="AR948" s="3">
        <v>269</v>
      </c>
      <c r="AS948" s="59">
        <v>0</v>
      </c>
      <c r="AT948" s="3">
        <v>9</v>
      </c>
      <c r="AU948" s="3">
        <v>5</v>
      </c>
      <c r="AV948" s="49">
        <v>28.323699421965298</v>
      </c>
      <c r="AW948" s="49">
        <v>15.028901734104</v>
      </c>
      <c r="AX948" s="49">
        <v>42.774566473988401</v>
      </c>
      <c r="AY948" s="67">
        <v>13.8728323699422</v>
      </c>
      <c r="AZ948" s="62">
        <v>7.7459333849728897E-4</v>
      </c>
      <c r="BA948" s="62">
        <v>8.5979860573199077E-2</v>
      </c>
      <c r="BB948" s="77">
        <v>87.051740175771201</v>
      </c>
      <c r="BC948" s="49">
        <v>67.801857585139302</v>
      </c>
      <c r="BD948" s="90" t="s">
        <v>83</v>
      </c>
      <c r="BE948" s="90" t="s">
        <v>83</v>
      </c>
      <c r="BF948" s="87">
        <v>10.4</v>
      </c>
      <c r="BG948" s="87">
        <v>6.5</v>
      </c>
      <c r="BH948" s="87">
        <v>3.5</v>
      </c>
      <c r="BI948" s="87">
        <v>13.1</v>
      </c>
      <c r="BJ948" s="49">
        <v>16.399999999999999</v>
      </c>
      <c r="BK948" s="126">
        <v>11715</v>
      </c>
      <c r="BL948" s="126">
        <v>47238</v>
      </c>
      <c r="BM948" s="126">
        <v>49590</v>
      </c>
      <c r="BN948" s="126">
        <v>42645</v>
      </c>
      <c r="BO948" s="59">
        <v>0</v>
      </c>
      <c r="BP948" s="59">
        <v>0.21290000000000001</v>
      </c>
      <c r="BQ948" s="59">
        <v>7.0999999999999994E-2</v>
      </c>
      <c r="BR948" s="59">
        <v>0</v>
      </c>
      <c r="BS948" s="59">
        <v>0</v>
      </c>
      <c r="BT948" s="49">
        <v>7.6</v>
      </c>
      <c r="BU948" s="59">
        <f t="shared" si="68"/>
        <v>0.28389999999999999</v>
      </c>
      <c r="BV948" s="59">
        <v>2.9000000000000001E-2</v>
      </c>
      <c r="BW948" s="59">
        <v>4.8399999999999999E-2</v>
      </c>
      <c r="BX948" s="59">
        <v>1.9400000000000001E-2</v>
      </c>
      <c r="BY948" s="59">
        <v>0</v>
      </c>
      <c r="BZ948" s="59">
        <v>0</v>
      </c>
      <c r="CA948" s="49">
        <v>5.4</v>
      </c>
      <c r="CB948" s="59">
        <f t="shared" si="69"/>
        <v>9.6799999999999997E-2</v>
      </c>
      <c r="CC948" s="59">
        <v>0.18390000000000001</v>
      </c>
      <c r="CD948" s="59">
        <v>0.63870000000000005</v>
      </c>
      <c r="CE948" s="59">
        <v>0.1774</v>
      </c>
      <c r="CF948" s="59">
        <v>0</v>
      </c>
      <c r="CG948" s="59">
        <v>0</v>
      </c>
      <c r="CH948" s="49">
        <v>5.3</v>
      </c>
      <c r="CI948" s="26" t="s">
        <v>463</v>
      </c>
      <c r="CJ948" s="18" t="s">
        <v>489</v>
      </c>
      <c r="CK948" s="20"/>
    </row>
    <row r="949" spans="1:89" x14ac:dyDescent="0.25">
      <c r="A949" s="18" t="s">
        <v>489</v>
      </c>
      <c r="B949" s="19" t="s">
        <v>464</v>
      </c>
      <c r="C949" s="26" t="s">
        <v>464</v>
      </c>
      <c r="D949" s="6">
        <v>51</v>
      </c>
      <c r="E949" s="40" t="s">
        <v>83</v>
      </c>
      <c r="F949" s="6">
        <v>51</v>
      </c>
      <c r="G949" s="162" t="s">
        <v>83</v>
      </c>
      <c r="H949" s="162" t="s">
        <v>83</v>
      </c>
      <c r="I949" s="162" t="s">
        <v>83</v>
      </c>
      <c r="J949" s="166">
        <v>8</v>
      </c>
      <c r="K949" s="166">
        <v>18</v>
      </c>
      <c r="L949" s="166">
        <v>16</v>
      </c>
      <c r="M949" s="166">
        <v>9</v>
      </c>
      <c r="N949" s="119">
        <v>0.18888888888888899</v>
      </c>
      <c r="O949" s="119">
        <v>0.18888888888888899</v>
      </c>
      <c r="P949" s="116" t="s">
        <v>83</v>
      </c>
      <c r="Q949" s="116" t="s">
        <v>83</v>
      </c>
      <c r="R949" s="116" t="s">
        <v>83</v>
      </c>
      <c r="S949" s="119">
        <v>0.11267605633802801</v>
      </c>
      <c r="T949" s="119">
        <v>0.23376623376623401</v>
      </c>
      <c r="U949" s="119">
        <v>0.27586206896551702</v>
      </c>
      <c r="V949" s="119">
        <v>0.140625</v>
      </c>
      <c r="W949" s="6">
        <v>200</v>
      </c>
      <c r="X949" s="40">
        <f t="shared" si="66"/>
        <v>200</v>
      </c>
      <c r="Y949" s="40">
        <f t="shared" si="67"/>
        <v>200</v>
      </c>
      <c r="Z949" s="59">
        <v>0.47</v>
      </c>
      <c r="AA949" s="59">
        <v>0.53</v>
      </c>
      <c r="AB949" s="61">
        <v>0</v>
      </c>
      <c r="AC949" s="61">
        <v>0.01</v>
      </c>
      <c r="AD949" s="61">
        <v>0.83</v>
      </c>
      <c r="AE949" s="61">
        <v>0.06</v>
      </c>
      <c r="AF949" s="61">
        <v>4.4999999999999998E-2</v>
      </c>
      <c r="AG949" s="61">
        <v>4.4999999999999998E-2</v>
      </c>
      <c r="AH949" s="61">
        <v>0.01</v>
      </c>
      <c r="AI949" s="61">
        <v>0.95499999999999996</v>
      </c>
      <c r="AJ949" s="59">
        <v>0.90500000000000003</v>
      </c>
      <c r="AK949" s="59">
        <v>0.11</v>
      </c>
      <c r="AL949" s="3">
        <v>0</v>
      </c>
      <c r="AM949" s="3">
        <v>0</v>
      </c>
      <c r="AN949" s="3">
        <v>0</v>
      </c>
      <c r="AO949" s="3">
        <v>51</v>
      </c>
      <c r="AP949" s="3">
        <v>53</v>
      </c>
      <c r="AQ949" s="3">
        <v>47</v>
      </c>
      <c r="AR949" s="3">
        <v>49</v>
      </c>
      <c r="AS949" s="59">
        <v>0</v>
      </c>
      <c r="AT949" s="3">
        <v>9</v>
      </c>
      <c r="AU949" s="3">
        <v>5</v>
      </c>
      <c r="AV949" s="49">
        <v>79.381443298969103</v>
      </c>
      <c r="AW949" s="49">
        <v>14.432989690721602</v>
      </c>
      <c r="AX949" s="49">
        <v>6.1855670103092804</v>
      </c>
      <c r="AY949" s="67">
        <v>0</v>
      </c>
      <c r="AZ949" s="62">
        <v>0</v>
      </c>
      <c r="BA949" s="62">
        <v>0.13178294573643412</v>
      </c>
      <c r="BB949" s="78">
        <v>84.317814017179103</v>
      </c>
      <c r="BC949" s="49">
        <v>50</v>
      </c>
      <c r="BD949" s="90" t="s">
        <v>83</v>
      </c>
      <c r="BE949" s="90" t="s">
        <v>83</v>
      </c>
      <c r="BF949" s="87">
        <v>11.1</v>
      </c>
      <c r="BG949" s="87">
        <v>2.7</v>
      </c>
      <c r="BH949" s="87">
        <v>13.8</v>
      </c>
      <c r="BI949" s="87">
        <v>11.1</v>
      </c>
      <c r="BJ949" s="49">
        <v>15.4</v>
      </c>
      <c r="BK949" s="126">
        <v>13332</v>
      </c>
      <c r="BL949" s="126">
        <v>45501</v>
      </c>
      <c r="BM949" s="126">
        <v>30250</v>
      </c>
      <c r="BN949" s="126">
        <v>43507</v>
      </c>
      <c r="BO949" s="59">
        <v>0</v>
      </c>
      <c r="BP949" s="59">
        <v>0.29409999999999997</v>
      </c>
      <c r="BQ949" s="59">
        <v>6.54E-2</v>
      </c>
      <c r="BR949" s="59">
        <v>0</v>
      </c>
      <c r="BS949" s="59">
        <v>0</v>
      </c>
      <c r="BT949" s="49">
        <v>5.8</v>
      </c>
      <c r="BU949" s="59">
        <f t="shared" si="68"/>
        <v>0.35949999999999999</v>
      </c>
      <c r="BV949" s="59">
        <v>4.9000000000000002E-2</v>
      </c>
      <c r="BW949" s="59">
        <v>0</v>
      </c>
      <c r="BX949" s="59">
        <v>0</v>
      </c>
      <c r="BY949" s="59">
        <v>0</v>
      </c>
      <c r="BZ949" s="59">
        <v>0</v>
      </c>
      <c r="CA949" s="49">
        <v>8</v>
      </c>
      <c r="CB949" s="59">
        <f t="shared" si="69"/>
        <v>4.9000000000000002E-2</v>
      </c>
      <c r="CC949" s="59">
        <v>9.8000000000000004E-2</v>
      </c>
      <c r="CD949" s="59">
        <v>0.78759999999999997</v>
      </c>
      <c r="CE949" s="59">
        <v>0.1144</v>
      </c>
      <c r="CF949" s="59">
        <v>0</v>
      </c>
      <c r="CG949" s="59">
        <v>0</v>
      </c>
      <c r="CH949" s="49">
        <v>4.2</v>
      </c>
      <c r="CI949" s="26" t="s">
        <v>464</v>
      </c>
      <c r="CJ949" s="18" t="s">
        <v>489</v>
      </c>
      <c r="CK949" s="20"/>
    </row>
    <row r="950" spans="1:89" x14ac:dyDescent="0.25">
      <c r="A950" s="18" t="s">
        <v>489</v>
      </c>
      <c r="B950" s="19" t="s">
        <v>473</v>
      </c>
      <c r="C950" s="26" t="s">
        <v>474</v>
      </c>
      <c r="D950" s="6">
        <v>22</v>
      </c>
      <c r="E950" s="6">
        <v>3</v>
      </c>
      <c r="F950" s="6">
        <v>19</v>
      </c>
      <c r="G950" s="166">
        <v>3</v>
      </c>
      <c r="H950" s="166">
        <v>0</v>
      </c>
      <c r="I950" s="162" t="s">
        <v>83</v>
      </c>
      <c r="J950" s="166">
        <v>5</v>
      </c>
      <c r="K950" s="166">
        <v>10</v>
      </c>
      <c r="L950" s="166">
        <v>3</v>
      </c>
      <c r="M950" s="166">
        <v>1</v>
      </c>
      <c r="N950" s="119">
        <v>8.7649402390438294E-2</v>
      </c>
      <c r="O950" s="119">
        <v>0.13103448275862101</v>
      </c>
      <c r="P950" s="119">
        <v>3.8961038961039002E-2</v>
      </c>
      <c r="Q950" s="119">
        <v>0</v>
      </c>
      <c r="R950" s="116" t="s">
        <v>83</v>
      </c>
      <c r="S950" s="119">
        <v>0.119047619047619</v>
      </c>
      <c r="T950" s="119">
        <v>0.238095238095238</v>
      </c>
      <c r="U950" s="119">
        <v>0.115384615384615</v>
      </c>
      <c r="V950" s="119">
        <v>2.8571428571428598E-2</v>
      </c>
      <c r="W950" s="6">
        <v>649</v>
      </c>
      <c r="X950" s="40">
        <f t="shared" si="66"/>
        <v>107</v>
      </c>
      <c r="Y950" s="40">
        <f t="shared" si="67"/>
        <v>187</v>
      </c>
      <c r="Z950" s="59">
        <v>0.46529999999999999</v>
      </c>
      <c r="AA950" s="59">
        <v>0.53469999999999995</v>
      </c>
      <c r="AB950" s="61">
        <v>3.0816640986132513E-3</v>
      </c>
      <c r="AC950" s="61">
        <v>4.6224961479198771E-3</v>
      </c>
      <c r="AD950" s="61">
        <v>0.44221879815100151</v>
      </c>
      <c r="AE950" s="61">
        <v>3.0816640986132512E-2</v>
      </c>
      <c r="AF950" s="61">
        <v>0</v>
      </c>
      <c r="AG950" s="61">
        <v>0.48382126348228044</v>
      </c>
      <c r="AH950" s="61">
        <v>3.543913713405239E-2</v>
      </c>
      <c r="AI950" s="61">
        <v>0.51617873651771962</v>
      </c>
      <c r="AJ950" s="59">
        <v>0.90800000000000003</v>
      </c>
      <c r="AK950" s="59">
        <v>1.5E-3</v>
      </c>
      <c r="AL950" s="3">
        <v>60</v>
      </c>
      <c r="AM950" s="3">
        <v>20</v>
      </c>
      <c r="AN950" s="3">
        <v>0</v>
      </c>
      <c r="AO950" s="3">
        <v>24</v>
      </c>
      <c r="AP950" s="3">
        <v>34</v>
      </c>
      <c r="AQ950" s="3">
        <v>18</v>
      </c>
      <c r="AR950" s="3">
        <v>31</v>
      </c>
      <c r="AS950" s="59">
        <v>0</v>
      </c>
      <c r="AT950" s="3">
        <v>1</v>
      </c>
      <c r="AU950" s="3">
        <v>2</v>
      </c>
      <c r="AV950" s="49">
        <v>57.246376811594203</v>
      </c>
      <c r="AW950" s="49">
        <v>42.028985507246404</v>
      </c>
      <c r="AX950" s="49">
        <v>0</v>
      </c>
      <c r="AY950" s="67">
        <v>0.72463768115942007</v>
      </c>
      <c r="AZ950" s="62">
        <v>0.22596754057428214</v>
      </c>
      <c r="BA950" s="62">
        <v>3.2459425717852687E-2</v>
      </c>
      <c r="BB950" s="77">
        <v>93.0631123262702</v>
      </c>
      <c r="BC950" s="49">
        <v>53.562653562653601</v>
      </c>
      <c r="BD950" s="87">
        <v>16.399999999999999</v>
      </c>
      <c r="BE950" s="87">
        <v>0</v>
      </c>
      <c r="BF950" s="87">
        <v>13</v>
      </c>
      <c r="BG950" s="87">
        <v>8.6999999999999993</v>
      </c>
      <c r="BH950" s="87">
        <v>0</v>
      </c>
      <c r="BI950" s="87">
        <v>3.3</v>
      </c>
      <c r="BJ950" s="49">
        <v>16.899999999999999</v>
      </c>
      <c r="BK950" s="126">
        <v>12247</v>
      </c>
      <c r="BL950" s="126">
        <v>45066</v>
      </c>
      <c r="BM950" s="126">
        <v>54625</v>
      </c>
      <c r="BN950" s="126">
        <v>39417</v>
      </c>
      <c r="BO950" s="59">
        <v>9.7000000000000003E-3</v>
      </c>
      <c r="BP950" s="59">
        <v>0.3523</v>
      </c>
      <c r="BQ950" s="59">
        <v>0.10589999999999999</v>
      </c>
      <c r="BR950" s="59">
        <v>0</v>
      </c>
      <c r="BS950" s="59">
        <v>9.7000000000000003E-3</v>
      </c>
      <c r="BT950" s="49">
        <v>7.7</v>
      </c>
      <c r="BU950" s="59">
        <f t="shared" si="68"/>
        <v>0.47759999999999997</v>
      </c>
      <c r="BV950" s="59">
        <v>2.9000000000000001E-2</v>
      </c>
      <c r="BW950" s="59">
        <v>9.7000000000000003E-3</v>
      </c>
      <c r="BX950" s="59">
        <v>3.8699999999999998E-2</v>
      </c>
      <c r="BY950" s="59">
        <v>0</v>
      </c>
      <c r="BZ950" s="59">
        <v>0</v>
      </c>
      <c r="CA950" s="49">
        <v>11</v>
      </c>
      <c r="CB950" s="59">
        <f t="shared" si="69"/>
        <v>7.7399999999999997E-2</v>
      </c>
      <c r="CC950" s="59">
        <v>0.35799999999999998</v>
      </c>
      <c r="CD950" s="59">
        <v>0.39100000000000001</v>
      </c>
      <c r="CE950" s="59">
        <v>0.24129999999999999</v>
      </c>
      <c r="CF950" s="59">
        <v>0</v>
      </c>
      <c r="CG950" s="59">
        <v>9.7000000000000003E-3</v>
      </c>
      <c r="CH950" s="49">
        <v>6.8</v>
      </c>
      <c r="CI950" s="26" t="s">
        <v>474</v>
      </c>
      <c r="CJ950" s="18" t="s">
        <v>489</v>
      </c>
      <c r="CK950" s="20"/>
    </row>
    <row r="951" spans="1:89" x14ac:dyDescent="0.25">
      <c r="A951" s="18" t="s">
        <v>489</v>
      </c>
      <c r="B951" s="19" t="s">
        <v>466</v>
      </c>
      <c r="C951" s="26" t="s">
        <v>466</v>
      </c>
      <c r="D951" s="6">
        <v>27</v>
      </c>
      <c r="E951" s="6">
        <v>0</v>
      </c>
      <c r="F951" s="6">
        <v>27</v>
      </c>
      <c r="G951" s="162" t="s">
        <v>83</v>
      </c>
      <c r="H951" s="166">
        <v>0</v>
      </c>
      <c r="I951" s="162" t="s">
        <v>83</v>
      </c>
      <c r="J951" s="166">
        <v>7</v>
      </c>
      <c r="K951" s="166">
        <v>6</v>
      </c>
      <c r="L951" s="166">
        <v>7</v>
      </c>
      <c r="M951" s="166">
        <v>7</v>
      </c>
      <c r="N951" s="119">
        <v>4.6357615894039701E-2</v>
      </c>
      <c r="O951" s="119">
        <v>4.7038327526132399E-2</v>
      </c>
      <c r="P951" s="116" t="s">
        <v>83</v>
      </c>
      <c r="Q951" s="119">
        <v>0</v>
      </c>
      <c r="R951" s="116" t="s">
        <v>83</v>
      </c>
      <c r="S951" s="119">
        <v>3.8461538461538498E-2</v>
      </c>
      <c r="T951" s="119">
        <v>3.65853658536585E-2</v>
      </c>
      <c r="U951" s="119">
        <v>4.9645390070922002E-2</v>
      </c>
      <c r="V951" s="119">
        <v>8.04597701149425E-2</v>
      </c>
      <c r="W951" s="6">
        <v>469</v>
      </c>
      <c r="X951" s="40">
        <f t="shared" si="66"/>
        <v>444</v>
      </c>
      <c r="Y951" s="40">
        <f t="shared" si="67"/>
        <v>469</v>
      </c>
      <c r="Z951" s="59">
        <v>0.51390000000000002</v>
      </c>
      <c r="AA951" s="59">
        <v>0.48609999999999998</v>
      </c>
      <c r="AB951" s="61">
        <v>0</v>
      </c>
      <c r="AC951" s="61">
        <v>2.1321961620469083E-3</v>
      </c>
      <c r="AD951" s="61">
        <v>0.92963752665245203</v>
      </c>
      <c r="AE951" s="61">
        <v>5.1172707889125799E-2</v>
      </c>
      <c r="AF951" s="61">
        <v>0</v>
      </c>
      <c r="AG951" s="61">
        <v>8.5287846481876331E-3</v>
      </c>
      <c r="AH951" s="61">
        <v>8.5287846481876331E-3</v>
      </c>
      <c r="AI951" s="61">
        <v>0.99147121535181237</v>
      </c>
      <c r="AJ951" s="59">
        <v>0.84899999999999998</v>
      </c>
      <c r="AK951" s="59">
        <v>2.0999999999999999E-3</v>
      </c>
      <c r="AL951" s="3">
        <v>0</v>
      </c>
      <c r="AM951" s="3">
        <v>25</v>
      </c>
      <c r="AN951" s="3">
        <v>0</v>
      </c>
      <c r="AO951" s="3">
        <v>140</v>
      </c>
      <c r="AP951" s="3">
        <v>121</v>
      </c>
      <c r="AQ951" s="3">
        <v>108</v>
      </c>
      <c r="AR951" s="3">
        <v>75</v>
      </c>
      <c r="AS951" s="59">
        <v>0</v>
      </c>
      <c r="AT951" s="3">
        <v>8</v>
      </c>
      <c r="AU951" s="3">
        <v>5</v>
      </c>
      <c r="AV951" s="49">
        <v>24.550898203592801</v>
      </c>
      <c r="AW951" s="49">
        <v>29.940119760479</v>
      </c>
      <c r="AX951" s="49">
        <v>43.113772455089801</v>
      </c>
      <c r="AY951" s="67">
        <v>2.39520958083832</v>
      </c>
      <c r="AZ951" s="62">
        <v>0</v>
      </c>
      <c r="BA951" s="62">
        <v>5.8528428093645488E-2</v>
      </c>
      <c r="BB951" s="78">
        <v>91.258675787686599</v>
      </c>
      <c r="BC951" s="49">
        <v>3.5117056856187299</v>
      </c>
      <c r="BD951" s="90" t="s">
        <v>83</v>
      </c>
      <c r="BE951" s="87">
        <v>0</v>
      </c>
      <c r="BF951" s="87">
        <v>7.5</v>
      </c>
      <c r="BG951" s="87">
        <v>7.3</v>
      </c>
      <c r="BH951" s="87">
        <v>2.6</v>
      </c>
      <c r="BI951" s="87">
        <v>1.4</v>
      </c>
      <c r="BJ951" s="49">
        <v>18.100000000000001</v>
      </c>
      <c r="BK951" s="126">
        <v>9720</v>
      </c>
      <c r="BL951" s="126">
        <v>48936</v>
      </c>
      <c r="BM951" s="126">
        <v>51049</v>
      </c>
      <c r="BN951" s="126">
        <v>47752</v>
      </c>
      <c r="BO951" s="59">
        <v>0</v>
      </c>
      <c r="BP951" s="59">
        <v>0.24510000000000001</v>
      </c>
      <c r="BQ951" s="59">
        <v>0.18740000000000001</v>
      </c>
      <c r="BR951" s="59">
        <v>0</v>
      </c>
      <c r="BS951" s="59">
        <v>0</v>
      </c>
      <c r="BT951" s="49">
        <v>8.8000000000000007</v>
      </c>
      <c r="BU951" s="59">
        <f t="shared" si="68"/>
        <v>0.4325</v>
      </c>
      <c r="BV951" s="59">
        <v>1.89E-2</v>
      </c>
      <c r="BW951" s="59">
        <v>1.77E-2</v>
      </c>
      <c r="BX951" s="59">
        <v>0</v>
      </c>
      <c r="BY951" s="59">
        <v>0</v>
      </c>
      <c r="BZ951" s="59">
        <v>0</v>
      </c>
      <c r="CA951" s="49">
        <v>2.9</v>
      </c>
      <c r="CB951" s="59">
        <f t="shared" si="69"/>
        <v>3.6600000000000001E-2</v>
      </c>
      <c r="CC951" s="59">
        <v>0.25519999999999998</v>
      </c>
      <c r="CD951" s="59">
        <v>0.35470000000000002</v>
      </c>
      <c r="CE951" s="59">
        <v>0.37240000000000001</v>
      </c>
      <c r="CF951" s="59">
        <v>1.77E-2</v>
      </c>
      <c r="CG951" s="59">
        <v>0</v>
      </c>
      <c r="CH951" s="49">
        <v>8.9</v>
      </c>
      <c r="CI951" s="26" t="s">
        <v>466</v>
      </c>
      <c r="CJ951" s="18" t="s">
        <v>489</v>
      </c>
      <c r="CK951" s="20"/>
    </row>
    <row r="952" spans="1:89" x14ac:dyDescent="0.25">
      <c r="A952" s="18" t="s">
        <v>489</v>
      </c>
      <c r="B952" s="19" t="s">
        <v>468</v>
      </c>
      <c r="C952" s="26" t="s">
        <v>468</v>
      </c>
      <c r="D952" s="6">
        <v>27</v>
      </c>
      <c r="E952" s="40" t="s">
        <v>83</v>
      </c>
      <c r="F952" s="6">
        <v>27</v>
      </c>
      <c r="G952" s="162" t="s">
        <v>83</v>
      </c>
      <c r="H952" s="162" t="s">
        <v>83</v>
      </c>
      <c r="I952" s="166">
        <v>0</v>
      </c>
      <c r="J952" s="166">
        <v>5</v>
      </c>
      <c r="K952" s="166">
        <v>10</v>
      </c>
      <c r="L952" s="166">
        <v>9</v>
      </c>
      <c r="M952" s="166">
        <v>3</v>
      </c>
      <c r="N952" s="119">
        <v>4.6471600688468201E-2</v>
      </c>
      <c r="O952" s="119">
        <v>4.6471600688468201E-2</v>
      </c>
      <c r="P952" s="116" t="s">
        <v>83</v>
      </c>
      <c r="Q952" s="116" t="s">
        <v>83</v>
      </c>
      <c r="R952" s="119">
        <v>0</v>
      </c>
      <c r="S952" s="119">
        <v>3.1055900621118002E-2</v>
      </c>
      <c r="T952" s="119">
        <v>6.5789473684210495E-2</v>
      </c>
      <c r="U952" s="119">
        <v>6.3829787234042507E-2</v>
      </c>
      <c r="V952" s="119">
        <v>2.3809523809523801E-2</v>
      </c>
      <c r="W952" s="6">
        <v>491</v>
      </c>
      <c r="X952" s="40">
        <f t="shared" si="66"/>
        <v>491</v>
      </c>
      <c r="Y952" s="40">
        <f t="shared" si="67"/>
        <v>491</v>
      </c>
      <c r="Z952" s="59">
        <v>0.51729999999999998</v>
      </c>
      <c r="AA952" s="59">
        <v>0.48270000000000002</v>
      </c>
      <c r="AB952" s="61">
        <v>2.0366598778004071E-3</v>
      </c>
      <c r="AC952" s="61">
        <v>1.0183299389002037E-2</v>
      </c>
      <c r="AD952" s="61">
        <v>0.96537678207739308</v>
      </c>
      <c r="AE952" s="61">
        <v>2.0366598778004074E-2</v>
      </c>
      <c r="AF952" s="61">
        <v>0</v>
      </c>
      <c r="AG952" s="61">
        <v>2.0366598778004071E-3</v>
      </c>
      <c r="AH952" s="61">
        <v>0</v>
      </c>
      <c r="AI952" s="61">
        <v>0.99796334012219956</v>
      </c>
      <c r="AJ952" s="59">
        <v>0.87</v>
      </c>
      <c r="AK952" s="59">
        <v>2.4400000000000002E-2</v>
      </c>
      <c r="AL952" s="3">
        <v>0</v>
      </c>
      <c r="AM952" s="3">
        <v>0</v>
      </c>
      <c r="AN952" s="3">
        <v>1</v>
      </c>
      <c r="AO952" s="3">
        <v>136</v>
      </c>
      <c r="AP952" s="3">
        <v>125</v>
      </c>
      <c r="AQ952" s="3">
        <v>120</v>
      </c>
      <c r="AR952" s="3">
        <v>109</v>
      </c>
      <c r="AS952" s="59">
        <v>7.2992700729927005E-3</v>
      </c>
      <c r="AT952" s="3">
        <v>9</v>
      </c>
      <c r="AU952" s="3">
        <v>5</v>
      </c>
      <c r="AV952" s="49">
        <v>37.058823529411796</v>
      </c>
      <c r="AW952" s="49">
        <v>32.941176470588204</v>
      </c>
      <c r="AX952" s="49">
        <v>27.647058823529402</v>
      </c>
      <c r="AY952" s="67">
        <v>2.3529411764705901</v>
      </c>
      <c r="AZ952" s="62">
        <v>0</v>
      </c>
      <c r="BA952" s="62">
        <v>6.3380281690140844E-2</v>
      </c>
      <c r="BB952" s="77">
        <v>90.716487795832293</v>
      </c>
      <c r="BC952" s="49">
        <v>0.352112676056338</v>
      </c>
      <c r="BD952" s="90" t="s">
        <v>83</v>
      </c>
      <c r="BE952" s="90" t="s">
        <v>83</v>
      </c>
      <c r="BF952" s="87">
        <v>5.0999999999999996</v>
      </c>
      <c r="BG952" s="87">
        <v>6</v>
      </c>
      <c r="BH952" s="87">
        <v>3.3</v>
      </c>
      <c r="BI952" s="87">
        <v>1.7</v>
      </c>
      <c r="BJ952" s="49">
        <v>18.3</v>
      </c>
      <c r="BK952" s="126">
        <v>13291</v>
      </c>
      <c r="BL952" s="126">
        <v>50525</v>
      </c>
      <c r="BM952" s="126">
        <v>69666</v>
      </c>
      <c r="BN952" s="126">
        <v>53461</v>
      </c>
      <c r="BO952" s="59">
        <v>0</v>
      </c>
      <c r="BP952" s="59">
        <v>0.55559999999999998</v>
      </c>
      <c r="BQ952" s="59">
        <v>9.5200000000000007E-2</v>
      </c>
      <c r="BR952" s="59">
        <v>0</v>
      </c>
      <c r="BS952" s="59">
        <v>0</v>
      </c>
      <c r="BT952" s="49">
        <v>4.5</v>
      </c>
      <c r="BU952" s="59">
        <f t="shared" si="68"/>
        <v>0.65080000000000005</v>
      </c>
      <c r="BV952" s="59">
        <v>0</v>
      </c>
      <c r="BW952" s="59">
        <v>0.17460000000000001</v>
      </c>
      <c r="BX952" s="59">
        <v>1.5900000000000001E-2</v>
      </c>
      <c r="BY952" s="59">
        <v>0</v>
      </c>
      <c r="BZ952" s="59">
        <v>0</v>
      </c>
      <c r="CA952" s="49">
        <v>4.0999999999999996</v>
      </c>
      <c r="CB952" s="59">
        <f t="shared" si="69"/>
        <v>0.1905</v>
      </c>
      <c r="CC952" s="59">
        <v>0</v>
      </c>
      <c r="CD952" s="59">
        <v>0.85709999999999997</v>
      </c>
      <c r="CE952" s="59">
        <v>0.1429</v>
      </c>
      <c r="CF952" s="59">
        <v>0</v>
      </c>
      <c r="CG952" s="59">
        <v>0</v>
      </c>
      <c r="CH952" s="49">
        <v>3.9</v>
      </c>
      <c r="CI952" s="26" t="s">
        <v>468</v>
      </c>
      <c r="CJ952" s="18" t="s">
        <v>489</v>
      </c>
      <c r="CK952" s="20"/>
    </row>
    <row r="953" spans="1:89" x14ac:dyDescent="0.25">
      <c r="A953" s="18" t="s">
        <v>489</v>
      </c>
      <c r="B953" s="19" t="s">
        <v>502</v>
      </c>
      <c r="C953" s="26" t="s">
        <v>502</v>
      </c>
      <c r="D953" s="6">
        <v>1</v>
      </c>
      <c r="E953" s="40" t="s">
        <v>83</v>
      </c>
      <c r="F953" s="6">
        <v>1</v>
      </c>
      <c r="G953" s="162" t="s">
        <v>83</v>
      </c>
      <c r="H953" s="162" t="s">
        <v>83</v>
      </c>
      <c r="I953" s="166">
        <v>0</v>
      </c>
      <c r="J953" s="166">
        <v>1</v>
      </c>
      <c r="K953" s="162" t="s">
        <v>83</v>
      </c>
      <c r="L953" s="162" t="s">
        <v>83</v>
      </c>
      <c r="M953" s="162" t="s">
        <v>83</v>
      </c>
      <c r="N953" s="119">
        <v>8.0645161290322596E-3</v>
      </c>
      <c r="O953" s="119">
        <v>8.0645161290322596E-3</v>
      </c>
      <c r="P953" s="116" t="s">
        <v>83</v>
      </c>
      <c r="Q953" s="116" t="s">
        <v>83</v>
      </c>
      <c r="R953" s="119">
        <v>0</v>
      </c>
      <c r="S953" s="119">
        <v>8.1967213114754103E-3</v>
      </c>
      <c r="T953" s="116" t="s">
        <v>83</v>
      </c>
      <c r="U953" s="116" t="s">
        <v>83</v>
      </c>
      <c r="V953" s="116" t="s">
        <v>83</v>
      </c>
      <c r="W953" s="6">
        <v>106</v>
      </c>
      <c r="X953" s="40">
        <f>SUM(AN953:AR953)</f>
        <v>106</v>
      </c>
      <c r="Y953" s="40">
        <f>SUM(AL953:AR953)</f>
        <v>106</v>
      </c>
      <c r="Z953" s="61">
        <v>0.52830188679245305</v>
      </c>
      <c r="AA953" s="61">
        <v>0.47169811320754701</v>
      </c>
      <c r="AB953" s="61">
        <f>2/106</f>
        <v>1.8867924528301886E-2</v>
      </c>
      <c r="AC953" s="61">
        <v>0</v>
      </c>
      <c r="AD953" s="61">
        <f>101/106</f>
        <v>0.95283018867924529</v>
      </c>
      <c r="AE953" s="61">
        <f>3/106</f>
        <v>2.8301886792452831E-2</v>
      </c>
      <c r="AF953" s="61">
        <v>0</v>
      </c>
      <c r="AG953" s="61">
        <v>0</v>
      </c>
      <c r="AH953" s="61">
        <v>0</v>
      </c>
      <c r="AI953" s="61">
        <f>106/106</f>
        <v>1</v>
      </c>
      <c r="AJ953" s="61">
        <v>0.90566037735849059</v>
      </c>
      <c r="AK953" s="61">
        <v>1.88679245283019E-2</v>
      </c>
      <c r="AL953" s="3">
        <v>0</v>
      </c>
      <c r="AM953" s="3">
        <v>0</v>
      </c>
      <c r="AN953" s="3">
        <v>2</v>
      </c>
      <c r="AO953" s="3">
        <v>104</v>
      </c>
      <c r="AP953" s="3">
        <v>0</v>
      </c>
      <c r="AQ953" s="3">
        <v>0</v>
      </c>
      <c r="AR953" s="3">
        <v>0</v>
      </c>
      <c r="AS953" s="59">
        <v>1.8867924528301886E-2</v>
      </c>
      <c r="AT953" s="3">
        <v>9</v>
      </c>
      <c r="AU953" s="3">
        <v>5</v>
      </c>
      <c r="AV953" s="49">
        <v>54</v>
      </c>
      <c r="AW953" s="49">
        <v>18</v>
      </c>
      <c r="AX953" s="49">
        <v>14.000000000000002</v>
      </c>
      <c r="AY953" s="67">
        <v>14.000000000000002</v>
      </c>
      <c r="AZ953" s="62">
        <v>0</v>
      </c>
      <c r="BA953" s="62">
        <v>0.21774193548387097</v>
      </c>
      <c r="BB953" s="78">
        <v>93.162567608939696</v>
      </c>
      <c r="BC953" s="49"/>
      <c r="BD953" s="90" t="s">
        <v>83</v>
      </c>
      <c r="BE953" s="90" t="s">
        <v>83</v>
      </c>
      <c r="BF953" s="150">
        <v>1.7</v>
      </c>
      <c r="BG953" s="90" t="s">
        <v>83</v>
      </c>
      <c r="BH953" s="90" t="s">
        <v>83</v>
      </c>
      <c r="BI953" s="90" t="s">
        <v>83</v>
      </c>
      <c r="BJ953" s="49"/>
      <c r="BK953" s="126">
        <v>16358</v>
      </c>
      <c r="BL953" s="126">
        <v>50992</v>
      </c>
      <c r="BM953" s="126">
        <v>57115</v>
      </c>
      <c r="BN953" s="126">
        <v>51639</v>
      </c>
      <c r="BO953" s="59">
        <v>0</v>
      </c>
      <c r="BP953" s="59">
        <v>0.625</v>
      </c>
      <c r="BQ953" s="59">
        <v>6.25E-2</v>
      </c>
      <c r="BR953" s="59">
        <v>0</v>
      </c>
      <c r="BS953" s="59">
        <v>0</v>
      </c>
      <c r="BT953" s="49">
        <v>3.6</v>
      </c>
      <c r="BU953" s="59">
        <f t="shared" si="68"/>
        <v>0.6875</v>
      </c>
      <c r="BV953" s="59">
        <v>0</v>
      </c>
      <c r="BW953" s="59">
        <v>0.1875</v>
      </c>
      <c r="BX953" s="59">
        <v>6.25E-2</v>
      </c>
      <c r="BY953" s="59">
        <v>0</v>
      </c>
      <c r="BZ953" s="59">
        <v>0</v>
      </c>
      <c r="CA953" s="49">
        <v>2</v>
      </c>
      <c r="CB953" s="59">
        <f t="shared" si="69"/>
        <v>0.25</v>
      </c>
      <c r="CC953" s="59">
        <v>0</v>
      </c>
      <c r="CD953" s="59">
        <v>0.875</v>
      </c>
      <c r="CE953" s="59">
        <v>0.125</v>
      </c>
      <c r="CF953" s="59">
        <v>0</v>
      </c>
      <c r="CG953" s="59">
        <v>0</v>
      </c>
      <c r="CH953" s="49">
        <v>3.1</v>
      </c>
      <c r="CI953" s="26" t="s">
        <v>502</v>
      </c>
      <c r="CJ953" s="18" t="s">
        <v>489</v>
      </c>
      <c r="CK953" s="20"/>
    </row>
    <row r="954" spans="1:89" x14ac:dyDescent="0.25">
      <c r="A954" s="18" t="s">
        <v>489</v>
      </c>
      <c r="B954" s="19" t="s">
        <v>470</v>
      </c>
      <c r="C954" s="26" t="s">
        <v>470</v>
      </c>
      <c r="D954" s="6">
        <v>22</v>
      </c>
      <c r="E954" s="40" t="s">
        <v>83</v>
      </c>
      <c r="F954" s="6">
        <v>22</v>
      </c>
      <c r="G954" s="162" t="s">
        <v>83</v>
      </c>
      <c r="H954" s="162" t="s">
        <v>83</v>
      </c>
      <c r="I954" s="162" t="s">
        <v>83</v>
      </c>
      <c r="J954" s="166">
        <v>5</v>
      </c>
      <c r="K954" s="166">
        <v>5</v>
      </c>
      <c r="L954" s="166">
        <v>5</v>
      </c>
      <c r="M954" s="166">
        <v>7</v>
      </c>
      <c r="N954" s="119">
        <v>9.2436974789915999E-2</v>
      </c>
      <c r="O954" s="119">
        <v>9.2436974789915999E-2</v>
      </c>
      <c r="P954" s="116" t="s">
        <v>83</v>
      </c>
      <c r="Q954" s="116" t="s">
        <v>83</v>
      </c>
      <c r="R954" s="116" t="s">
        <v>83</v>
      </c>
      <c r="S954" s="119">
        <v>0.18518518518518501</v>
      </c>
      <c r="T954" s="119">
        <v>7.1428571428571397E-2</v>
      </c>
      <c r="U954" s="119">
        <v>8.6206896551724102E-2</v>
      </c>
      <c r="V954" s="119">
        <v>8.4337349397590397E-2</v>
      </c>
      <c r="W954" s="6">
        <v>213</v>
      </c>
      <c r="X954" s="40">
        <f t="shared" si="66"/>
        <v>213</v>
      </c>
      <c r="Y954" s="40">
        <f t="shared" si="67"/>
        <v>213</v>
      </c>
      <c r="Z954" s="59">
        <v>0.46010000000000001</v>
      </c>
      <c r="AA954" s="59">
        <v>0.53990000000000005</v>
      </c>
      <c r="AB954" s="61">
        <v>4.6948356807511738E-3</v>
      </c>
      <c r="AC954" s="61">
        <v>0</v>
      </c>
      <c r="AD954" s="61">
        <v>0.92018779342723001</v>
      </c>
      <c r="AE954" s="61">
        <v>7.0422535211267609E-2</v>
      </c>
      <c r="AF954" s="61">
        <v>0</v>
      </c>
      <c r="AG954" s="61">
        <v>4.6948356807511738E-3</v>
      </c>
      <c r="AH954" s="61">
        <v>0</v>
      </c>
      <c r="AI954" s="61">
        <v>0.99530516431924887</v>
      </c>
      <c r="AJ954" s="59">
        <v>0.93899999999999995</v>
      </c>
      <c r="AK954" s="59">
        <v>6.0999999999999999E-2</v>
      </c>
      <c r="AL954" s="3">
        <v>0</v>
      </c>
      <c r="AM954" s="3">
        <v>0</v>
      </c>
      <c r="AN954" s="3">
        <v>0</v>
      </c>
      <c r="AO954" s="3">
        <v>20</v>
      </c>
      <c r="AP954" s="3">
        <v>65</v>
      </c>
      <c r="AQ954" s="3">
        <v>51</v>
      </c>
      <c r="AR954" s="3">
        <v>77</v>
      </c>
      <c r="AS954" s="59">
        <v>0</v>
      </c>
      <c r="AT954" s="3">
        <v>9</v>
      </c>
      <c r="AU954" s="3">
        <v>5</v>
      </c>
      <c r="AV954" s="49">
        <v>80.459770114942501</v>
      </c>
      <c r="AW954" s="49">
        <v>18.390804597701099</v>
      </c>
      <c r="AX954" s="49">
        <v>1.14942528735632</v>
      </c>
      <c r="AY954" s="67">
        <v>0</v>
      </c>
      <c r="AZ954" s="62">
        <v>0.6160714285714286</v>
      </c>
      <c r="BA954" s="62">
        <v>0.4732142857142857</v>
      </c>
      <c r="BB954" s="77">
        <v>89.412392577590495</v>
      </c>
      <c r="BC954" s="49">
        <v>47.6394849785408</v>
      </c>
      <c r="BD954" s="90" t="s">
        <v>83</v>
      </c>
      <c r="BE954" s="90" t="s">
        <v>83</v>
      </c>
      <c r="BF954" s="87">
        <v>26.7</v>
      </c>
      <c r="BG954" s="87">
        <v>8.8000000000000007</v>
      </c>
      <c r="BH954" s="87">
        <v>8.6999999999999993</v>
      </c>
      <c r="BI954" s="87">
        <v>8.1999999999999993</v>
      </c>
      <c r="BJ954" s="49">
        <v>15.9</v>
      </c>
      <c r="BK954" s="126">
        <v>22736</v>
      </c>
      <c r="BL954" s="126">
        <v>55837</v>
      </c>
      <c r="BM954" s="126">
        <v>64146</v>
      </c>
      <c r="BN954" s="126">
        <v>54352</v>
      </c>
      <c r="BO954" s="59">
        <v>0</v>
      </c>
      <c r="BP954" s="59">
        <v>0.32469999999999999</v>
      </c>
      <c r="BQ954" s="59">
        <v>0.1113</v>
      </c>
      <c r="BR954" s="59">
        <v>0</v>
      </c>
      <c r="BS954" s="59">
        <v>0.02</v>
      </c>
      <c r="BT954" s="49">
        <v>4.0999999999999996</v>
      </c>
      <c r="BU954" s="59">
        <f t="shared" si="68"/>
        <v>0.45600000000000002</v>
      </c>
      <c r="BV954" s="59">
        <v>4.3499999999999997E-2</v>
      </c>
      <c r="BW954" s="59">
        <v>0.1148</v>
      </c>
      <c r="BX954" s="59">
        <v>7.1099999999999997E-2</v>
      </c>
      <c r="BY954" s="59">
        <v>0</v>
      </c>
      <c r="BZ954" s="59">
        <v>0</v>
      </c>
      <c r="CA954" s="49">
        <v>9.9</v>
      </c>
      <c r="CB954" s="59">
        <f t="shared" si="69"/>
        <v>0.22939999999999999</v>
      </c>
      <c r="CC954" s="59">
        <v>0.17269999999999999</v>
      </c>
      <c r="CD954" s="59">
        <v>0.53769999999999996</v>
      </c>
      <c r="CE954" s="59">
        <v>0.23449999999999999</v>
      </c>
      <c r="CF954" s="59">
        <v>0</v>
      </c>
      <c r="CG954" s="59">
        <v>5.5100000000000003E-2</v>
      </c>
      <c r="CH954" s="49">
        <v>7.1</v>
      </c>
      <c r="CI954" s="26" t="s">
        <v>470</v>
      </c>
      <c r="CJ954" s="18" t="s">
        <v>489</v>
      </c>
      <c r="CK954" s="20"/>
    </row>
    <row r="955" spans="1:89" x14ac:dyDescent="0.25">
      <c r="A955" s="18" t="s">
        <v>489</v>
      </c>
      <c r="B955" s="19" t="s">
        <v>478</v>
      </c>
      <c r="C955" s="26" t="s">
        <v>478</v>
      </c>
      <c r="D955" s="6">
        <v>33</v>
      </c>
      <c r="E955" s="40" t="s">
        <v>83</v>
      </c>
      <c r="F955" s="6">
        <v>33</v>
      </c>
      <c r="G955" s="162" t="s">
        <v>83</v>
      </c>
      <c r="H955" s="162" t="s">
        <v>83</v>
      </c>
      <c r="I955" s="166">
        <v>1</v>
      </c>
      <c r="J955" s="166">
        <v>10</v>
      </c>
      <c r="K955" s="166">
        <v>10</v>
      </c>
      <c r="L955" s="166">
        <v>7</v>
      </c>
      <c r="M955" s="166">
        <v>5</v>
      </c>
      <c r="N955" s="119">
        <v>6.8181818181818205E-2</v>
      </c>
      <c r="O955" s="119">
        <v>6.8181818181818205E-2</v>
      </c>
      <c r="P955" s="116" t="s">
        <v>83</v>
      </c>
      <c r="Q955" s="116" t="s">
        <v>83</v>
      </c>
      <c r="R955" s="119">
        <v>1.2820512820512799E-2</v>
      </c>
      <c r="S955" s="119">
        <v>0.20833333333333301</v>
      </c>
      <c r="T955" s="119">
        <v>7.4074074074074098E-2</v>
      </c>
      <c r="U955" s="119">
        <v>5.4263565891472902E-2</v>
      </c>
      <c r="V955" s="119">
        <v>5.31914893617021E-2</v>
      </c>
      <c r="W955" s="6">
        <v>410</v>
      </c>
      <c r="X955" s="40">
        <f t="shared" si="66"/>
        <v>410</v>
      </c>
      <c r="Y955" s="40">
        <f t="shared" si="67"/>
        <v>410</v>
      </c>
      <c r="Z955" s="59">
        <v>0.46100000000000002</v>
      </c>
      <c r="AA955" s="59">
        <v>0.53900000000000003</v>
      </c>
      <c r="AB955" s="61">
        <v>0</v>
      </c>
      <c r="AC955" s="61">
        <v>0</v>
      </c>
      <c r="AD955" s="61">
        <v>0.99268292682926829</v>
      </c>
      <c r="AE955" s="61">
        <v>4.8780487804878049E-3</v>
      </c>
      <c r="AF955" s="61">
        <v>0</v>
      </c>
      <c r="AG955" s="61">
        <v>2.4390243902439024E-3</v>
      </c>
      <c r="AH955" s="61">
        <v>0</v>
      </c>
      <c r="AI955" s="61">
        <v>0.9975609756097561</v>
      </c>
      <c r="AJ955" s="59">
        <v>0.96099999999999997</v>
      </c>
      <c r="AK955" s="59">
        <v>0</v>
      </c>
      <c r="AL955" s="3">
        <v>0</v>
      </c>
      <c r="AM955" s="3">
        <v>0</v>
      </c>
      <c r="AN955" s="3">
        <v>14</v>
      </c>
      <c r="AO955" s="3">
        <v>83</v>
      </c>
      <c r="AP955" s="3">
        <v>111</v>
      </c>
      <c r="AQ955" s="3">
        <v>117</v>
      </c>
      <c r="AR955" s="3">
        <v>85</v>
      </c>
      <c r="AS955" s="59">
        <v>0.14432989690721648</v>
      </c>
      <c r="AT955" s="3">
        <v>9</v>
      </c>
      <c r="AU955" s="3">
        <v>5</v>
      </c>
      <c r="AV955" s="49">
        <v>41.818181818181799</v>
      </c>
      <c r="AW955" s="49">
        <v>33.3333333333333</v>
      </c>
      <c r="AX955" s="49">
        <v>23.030303030303003</v>
      </c>
      <c r="AY955" s="67">
        <v>1.8181818181818199</v>
      </c>
      <c r="AZ955" s="62">
        <v>7.3434125269978404E-2</v>
      </c>
      <c r="BA955" s="62">
        <v>0.31101511879049676</v>
      </c>
      <c r="BB955" s="77">
        <v>79.521669807218402</v>
      </c>
      <c r="BC955" s="49">
        <v>3.2397408207343399</v>
      </c>
      <c r="BD955" s="90" t="s">
        <v>83</v>
      </c>
      <c r="BE955" s="90" t="s">
        <v>83</v>
      </c>
      <c r="BF955" s="87">
        <v>10</v>
      </c>
      <c r="BG955" s="87">
        <v>19.2</v>
      </c>
      <c r="BH955" s="87">
        <v>19.399999999999999</v>
      </c>
      <c r="BI955" s="87">
        <v>15.2</v>
      </c>
      <c r="BJ955" s="49">
        <v>15</v>
      </c>
      <c r="BK955" s="126">
        <v>14372</v>
      </c>
      <c r="BL955" s="126">
        <v>73918</v>
      </c>
      <c r="BM955" s="126">
        <v>73025</v>
      </c>
      <c r="BN955" s="126">
        <v>75860</v>
      </c>
      <c r="BO955" s="59">
        <v>9.9000000000000008E-3</v>
      </c>
      <c r="BP955" s="59">
        <v>0.58450000000000002</v>
      </c>
      <c r="BQ955" s="59">
        <v>0.1087</v>
      </c>
      <c r="BR955" s="59">
        <v>0</v>
      </c>
      <c r="BS955" s="59">
        <v>0</v>
      </c>
      <c r="BT955" s="49">
        <v>5.7</v>
      </c>
      <c r="BU955" s="59">
        <f t="shared" si="68"/>
        <v>0.70310000000000006</v>
      </c>
      <c r="BV955" s="59">
        <v>0</v>
      </c>
      <c r="BW955" s="59">
        <v>6.6799999999999998E-2</v>
      </c>
      <c r="BX955" s="59">
        <v>2.35E-2</v>
      </c>
      <c r="BY955" s="59">
        <v>0</v>
      </c>
      <c r="BZ955" s="59">
        <v>0</v>
      </c>
      <c r="CA955" s="49">
        <v>13.6</v>
      </c>
      <c r="CB955" s="59">
        <f t="shared" si="69"/>
        <v>9.0299999999999991E-2</v>
      </c>
      <c r="CC955" s="59">
        <v>9.9000000000000008E-3</v>
      </c>
      <c r="CD955" s="59">
        <v>0.76600000000000001</v>
      </c>
      <c r="CE955" s="59">
        <v>0.22420000000000001</v>
      </c>
      <c r="CF955" s="59">
        <v>0</v>
      </c>
      <c r="CG955" s="59">
        <v>0</v>
      </c>
      <c r="CH955" s="49">
        <v>6</v>
      </c>
      <c r="CI955" s="26" t="s">
        <v>478</v>
      </c>
      <c r="CJ955" s="18" t="s">
        <v>489</v>
      </c>
      <c r="CK955" s="20"/>
    </row>
    <row r="956" spans="1:89" x14ac:dyDescent="0.25">
      <c r="A956" s="18" t="s">
        <v>489</v>
      </c>
      <c r="B956" s="19" t="s">
        <v>451</v>
      </c>
      <c r="C956" s="26" t="s">
        <v>451</v>
      </c>
      <c r="D956" s="6">
        <v>11</v>
      </c>
      <c r="E956" s="6">
        <v>8</v>
      </c>
      <c r="F956" s="6">
        <v>3</v>
      </c>
      <c r="G956" s="166">
        <v>3</v>
      </c>
      <c r="H956" s="166">
        <v>5</v>
      </c>
      <c r="I956" s="162" t="s">
        <v>83</v>
      </c>
      <c r="J956" s="166">
        <v>1</v>
      </c>
      <c r="K956" s="166">
        <v>1</v>
      </c>
      <c r="L956" s="166">
        <v>1</v>
      </c>
      <c r="M956" s="162" t="s">
        <v>83</v>
      </c>
      <c r="N956" s="119">
        <v>4.0293040293040303E-2</v>
      </c>
      <c r="O956" s="119">
        <v>2.32558139534884E-2</v>
      </c>
      <c r="P956" s="119">
        <v>4.6153846153846198E-2</v>
      </c>
      <c r="Q956" s="119">
        <v>6.3291139240506306E-2</v>
      </c>
      <c r="R956" s="116" t="s">
        <v>83</v>
      </c>
      <c r="S956" s="119">
        <v>1.72413793103448E-2</v>
      </c>
      <c r="T956" s="119">
        <v>2.7777777777777801E-2</v>
      </c>
      <c r="U956" s="119">
        <v>2.8571428571428598E-2</v>
      </c>
      <c r="V956" s="116" t="s">
        <v>83</v>
      </c>
      <c r="W956" s="6">
        <v>311</v>
      </c>
      <c r="X956" s="40">
        <f t="shared" si="66"/>
        <v>117</v>
      </c>
      <c r="Y956" s="40">
        <f t="shared" si="67"/>
        <v>245</v>
      </c>
      <c r="Z956" s="59">
        <v>0.54659999999999997</v>
      </c>
      <c r="AA956" s="59">
        <v>0.45340000000000003</v>
      </c>
      <c r="AB956" s="61">
        <v>0</v>
      </c>
      <c r="AC956" s="61">
        <v>0</v>
      </c>
      <c r="AD956" s="61">
        <v>0.99356913183279738</v>
      </c>
      <c r="AE956" s="61">
        <v>0</v>
      </c>
      <c r="AF956" s="61">
        <v>0</v>
      </c>
      <c r="AG956" s="61">
        <v>6.4308681672025723E-3</v>
      </c>
      <c r="AH956" s="61">
        <v>0</v>
      </c>
      <c r="AI956" s="61">
        <v>0.99356913183279738</v>
      </c>
      <c r="AJ956" s="59">
        <v>0.93899999999999995</v>
      </c>
      <c r="AK956" s="59">
        <v>0</v>
      </c>
      <c r="AL956" s="3">
        <v>62</v>
      </c>
      <c r="AM956" s="3">
        <v>66</v>
      </c>
      <c r="AN956" s="3">
        <v>0</v>
      </c>
      <c r="AO956" s="3">
        <v>51</v>
      </c>
      <c r="AP956" s="3">
        <v>38</v>
      </c>
      <c r="AQ956" s="3">
        <v>28</v>
      </c>
      <c r="AR956" s="3">
        <v>0</v>
      </c>
      <c r="AS956" s="59">
        <v>0</v>
      </c>
      <c r="AT956" s="3">
        <v>5</v>
      </c>
      <c r="AU956" s="3">
        <v>2</v>
      </c>
      <c r="AV956" s="49">
        <v>77.09923664122141</v>
      </c>
      <c r="AW956" s="49">
        <v>17.5572519083969</v>
      </c>
      <c r="AX956" s="49">
        <v>4.5801526717557302</v>
      </c>
      <c r="AY956" s="67">
        <v>0.76335877862595403</v>
      </c>
      <c r="AZ956" s="62">
        <v>2.9850746268656717E-3</v>
      </c>
      <c r="BA956" s="62">
        <v>2.9850746268656717E-3</v>
      </c>
      <c r="BB956" s="77">
        <v>95.960600741174204</v>
      </c>
      <c r="BC956" s="49"/>
      <c r="BD956" s="87">
        <v>6.3</v>
      </c>
      <c r="BE956" s="87">
        <v>0</v>
      </c>
      <c r="BF956" s="87">
        <v>1.9</v>
      </c>
      <c r="BG956" s="87">
        <v>0</v>
      </c>
      <c r="BH956" s="87">
        <v>0</v>
      </c>
      <c r="BI956" s="90" t="s">
        <v>83</v>
      </c>
      <c r="BJ956" s="49"/>
      <c r="BK956" s="126">
        <v>10343</v>
      </c>
      <c r="BL956" s="126">
        <v>33634</v>
      </c>
      <c r="BM956" s="126">
        <v>51375</v>
      </c>
      <c r="BN956" s="126">
        <v>36736</v>
      </c>
      <c r="BO956" s="59">
        <v>1.21E-2</v>
      </c>
      <c r="BP956" s="59">
        <v>0.37269999999999998</v>
      </c>
      <c r="BQ956" s="59">
        <v>0.1206</v>
      </c>
      <c r="BR956" s="59">
        <v>0</v>
      </c>
      <c r="BS956" s="59">
        <v>0</v>
      </c>
      <c r="BT956" s="49">
        <v>10.9</v>
      </c>
      <c r="BU956" s="59">
        <f t="shared" si="68"/>
        <v>0.50539999999999996</v>
      </c>
      <c r="BV956" s="59">
        <v>7.2400000000000006E-2</v>
      </c>
      <c r="BW956" s="59">
        <v>0</v>
      </c>
      <c r="BX956" s="59">
        <v>3.3599999999999998E-2</v>
      </c>
      <c r="BY956" s="59">
        <v>0</v>
      </c>
      <c r="BZ956" s="59">
        <v>2.41E-2</v>
      </c>
      <c r="CA956" s="49">
        <v>7.4</v>
      </c>
      <c r="CB956" s="59">
        <f t="shared" si="69"/>
        <v>0.13010000000000002</v>
      </c>
      <c r="CC956" s="59">
        <v>0.3619</v>
      </c>
      <c r="CD956" s="59">
        <v>0.39679999999999999</v>
      </c>
      <c r="CE956" s="59">
        <v>0.2172</v>
      </c>
      <c r="CF956" s="59">
        <v>0</v>
      </c>
      <c r="CG956" s="59">
        <v>2.41E-2</v>
      </c>
      <c r="CH956" s="49">
        <v>10.5</v>
      </c>
      <c r="CI956" s="26" t="s">
        <v>451</v>
      </c>
      <c r="CJ956" s="18" t="s">
        <v>489</v>
      </c>
      <c r="CK956" s="20"/>
    </row>
    <row r="957" spans="1:89" x14ac:dyDescent="0.25">
      <c r="A957" s="18" t="s">
        <v>489</v>
      </c>
      <c r="B957" s="19" t="s">
        <v>503</v>
      </c>
      <c r="C957" s="26" t="s">
        <v>503</v>
      </c>
      <c r="D957" s="6">
        <v>55</v>
      </c>
      <c r="E957" s="40" t="s">
        <v>83</v>
      </c>
      <c r="F957" s="6">
        <v>55</v>
      </c>
      <c r="G957" s="162" t="s">
        <v>83</v>
      </c>
      <c r="H957" s="162" t="s">
        <v>83</v>
      </c>
      <c r="I957" s="166">
        <v>1</v>
      </c>
      <c r="J957" s="166">
        <v>21</v>
      </c>
      <c r="K957" s="166">
        <v>15</v>
      </c>
      <c r="L957" s="166">
        <v>11</v>
      </c>
      <c r="M957" s="166">
        <v>7</v>
      </c>
      <c r="N957" s="119">
        <v>0.10597302504816999</v>
      </c>
      <c r="O957" s="119">
        <v>0.10597302504816999</v>
      </c>
      <c r="P957" s="116" t="s">
        <v>83</v>
      </c>
      <c r="Q957" s="116" t="s">
        <v>83</v>
      </c>
      <c r="R957" s="119">
        <v>0.25</v>
      </c>
      <c r="S957" s="119">
        <v>0.112903225806452</v>
      </c>
      <c r="T957" s="119">
        <v>0.109489051094891</v>
      </c>
      <c r="U957" s="119">
        <v>0.101851851851852</v>
      </c>
      <c r="V957" s="119">
        <v>8.3333333333333301E-2</v>
      </c>
      <c r="W957" s="6">
        <v>416</v>
      </c>
      <c r="X957" s="40">
        <f t="shared" si="66"/>
        <v>416</v>
      </c>
      <c r="Y957" s="40">
        <f t="shared" si="67"/>
        <v>416</v>
      </c>
      <c r="Z957" s="59">
        <v>0.45669999999999999</v>
      </c>
      <c r="AA957" s="59">
        <v>0.54330000000000001</v>
      </c>
      <c r="AB957" s="61">
        <v>9.6153846153846159E-3</v>
      </c>
      <c r="AC957" s="61">
        <v>0</v>
      </c>
      <c r="AD957" s="61">
        <v>0.84134615384615385</v>
      </c>
      <c r="AE957" s="61">
        <v>0.12259615384615384</v>
      </c>
      <c r="AF957" s="61">
        <v>0</v>
      </c>
      <c r="AG957" s="61">
        <v>2.6442307692307692E-2</v>
      </c>
      <c r="AH957" s="61">
        <v>0</v>
      </c>
      <c r="AI957" s="61">
        <v>0.97355769230769229</v>
      </c>
      <c r="AJ957" s="59">
        <v>0.88200000000000001</v>
      </c>
      <c r="AK957" s="59">
        <v>0.10100000000000001</v>
      </c>
      <c r="AL957" s="3">
        <v>0</v>
      </c>
      <c r="AM957" s="3">
        <v>0</v>
      </c>
      <c r="AN957" s="3">
        <v>3</v>
      </c>
      <c r="AO957" s="3">
        <v>136</v>
      </c>
      <c r="AP957" s="3">
        <v>113</v>
      </c>
      <c r="AQ957" s="3">
        <v>91</v>
      </c>
      <c r="AR957" s="3">
        <v>73</v>
      </c>
      <c r="AS957" s="59">
        <v>2.1582733812949641E-2</v>
      </c>
      <c r="AT957" s="3">
        <v>9</v>
      </c>
      <c r="AU957" s="3">
        <v>5</v>
      </c>
      <c r="AV957" s="49">
        <v>56.804733727810699</v>
      </c>
      <c r="AW957" s="49">
        <v>30.769230769230798</v>
      </c>
      <c r="AX957" s="49">
        <v>11.2426035502959</v>
      </c>
      <c r="AY957" s="67">
        <v>1.1834319526627199</v>
      </c>
      <c r="AZ957" s="62">
        <v>0</v>
      </c>
      <c r="BA957" s="62">
        <v>0.14168377823408623</v>
      </c>
      <c r="BB957" s="78">
        <v>89.488806750819407</v>
      </c>
      <c r="BC957" s="49"/>
      <c r="BD957" s="90" t="s">
        <v>83</v>
      </c>
      <c r="BE957" s="90" t="s">
        <v>83</v>
      </c>
      <c r="BF957" s="87">
        <v>15.8</v>
      </c>
      <c r="BG957" s="87">
        <v>13</v>
      </c>
      <c r="BH957" s="87">
        <v>6.7</v>
      </c>
      <c r="BI957" s="87">
        <v>20.3</v>
      </c>
      <c r="BJ957" s="49">
        <v>18</v>
      </c>
      <c r="BK957" s="126">
        <v>15953</v>
      </c>
      <c r="BL957" s="126">
        <v>51238</v>
      </c>
      <c r="BM957" s="126">
        <v>53644</v>
      </c>
      <c r="BN957" s="126">
        <v>49647</v>
      </c>
      <c r="BO957" s="59">
        <v>0</v>
      </c>
      <c r="BP957" s="59">
        <v>0.4743</v>
      </c>
      <c r="BQ957" s="59">
        <v>0.1222</v>
      </c>
      <c r="BR957" s="59">
        <v>0</v>
      </c>
      <c r="BS957" s="59">
        <v>0</v>
      </c>
      <c r="BT957" s="49">
        <v>4.2</v>
      </c>
      <c r="BU957" s="59">
        <f t="shared" si="68"/>
        <v>0.59650000000000003</v>
      </c>
      <c r="BV957" s="59">
        <v>1.84E-2</v>
      </c>
      <c r="BW957" s="59">
        <v>1.84E-2</v>
      </c>
      <c r="BX957" s="59">
        <v>3.6799999999999999E-2</v>
      </c>
      <c r="BY957" s="59">
        <v>0</v>
      </c>
      <c r="BZ957" s="59">
        <v>0</v>
      </c>
      <c r="CA957" s="49">
        <v>5.8</v>
      </c>
      <c r="CB957" s="59">
        <f t="shared" si="69"/>
        <v>7.3599999999999999E-2</v>
      </c>
      <c r="CC957" s="59">
        <v>0.1192</v>
      </c>
      <c r="CD957" s="59">
        <v>0.63060000000000005</v>
      </c>
      <c r="CE957" s="59">
        <v>0.25019999999999998</v>
      </c>
      <c r="CF957" s="59">
        <v>0</v>
      </c>
      <c r="CG957" s="59">
        <v>0</v>
      </c>
      <c r="CH957" s="49">
        <v>4.7</v>
      </c>
      <c r="CI957" s="26" t="s">
        <v>503</v>
      </c>
      <c r="CJ957" s="18" t="s">
        <v>489</v>
      </c>
      <c r="CK957" s="20"/>
    </row>
    <row r="958" spans="1:89" x14ac:dyDescent="0.25">
      <c r="A958" s="18" t="s">
        <v>489</v>
      </c>
      <c r="B958" s="19" t="s">
        <v>453</v>
      </c>
      <c r="C958" s="26" t="s">
        <v>453</v>
      </c>
      <c r="D958" s="6">
        <v>5</v>
      </c>
      <c r="E958" s="40" t="s">
        <v>83</v>
      </c>
      <c r="F958" s="6">
        <v>5</v>
      </c>
      <c r="G958" s="162" t="s">
        <v>83</v>
      </c>
      <c r="H958" s="162" t="s">
        <v>83</v>
      </c>
      <c r="I958" s="162" t="s">
        <v>83</v>
      </c>
      <c r="J958" s="166">
        <v>0</v>
      </c>
      <c r="K958" s="166">
        <v>3</v>
      </c>
      <c r="L958" s="166">
        <v>0</v>
      </c>
      <c r="M958" s="166">
        <v>2</v>
      </c>
      <c r="N958" s="119">
        <v>8.4175084175084208E-3</v>
      </c>
      <c r="O958" s="119">
        <v>8.4175084175084208E-3</v>
      </c>
      <c r="P958" s="116" t="s">
        <v>83</v>
      </c>
      <c r="Q958" s="116" t="s">
        <v>83</v>
      </c>
      <c r="R958" s="116" t="s">
        <v>83</v>
      </c>
      <c r="S958" s="119">
        <v>0</v>
      </c>
      <c r="T958" s="119">
        <v>2.06896551724138E-2</v>
      </c>
      <c r="U958" s="119">
        <v>0</v>
      </c>
      <c r="V958" s="119">
        <v>1.6260162601626001E-2</v>
      </c>
      <c r="W958" s="6">
        <v>561</v>
      </c>
      <c r="X958" s="40">
        <f t="shared" si="66"/>
        <v>561</v>
      </c>
      <c r="Y958" s="40">
        <f t="shared" si="67"/>
        <v>561</v>
      </c>
      <c r="Z958" s="59">
        <v>0.45279999999999998</v>
      </c>
      <c r="AA958" s="59">
        <v>0.54720000000000002</v>
      </c>
      <c r="AB958" s="61">
        <v>1.7825311942959001E-3</v>
      </c>
      <c r="AC958" s="61">
        <v>7.4866310160427801E-2</v>
      </c>
      <c r="AD958" s="61">
        <v>0.87165775401069523</v>
      </c>
      <c r="AE958" s="61">
        <v>1.2477718360071301E-2</v>
      </c>
      <c r="AF958" s="61">
        <v>5.3475935828877002E-3</v>
      </c>
      <c r="AG958" s="61">
        <v>2.3172905525846704E-2</v>
      </c>
      <c r="AH958" s="61">
        <v>1.06951871657754E-2</v>
      </c>
      <c r="AI958" s="61">
        <v>0.97682709447415328</v>
      </c>
      <c r="AJ958" s="59">
        <v>0.92300000000000004</v>
      </c>
      <c r="AK958" s="59">
        <v>0.1176</v>
      </c>
      <c r="AL958" s="3">
        <v>0</v>
      </c>
      <c r="AM958" s="3">
        <v>0</v>
      </c>
      <c r="AN958" s="3">
        <v>0</v>
      </c>
      <c r="AO958" s="3">
        <v>193</v>
      </c>
      <c r="AP958" s="3">
        <v>135</v>
      </c>
      <c r="AQ958" s="3">
        <v>117</v>
      </c>
      <c r="AR958" s="3">
        <v>116</v>
      </c>
      <c r="AS958" s="59">
        <v>0</v>
      </c>
      <c r="AT958" s="3">
        <v>9</v>
      </c>
      <c r="AU958" s="3">
        <v>5</v>
      </c>
      <c r="AV958" s="49">
        <v>53.211009174311897</v>
      </c>
      <c r="AW958" s="49">
        <v>24.311926605504599</v>
      </c>
      <c r="AX958" s="49">
        <v>20.183486238532101</v>
      </c>
      <c r="AY958" s="67">
        <v>2.2935779816513802</v>
      </c>
      <c r="AZ958" s="62">
        <v>0.29124579124579125</v>
      </c>
      <c r="BA958" s="62">
        <v>0.13131313131313133</v>
      </c>
      <c r="BB958" s="77">
        <v>94.783058942874703</v>
      </c>
      <c r="BC958" s="49">
        <v>9.5959595959596005</v>
      </c>
      <c r="BD958" s="90" t="s">
        <v>83</v>
      </c>
      <c r="BE958" s="90" t="s">
        <v>83</v>
      </c>
      <c r="BF958" s="87">
        <v>5</v>
      </c>
      <c r="BG958" s="87">
        <v>4.9000000000000004</v>
      </c>
      <c r="BH958" s="87">
        <v>2.4</v>
      </c>
      <c r="BI958" s="87">
        <v>13.2</v>
      </c>
      <c r="BJ958" s="49">
        <v>18.399999999999999</v>
      </c>
      <c r="BK958" s="126">
        <v>14364</v>
      </c>
      <c r="BL958" s="126">
        <v>54327</v>
      </c>
      <c r="BM958" s="126">
        <v>51038</v>
      </c>
      <c r="BN958" s="126">
        <v>50915</v>
      </c>
      <c r="BO958" s="59">
        <v>0</v>
      </c>
      <c r="BP958" s="59">
        <v>0.32140000000000002</v>
      </c>
      <c r="BQ958" s="59">
        <v>0.20580000000000001</v>
      </c>
      <c r="BR958" s="59">
        <v>0</v>
      </c>
      <c r="BS958" s="59">
        <v>0</v>
      </c>
      <c r="BT958" s="49">
        <v>4.0999999999999996</v>
      </c>
      <c r="BU958" s="59">
        <f t="shared" si="68"/>
        <v>0.5272</v>
      </c>
      <c r="BV958" s="59">
        <v>2.5700000000000001E-2</v>
      </c>
      <c r="BW958" s="59">
        <v>1.29E-2</v>
      </c>
      <c r="BX958" s="59">
        <v>1.29E-2</v>
      </c>
      <c r="BY958" s="59">
        <v>0</v>
      </c>
      <c r="BZ958" s="59">
        <v>0</v>
      </c>
      <c r="CA958" s="49">
        <v>10</v>
      </c>
      <c r="CB958" s="59">
        <f t="shared" si="69"/>
        <v>5.1500000000000004E-2</v>
      </c>
      <c r="CC958" s="59">
        <v>0.19289999999999999</v>
      </c>
      <c r="CD958" s="59">
        <v>0.46450000000000002</v>
      </c>
      <c r="CE958" s="59">
        <v>0.3377</v>
      </c>
      <c r="CF958" s="59">
        <v>0</v>
      </c>
      <c r="CG958" s="59">
        <v>4.8999999999999998E-3</v>
      </c>
      <c r="CH958" s="49">
        <v>4.2</v>
      </c>
      <c r="CI958" s="26" t="s">
        <v>453</v>
      </c>
      <c r="CJ958" s="18" t="s">
        <v>489</v>
      </c>
      <c r="CK958" s="20"/>
    </row>
    <row r="959" spans="1:89" x14ac:dyDescent="0.25">
      <c r="A959" s="18" t="s">
        <v>489</v>
      </c>
      <c r="B959" s="19" t="s">
        <v>454</v>
      </c>
      <c r="C959" s="26" t="s">
        <v>454</v>
      </c>
      <c r="D959" s="6">
        <v>66</v>
      </c>
      <c r="E959" s="40" t="s">
        <v>83</v>
      </c>
      <c r="F959" s="6">
        <v>66</v>
      </c>
      <c r="G959" s="162" t="s">
        <v>83</v>
      </c>
      <c r="H959" s="162" t="s">
        <v>83</v>
      </c>
      <c r="I959" s="162" t="s">
        <v>83</v>
      </c>
      <c r="J959" s="166">
        <v>9</v>
      </c>
      <c r="K959" s="166">
        <v>32</v>
      </c>
      <c r="L959" s="166">
        <v>14</v>
      </c>
      <c r="M959" s="166">
        <v>11</v>
      </c>
      <c r="N959" s="119">
        <v>7.6300578034682098E-2</v>
      </c>
      <c r="O959" s="119">
        <v>7.6300578034682098E-2</v>
      </c>
      <c r="P959" s="116" t="s">
        <v>83</v>
      </c>
      <c r="Q959" s="116" t="s">
        <v>83</v>
      </c>
      <c r="R959" s="116" t="s">
        <v>83</v>
      </c>
      <c r="S959" s="119">
        <v>4.94505494505494E-2</v>
      </c>
      <c r="T959" s="119">
        <v>0.11307420494699599</v>
      </c>
      <c r="U959" s="119">
        <v>6.3636363636363602E-2</v>
      </c>
      <c r="V959" s="119">
        <v>6.1111111111111102E-2</v>
      </c>
      <c r="W959" s="6">
        <v>769</v>
      </c>
      <c r="X959" s="40">
        <f t="shared" si="66"/>
        <v>769</v>
      </c>
      <c r="Y959" s="40">
        <f t="shared" si="67"/>
        <v>769</v>
      </c>
      <c r="Z959" s="59">
        <v>0.4395</v>
      </c>
      <c r="AA959" s="59">
        <v>0.5605</v>
      </c>
      <c r="AB959" s="61">
        <v>1.3003901170351106E-3</v>
      </c>
      <c r="AC959" s="61">
        <v>2.0806241872561769E-2</v>
      </c>
      <c r="AD959" s="61">
        <v>0.88166449934980495</v>
      </c>
      <c r="AE959" s="61">
        <v>6.7620286085825751E-2</v>
      </c>
      <c r="AF959" s="61">
        <v>0</v>
      </c>
      <c r="AG959" s="61">
        <v>2.600780234070221E-2</v>
      </c>
      <c r="AH959" s="61">
        <v>2.6007802340702211E-3</v>
      </c>
      <c r="AI959" s="61">
        <v>0.97399219765929779</v>
      </c>
      <c r="AJ959" s="59">
        <v>0.89100000000000001</v>
      </c>
      <c r="AK959" s="59">
        <v>0.10009999999999999</v>
      </c>
      <c r="AL959" s="3">
        <v>0</v>
      </c>
      <c r="AM959" s="3">
        <v>0</v>
      </c>
      <c r="AN959" s="3">
        <v>0</v>
      </c>
      <c r="AO959" s="3">
        <v>158</v>
      </c>
      <c r="AP959" s="3">
        <v>250</v>
      </c>
      <c r="AQ959" s="3">
        <v>196</v>
      </c>
      <c r="AR959" s="3">
        <v>165</v>
      </c>
      <c r="AS959" s="59">
        <v>0</v>
      </c>
      <c r="AT959" s="3">
        <v>9</v>
      </c>
      <c r="AU959" s="3">
        <v>5</v>
      </c>
      <c r="AV959" s="49">
        <v>46.2585034013605</v>
      </c>
      <c r="AW959" s="49">
        <v>21.7687074829932</v>
      </c>
      <c r="AX959" s="49">
        <v>29.591836734693899</v>
      </c>
      <c r="AY959" s="67">
        <v>2.38095238095238</v>
      </c>
      <c r="AZ959" s="62">
        <v>4.3530834340991538E-2</v>
      </c>
      <c r="BA959" s="62">
        <v>0.10157194679564692</v>
      </c>
      <c r="BB959" s="78">
        <v>63.373448723767197</v>
      </c>
      <c r="BC959" s="49">
        <v>7.9806529625151201</v>
      </c>
      <c r="BD959" s="90" t="s">
        <v>83</v>
      </c>
      <c r="BE959" s="90" t="s">
        <v>83</v>
      </c>
      <c r="BF959" s="87">
        <v>1.3</v>
      </c>
      <c r="BG959" s="87">
        <v>1.8</v>
      </c>
      <c r="BH959" s="87">
        <v>5</v>
      </c>
      <c r="BI959" s="87">
        <v>12.7</v>
      </c>
      <c r="BJ959" s="49">
        <v>16.7</v>
      </c>
      <c r="BK959" s="126">
        <v>13332</v>
      </c>
      <c r="BL959" s="126">
        <v>53237</v>
      </c>
      <c r="BM959" s="126">
        <v>41537</v>
      </c>
      <c r="BN959" s="126">
        <v>48303</v>
      </c>
      <c r="BO959" s="59">
        <v>0</v>
      </c>
      <c r="BP959" s="59">
        <v>0.46400000000000002</v>
      </c>
      <c r="BQ959" s="59">
        <v>4.9200000000000001E-2</v>
      </c>
      <c r="BR959" s="59">
        <v>0</v>
      </c>
      <c r="BS959" s="59">
        <v>0</v>
      </c>
      <c r="BT959" s="49">
        <v>4.3</v>
      </c>
      <c r="BU959" s="59">
        <f t="shared" si="68"/>
        <v>0.51319999999999999</v>
      </c>
      <c r="BV959" s="59">
        <v>2.0899999999999998E-2</v>
      </c>
      <c r="BW959" s="59">
        <v>3.0099999999999998E-2</v>
      </c>
      <c r="BX959" s="59">
        <v>9.7999999999999997E-3</v>
      </c>
      <c r="BY959" s="59">
        <v>0</v>
      </c>
      <c r="BZ959" s="59">
        <v>0</v>
      </c>
      <c r="CA959" s="49">
        <v>4.3</v>
      </c>
      <c r="CB959" s="59">
        <f t="shared" si="69"/>
        <v>6.0799999999999993E-2</v>
      </c>
      <c r="CC959" s="59">
        <v>0.16719999999999999</v>
      </c>
      <c r="CD959" s="59">
        <v>0.68520000000000003</v>
      </c>
      <c r="CE959" s="59">
        <v>0.14269999999999999</v>
      </c>
      <c r="CF959" s="59">
        <v>0</v>
      </c>
      <c r="CG959" s="59">
        <v>4.8999999999999998E-3</v>
      </c>
      <c r="CH959" s="49">
        <v>5.0999999999999996</v>
      </c>
      <c r="CI959" s="26" t="s">
        <v>454</v>
      </c>
      <c r="CJ959" s="18" t="s">
        <v>489</v>
      </c>
      <c r="CK959" s="20"/>
    </row>
    <row r="960" spans="1:89" ht="15.75" thickBot="1" x14ac:dyDescent="0.3">
      <c r="A960" s="18" t="s">
        <v>489</v>
      </c>
      <c r="B960" s="19" t="s">
        <v>504</v>
      </c>
      <c r="C960" s="26" t="s">
        <v>504</v>
      </c>
      <c r="D960" s="6">
        <v>3</v>
      </c>
      <c r="E960" s="40" t="s">
        <v>83</v>
      </c>
      <c r="F960" s="6">
        <v>3</v>
      </c>
      <c r="G960" s="162" t="s">
        <v>83</v>
      </c>
      <c r="H960" s="162" t="s">
        <v>83</v>
      </c>
      <c r="I960" s="162" t="s">
        <v>83</v>
      </c>
      <c r="J960" s="166">
        <v>3</v>
      </c>
      <c r="K960" s="162" t="s">
        <v>83</v>
      </c>
      <c r="L960" s="162" t="s">
        <v>83</v>
      </c>
      <c r="M960" s="162" t="s">
        <v>83</v>
      </c>
      <c r="N960" s="119">
        <v>1.63934426229508E-2</v>
      </c>
      <c r="O960" s="119">
        <v>1.63934426229508E-2</v>
      </c>
      <c r="P960" s="116" t="s">
        <v>83</v>
      </c>
      <c r="Q960" s="116" t="s">
        <v>83</v>
      </c>
      <c r="R960" s="116" t="s">
        <v>83</v>
      </c>
      <c r="S960" s="119">
        <v>1.63934426229508E-2</v>
      </c>
      <c r="T960" s="116" t="s">
        <v>83</v>
      </c>
      <c r="U960" s="116" t="s">
        <v>83</v>
      </c>
      <c r="V960" s="116" t="s">
        <v>83</v>
      </c>
      <c r="W960" s="6">
        <v>163</v>
      </c>
      <c r="X960" s="40">
        <f>SUM(AN960:AR960)</f>
        <v>163</v>
      </c>
      <c r="Y960" s="40">
        <f>SUM(AL960:AR960)</f>
        <v>163</v>
      </c>
      <c r="Z960" s="61">
        <v>0.50920245398773001</v>
      </c>
      <c r="AA960" s="61">
        <v>0.49079754601226999</v>
      </c>
      <c r="AB960" s="59">
        <v>0</v>
      </c>
      <c r="AC960" s="59">
        <v>0</v>
      </c>
      <c r="AD960" s="59">
        <v>0.94478527607361962</v>
      </c>
      <c r="AE960" s="59">
        <v>6.1349693251533744E-3</v>
      </c>
      <c r="AF960" s="59">
        <v>0</v>
      </c>
      <c r="AG960" s="59">
        <v>4.9079754601226995E-2</v>
      </c>
      <c r="AH960" s="59">
        <v>0</v>
      </c>
      <c r="AI960" s="59">
        <v>0.95092024539877296</v>
      </c>
      <c r="AJ960" s="61">
        <v>0.93251533742331283</v>
      </c>
      <c r="AK960" s="61">
        <v>3.6809815950920199E-2</v>
      </c>
      <c r="AL960" s="3">
        <v>0</v>
      </c>
      <c r="AM960" s="3">
        <v>0</v>
      </c>
      <c r="AN960" s="3">
        <v>0</v>
      </c>
      <c r="AO960" s="3">
        <v>163</v>
      </c>
      <c r="AP960" s="3">
        <v>0</v>
      </c>
      <c r="AQ960" s="3">
        <v>0</v>
      </c>
      <c r="AR960" s="3">
        <v>0</v>
      </c>
      <c r="AS960" s="59">
        <v>0</v>
      </c>
      <c r="AT960" s="3">
        <v>9</v>
      </c>
      <c r="AU960" s="3">
        <v>5</v>
      </c>
      <c r="AV960" s="49">
        <v>33.3333333333333</v>
      </c>
      <c r="AW960" s="49">
        <v>19.4444444444444</v>
      </c>
      <c r="AX960" s="49">
        <v>44.4444444444444</v>
      </c>
      <c r="AY960" s="67">
        <v>2.7777777777777799</v>
      </c>
      <c r="AZ960" s="62">
        <v>0.1043956043956044</v>
      </c>
      <c r="BA960" s="62">
        <v>0.15934065934065933</v>
      </c>
      <c r="BB960" s="78">
        <v>92.427235381522607</v>
      </c>
      <c r="BC960" s="49"/>
      <c r="BD960" s="90" t="s">
        <v>83</v>
      </c>
      <c r="BE960" s="90" t="s">
        <v>83</v>
      </c>
      <c r="BF960" s="87">
        <v>2.7</v>
      </c>
      <c r="BG960" s="90" t="s">
        <v>83</v>
      </c>
      <c r="BH960" s="90" t="s">
        <v>83</v>
      </c>
      <c r="BI960" s="90" t="s">
        <v>83</v>
      </c>
      <c r="BJ960" s="49"/>
      <c r="BK960" s="126">
        <v>13755</v>
      </c>
      <c r="BL960" s="126">
        <v>50104</v>
      </c>
      <c r="BM960" s="126">
        <v>85250</v>
      </c>
      <c r="BN960" s="126">
        <v>54394</v>
      </c>
      <c r="BO960" s="59">
        <v>0</v>
      </c>
      <c r="BP960" s="59">
        <v>0.28810000000000002</v>
      </c>
      <c r="BQ960" s="59">
        <v>0.1729</v>
      </c>
      <c r="BR960" s="59">
        <v>0</v>
      </c>
      <c r="BS960" s="59">
        <v>0</v>
      </c>
      <c r="BT960" s="49">
        <v>4.4000000000000004</v>
      </c>
      <c r="BU960" s="59">
        <f t="shared" si="68"/>
        <v>0.46100000000000002</v>
      </c>
      <c r="BV960" s="59">
        <v>0</v>
      </c>
      <c r="BW960" s="59">
        <v>5.7599999999999998E-2</v>
      </c>
      <c r="BX960" s="59">
        <v>0</v>
      </c>
      <c r="BY960" s="59">
        <v>0</v>
      </c>
      <c r="BZ960" s="59">
        <v>0</v>
      </c>
      <c r="CA960" s="49">
        <v>8</v>
      </c>
      <c r="CB960" s="59">
        <f t="shared" si="69"/>
        <v>5.7599999999999998E-2</v>
      </c>
      <c r="CC960" s="59">
        <v>0</v>
      </c>
      <c r="CD960" s="59">
        <v>0.63390000000000002</v>
      </c>
      <c r="CE960" s="59">
        <v>0.35920000000000002</v>
      </c>
      <c r="CF960" s="59">
        <v>0</v>
      </c>
      <c r="CG960" s="59">
        <v>6.8999999999999999E-3</v>
      </c>
      <c r="CH960" s="49">
        <v>3.5</v>
      </c>
      <c r="CI960" s="26" t="s">
        <v>504</v>
      </c>
      <c r="CJ960" s="18" t="s">
        <v>489</v>
      </c>
      <c r="CK960" s="20"/>
    </row>
    <row r="961" spans="1:99" s="1" customFormat="1" ht="21" customHeight="1" x14ac:dyDescent="0.25">
      <c r="A961" s="21" t="s">
        <v>0</v>
      </c>
      <c r="B961" s="22" t="s">
        <v>1</v>
      </c>
      <c r="C961" s="22" t="s">
        <v>2</v>
      </c>
      <c r="D961" s="9" t="s">
        <v>3</v>
      </c>
      <c r="E961" s="9" t="s">
        <v>4</v>
      </c>
      <c r="F961" s="9" t="s">
        <v>5</v>
      </c>
      <c r="G961" s="161" t="s">
        <v>565</v>
      </c>
      <c r="H961" s="161" t="s">
        <v>566</v>
      </c>
      <c r="I961" s="161" t="s">
        <v>567</v>
      </c>
      <c r="J961" s="161" t="s">
        <v>568</v>
      </c>
      <c r="K961" s="161" t="s">
        <v>569</v>
      </c>
      <c r="L961" s="161" t="s">
        <v>570</v>
      </c>
      <c r="M961" s="161" t="s">
        <v>571</v>
      </c>
      <c r="N961" s="120" t="s">
        <v>6</v>
      </c>
      <c r="O961" s="120" t="s">
        <v>7</v>
      </c>
      <c r="P961" s="120" t="s">
        <v>8</v>
      </c>
      <c r="Q961" s="120" t="s">
        <v>9</v>
      </c>
      <c r="R961" s="120" t="s">
        <v>10</v>
      </c>
      <c r="S961" s="120" t="s">
        <v>11</v>
      </c>
      <c r="T961" s="120" t="s">
        <v>12</v>
      </c>
      <c r="U961" s="120" t="s">
        <v>13</v>
      </c>
      <c r="V961" s="120" t="s">
        <v>14</v>
      </c>
      <c r="W961" s="41" t="s">
        <v>15</v>
      </c>
      <c r="X961" s="41" t="s">
        <v>16</v>
      </c>
      <c r="Y961" s="41" t="s">
        <v>17</v>
      </c>
      <c r="Z961" s="107" t="s">
        <v>18</v>
      </c>
      <c r="AA961" s="107" t="s">
        <v>19</v>
      </c>
      <c r="AB961" s="95" t="s">
        <v>20</v>
      </c>
      <c r="AC961" s="95" t="s">
        <v>21</v>
      </c>
      <c r="AD961" s="95" t="s">
        <v>22</v>
      </c>
      <c r="AE961" s="95" t="s">
        <v>23</v>
      </c>
      <c r="AF961" s="95" t="s">
        <v>24</v>
      </c>
      <c r="AG961" s="95" t="s">
        <v>25</v>
      </c>
      <c r="AH961" s="95" t="s">
        <v>26</v>
      </c>
      <c r="AI961" s="95" t="s">
        <v>27</v>
      </c>
      <c r="AJ961" s="95" t="s">
        <v>28</v>
      </c>
      <c r="AK961" s="107" t="s">
        <v>29</v>
      </c>
      <c r="AL961" s="42" t="s">
        <v>30</v>
      </c>
      <c r="AM961" s="42" t="s">
        <v>31</v>
      </c>
      <c r="AN961" s="42" t="s">
        <v>32</v>
      </c>
      <c r="AO961" s="42" t="s">
        <v>33</v>
      </c>
      <c r="AP961" s="42" t="s">
        <v>34</v>
      </c>
      <c r="AQ961" s="42" t="s">
        <v>35</v>
      </c>
      <c r="AR961" s="42" t="s">
        <v>36</v>
      </c>
      <c r="AS961" s="100" t="s">
        <v>37</v>
      </c>
      <c r="AT961" s="41" t="s">
        <v>38</v>
      </c>
      <c r="AU961" s="23" t="s">
        <v>39</v>
      </c>
      <c r="AV961" s="51" t="s">
        <v>40</v>
      </c>
      <c r="AW961" s="51" t="s">
        <v>41</v>
      </c>
      <c r="AX961" s="51" t="s">
        <v>42</v>
      </c>
      <c r="AY961" s="66" t="s">
        <v>43</v>
      </c>
      <c r="AZ961" s="58" t="s">
        <v>44</v>
      </c>
      <c r="BA961" s="58" t="s">
        <v>45</v>
      </c>
      <c r="BB961" s="75" t="s">
        <v>46</v>
      </c>
      <c r="BC961" s="83" t="s">
        <v>47</v>
      </c>
      <c r="BD961" s="89" t="s">
        <v>48</v>
      </c>
      <c r="BE961" s="89" t="s">
        <v>49</v>
      </c>
      <c r="BF961" s="89" t="s">
        <v>50</v>
      </c>
      <c r="BG961" s="89" t="s">
        <v>51</v>
      </c>
      <c r="BH961" s="89" t="s">
        <v>52</v>
      </c>
      <c r="BI961" s="89" t="s">
        <v>53</v>
      </c>
      <c r="BJ961" s="86" t="s">
        <v>54</v>
      </c>
      <c r="BK961" s="123" t="s">
        <v>55</v>
      </c>
      <c r="BL961" s="123" t="s">
        <v>56</v>
      </c>
      <c r="BM961" s="123" t="s">
        <v>57</v>
      </c>
      <c r="BN961" s="123" t="s">
        <v>58</v>
      </c>
      <c r="BO961" s="131" t="s">
        <v>59</v>
      </c>
      <c r="BP961" s="131" t="s">
        <v>60</v>
      </c>
      <c r="BQ961" s="131" t="s">
        <v>61</v>
      </c>
      <c r="BR961" s="131" t="s">
        <v>62</v>
      </c>
      <c r="BS961" s="131" t="s">
        <v>63</v>
      </c>
      <c r="BT961" s="131" t="s">
        <v>64</v>
      </c>
      <c r="BU961" s="131" t="s">
        <v>65</v>
      </c>
      <c r="BV961" s="132" t="s">
        <v>66</v>
      </c>
      <c r="BW961" s="132" t="s">
        <v>67</v>
      </c>
      <c r="BX961" s="132" t="s">
        <v>68</v>
      </c>
      <c r="BY961" s="132" t="s">
        <v>69</v>
      </c>
      <c r="BZ961" s="132" t="s">
        <v>70</v>
      </c>
      <c r="CA961" s="132" t="s">
        <v>71</v>
      </c>
      <c r="CB961" s="132" t="s">
        <v>72</v>
      </c>
      <c r="CC961" s="123" t="s">
        <v>73</v>
      </c>
      <c r="CD961" s="123" t="s">
        <v>74</v>
      </c>
      <c r="CE961" s="123" t="s">
        <v>75</v>
      </c>
      <c r="CF961" s="123" t="s">
        <v>76</v>
      </c>
      <c r="CG961" s="123" t="s">
        <v>77</v>
      </c>
      <c r="CH961" s="123" t="s">
        <v>78</v>
      </c>
      <c r="CI961" s="22" t="s">
        <v>2</v>
      </c>
      <c r="CJ961" s="21" t="s">
        <v>0</v>
      </c>
      <c r="CK961" s="24" t="s">
        <v>79</v>
      </c>
      <c r="CL961"/>
      <c r="CM961"/>
      <c r="CN961"/>
      <c r="CO961"/>
      <c r="CP961"/>
      <c r="CQ961"/>
      <c r="CR961"/>
      <c r="CS961"/>
      <c r="CT961"/>
      <c r="CU961"/>
    </row>
    <row r="962" spans="1:99" x14ac:dyDescent="0.25">
      <c r="A962" s="18" t="s">
        <v>505</v>
      </c>
      <c r="B962" s="19" t="s">
        <v>81</v>
      </c>
      <c r="C962" s="27" t="s">
        <v>82</v>
      </c>
      <c r="D962" s="6">
        <v>11</v>
      </c>
      <c r="E962" s="40" t="s">
        <v>83</v>
      </c>
      <c r="F962" s="6">
        <v>11</v>
      </c>
      <c r="N962" s="119">
        <v>1.9469026548672601E-2</v>
      </c>
      <c r="O962" s="119">
        <v>1.9469026548672601E-2</v>
      </c>
      <c r="P962" s="116" t="s">
        <v>83</v>
      </c>
      <c r="Q962" s="116" t="s">
        <v>83</v>
      </c>
      <c r="R962" s="119">
        <v>0.16666666666666699</v>
      </c>
      <c r="S962" s="119">
        <v>1.1111111111111099E-2</v>
      </c>
      <c r="T962" s="119">
        <v>1.22699386503067E-2</v>
      </c>
      <c r="U962" s="119">
        <v>2.9411764705882401E-2</v>
      </c>
      <c r="V962" s="119">
        <v>2.6315789473684199E-2</v>
      </c>
      <c r="W962" s="6">
        <v>532</v>
      </c>
      <c r="X962" s="40">
        <f t="shared" ref="X962:X1025" si="70">SUM(AN962:AR962)</f>
        <v>532</v>
      </c>
      <c r="Y962" s="40">
        <f t="shared" ref="Y962:Y1025" si="71">SUM(AL962:AR962)</f>
        <v>532</v>
      </c>
      <c r="Z962" s="59">
        <v>0.48120000000000002</v>
      </c>
      <c r="AA962" s="59">
        <v>0.51880000000000004</v>
      </c>
      <c r="AB962" s="61">
        <v>5.6390977443609019E-3</v>
      </c>
      <c r="AC962" s="61">
        <v>0</v>
      </c>
      <c r="AD962" s="61">
        <v>0.28947368421052633</v>
      </c>
      <c r="AE962" s="61">
        <v>4.1353383458646614E-2</v>
      </c>
      <c r="AF962" s="61">
        <v>0</v>
      </c>
      <c r="AG962" s="61">
        <v>0.63157894736842102</v>
      </c>
      <c r="AH962" s="61">
        <v>3.1954887218045111E-2</v>
      </c>
      <c r="AI962" s="61">
        <v>0.36842105263157893</v>
      </c>
      <c r="AJ962" s="59">
        <v>0.61839999999999995</v>
      </c>
      <c r="AK962" s="59">
        <v>3.8E-3</v>
      </c>
      <c r="AL962" s="3">
        <v>0</v>
      </c>
      <c r="AM962" s="3">
        <v>0</v>
      </c>
      <c r="AN962" s="3">
        <v>9</v>
      </c>
      <c r="AO962" s="3">
        <v>160</v>
      </c>
      <c r="AP962" s="3">
        <v>156</v>
      </c>
      <c r="AQ962" s="3">
        <v>98</v>
      </c>
      <c r="AR962" s="3">
        <v>109</v>
      </c>
      <c r="AS962" s="59">
        <v>5.3254437869822487E-2</v>
      </c>
      <c r="AT962" s="3">
        <v>9</v>
      </c>
      <c r="AU962" s="3">
        <v>6</v>
      </c>
      <c r="AV962" s="49">
        <v>70.325203252032495</v>
      </c>
      <c r="AW962" s="49">
        <v>28.455284552845502</v>
      </c>
      <c r="AX962" s="49">
        <v>1.2195121951219501</v>
      </c>
      <c r="AY962" s="67">
        <v>0</v>
      </c>
      <c r="AZ962" s="63">
        <v>0.17321428571428571</v>
      </c>
      <c r="BA962" s="63">
        <v>0.22857142857142856</v>
      </c>
      <c r="BB962" s="78">
        <v>89.070009017955996</v>
      </c>
      <c r="BC962" s="49">
        <v>85.460992907801398</v>
      </c>
      <c r="BD962" s="3"/>
      <c r="BE962" s="3"/>
      <c r="BF962" s="3"/>
      <c r="BG962" s="3"/>
      <c r="BH962" s="3"/>
      <c r="BI962" s="3"/>
      <c r="BJ962" s="3">
        <v>18.600000000000001</v>
      </c>
      <c r="BK962" s="126">
        <v>9170</v>
      </c>
      <c r="BL962" s="126">
        <v>46613</v>
      </c>
      <c r="BM962" s="126">
        <v>49093</v>
      </c>
      <c r="BN962" s="126">
        <v>41726</v>
      </c>
      <c r="BO962" s="59">
        <v>0</v>
      </c>
      <c r="BP962" s="59">
        <v>0.53790000000000004</v>
      </c>
      <c r="BQ962" s="59">
        <v>0.1132</v>
      </c>
      <c r="BR962" s="59">
        <v>0</v>
      </c>
      <c r="BS962" s="59">
        <v>2.18E-2</v>
      </c>
      <c r="BT962" s="3">
        <v>13.1</v>
      </c>
      <c r="BU962" s="59">
        <f t="shared" si="68"/>
        <v>0.67290000000000005</v>
      </c>
      <c r="BV962" s="59">
        <v>6.5500000000000003E-2</v>
      </c>
      <c r="BW962" s="59">
        <v>0</v>
      </c>
      <c r="BX962" s="59">
        <v>4.3700000000000003E-2</v>
      </c>
      <c r="BY962" s="59">
        <v>2.18E-2</v>
      </c>
      <c r="BZ962" s="59">
        <v>0</v>
      </c>
      <c r="CA962" s="3">
        <v>22.7</v>
      </c>
      <c r="CB962" s="59">
        <f t="shared" si="69"/>
        <v>0.13100000000000001</v>
      </c>
      <c r="CC962" s="59">
        <v>0.2324</v>
      </c>
      <c r="CD962" s="59">
        <v>0.55979999999999996</v>
      </c>
      <c r="CE962" s="59">
        <v>0.16420000000000001</v>
      </c>
      <c r="CF962" s="59">
        <v>2.18E-2</v>
      </c>
      <c r="CG962" s="59">
        <v>2.18E-2</v>
      </c>
      <c r="CH962" s="3">
        <v>14.4</v>
      </c>
      <c r="CI962" s="27" t="s">
        <v>82</v>
      </c>
      <c r="CJ962" s="18" t="s">
        <v>505</v>
      </c>
      <c r="CK962" s="20"/>
    </row>
    <row r="963" spans="1:99" x14ac:dyDescent="0.25">
      <c r="A963" s="18" t="s">
        <v>505</v>
      </c>
      <c r="B963" s="19" t="s">
        <v>81</v>
      </c>
      <c r="C963" s="26" t="s">
        <v>84</v>
      </c>
      <c r="D963" s="6">
        <v>8</v>
      </c>
      <c r="E963" s="6">
        <v>0</v>
      </c>
      <c r="F963" s="6">
        <v>8</v>
      </c>
      <c r="N963" s="119">
        <v>1.1095700416088801E-2</v>
      </c>
      <c r="O963" s="119">
        <v>1.1111111111111099E-2</v>
      </c>
      <c r="P963" s="116" t="s">
        <v>83</v>
      </c>
      <c r="Q963" s="119">
        <v>0</v>
      </c>
      <c r="R963" s="119">
        <v>9.0909090909090898E-2</v>
      </c>
      <c r="S963" s="119">
        <v>1.06951871657754E-2</v>
      </c>
      <c r="T963" s="119">
        <v>5.1813471502590702E-3</v>
      </c>
      <c r="U963" s="119">
        <v>6.6225165562913899E-3</v>
      </c>
      <c r="V963" s="119">
        <v>1.6853932584269701E-2</v>
      </c>
      <c r="W963" s="6">
        <v>655</v>
      </c>
      <c r="X963" s="40">
        <f t="shared" si="70"/>
        <v>654</v>
      </c>
      <c r="Y963" s="40">
        <f t="shared" si="71"/>
        <v>655</v>
      </c>
      <c r="Z963" s="59">
        <v>0.50990000000000002</v>
      </c>
      <c r="AA963" s="59">
        <v>0.49009999999999998</v>
      </c>
      <c r="AB963" s="61">
        <v>1.5267175572519084E-3</v>
      </c>
      <c r="AC963" s="61">
        <v>4.5801526717557254E-3</v>
      </c>
      <c r="AD963" s="61">
        <v>0.42595419847328242</v>
      </c>
      <c r="AE963" s="61">
        <v>2.9007633587786259E-2</v>
      </c>
      <c r="AF963" s="61">
        <v>0</v>
      </c>
      <c r="AG963" s="61">
        <v>0.51297709923664125</v>
      </c>
      <c r="AH963" s="61">
        <v>2.5954198473282442E-2</v>
      </c>
      <c r="AI963" s="61">
        <v>0.4870229007633588</v>
      </c>
      <c r="AJ963" s="59">
        <v>0.76790000000000003</v>
      </c>
      <c r="AK963" s="59">
        <v>1.0699999999999999E-2</v>
      </c>
      <c r="AL963" s="3">
        <v>0</v>
      </c>
      <c r="AM963" s="3">
        <v>1</v>
      </c>
      <c r="AN963" s="3">
        <v>17</v>
      </c>
      <c r="AO963" s="3">
        <v>163</v>
      </c>
      <c r="AP963" s="3">
        <v>170</v>
      </c>
      <c r="AQ963" s="3">
        <v>137</v>
      </c>
      <c r="AR963" s="3">
        <v>167</v>
      </c>
      <c r="AS963" s="59">
        <v>9.4444444444444442E-2</v>
      </c>
      <c r="AT963" s="3">
        <v>8</v>
      </c>
      <c r="AU963" s="3">
        <v>6</v>
      </c>
      <c r="AV963" s="49">
        <v>62.582781456953597</v>
      </c>
      <c r="AW963" s="49">
        <v>23.178807947019902</v>
      </c>
      <c r="AX963" s="49">
        <v>13.5761589403974</v>
      </c>
      <c r="AY963" s="67">
        <v>0.66225165562913901</v>
      </c>
      <c r="AZ963" s="63">
        <v>0.32541899441340782</v>
      </c>
      <c r="BA963" s="63">
        <v>0.27234636871508378</v>
      </c>
      <c r="BB963" s="77">
        <v>87.010784685192505</v>
      </c>
      <c r="BC963" s="49">
        <v>84.094052558782806</v>
      </c>
      <c r="BD963" s="3"/>
      <c r="BE963" s="3"/>
      <c r="BF963" s="3"/>
      <c r="BG963" s="3"/>
      <c r="BH963" s="3"/>
      <c r="BI963" s="3"/>
      <c r="BJ963" s="3">
        <v>17.8</v>
      </c>
      <c r="BK963" s="126">
        <v>10331</v>
      </c>
      <c r="BL963" s="126">
        <v>45278</v>
      </c>
      <c r="BM963" s="126">
        <v>49561</v>
      </c>
      <c r="BN963" s="126">
        <v>36508</v>
      </c>
      <c r="BO963" s="59">
        <v>0</v>
      </c>
      <c r="BP963" s="59">
        <v>0.3972</v>
      </c>
      <c r="BQ963" s="59">
        <v>0.1477</v>
      </c>
      <c r="BR963" s="59">
        <v>0</v>
      </c>
      <c r="BS963" s="59">
        <v>0</v>
      </c>
      <c r="BT963" s="3">
        <v>13</v>
      </c>
      <c r="BU963" s="59">
        <f t="shared" ref="BU963:BU1026" si="72">SUM(BO963:BS963)</f>
        <v>0.54489999999999994</v>
      </c>
      <c r="BV963" s="59">
        <v>2.6800000000000001E-2</v>
      </c>
      <c r="BW963" s="59">
        <v>2.6800000000000001E-2</v>
      </c>
      <c r="BX963" s="59">
        <v>4.02E-2</v>
      </c>
      <c r="BY963" s="59">
        <v>1.0500000000000001E-2</v>
      </c>
      <c r="BZ963" s="59">
        <v>0</v>
      </c>
      <c r="CA963" s="3">
        <v>19.5</v>
      </c>
      <c r="CB963" s="59">
        <f t="shared" ref="CB963:CB1026" si="73">SUM(BV963:BZ963)</f>
        <v>0.10429999999999999</v>
      </c>
      <c r="CC963" s="59">
        <v>0.29289999999999999</v>
      </c>
      <c r="CD963" s="59">
        <v>0.46410000000000001</v>
      </c>
      <c r="CE963" s="59">
        <v>0.21909999999999999</v>
      </c>
      <c r="CF963" s="59">
        <v>1.0500000000000001E-2</v>
      </c>
      <c r="CG963" s="59">
        <v>1.34E-2</v>
      </c>
      <c r="CH963" s="3">
        <v>13.3</v>
      </c>
      <c r="CI963" s="26" t="s">
        <v>84</v>
      </c>
      <c r="CJ963" s="18" t="s">
        <v>505</v>
      </c>
      <c r="CK963" s="20"/>
    </row>
    <row r="964" spans="1:99" x14ac:dyDescent="0.25">
      <c r="A964" s="18" t="s">
        <v>505</v>
      </c>
      <c r="B964" s="19" t="s">
        <v>81</v>
      </c>
      <c r="C964" s="26" t="s">
        <v>85</v>
      </c>
      <c r="D964" s="6">
        <v>0</v>
      </c>
      <c r="E964" s="6">
        <v>0</v>
      </c>
      <c r="F964" s="6">
        <v>0</v>
      </c>
      <c r="N964" s="119">
        <v>0</v>
      </c>
      <c r="O964" s="119">
        <v>0</v>
      </c>
      <c r="P964" s="116" t="s">
        <v>83</v>
      </c>
      <c r="Q964" s="119">
        <v>0</v>
      </c>
      <c r="R964" s="116" t="s">
        <v>83</v>
      </c>
      <c r="S964" s="119">
        <v>0</v>
      </c>
      <c r="T964" s="119">
        <v>0</v>
      </c>
      <c r="U964" s="119">
        <v>0</v>
      </c>
      <c r="V964" s="119">
        <v>0</v>
      </c>
      <c r="W964" s="6">
        <v>296</v>
      </c>
      <c r="X964" s="40">
        <f t="shared" si="70"/>
        <v>216</v>
      </c>
      <c r="Y964" s="40">
        <f t="shared" si="71"/>
        <v>296</v>
      </c>
      <c r="Z964" s="59">
        <v>0.49320000000000003</v>
      </c>
      <c r="AA964" s="59">
        <v>0.50680000000000003</v>
      </c>
      <c r="AB964" s="61">
        <v>0</v>
      </c>
      <c r="AC964" s="61">
        <v>0</v>
      </c>
      <c r="AD964" s="61">
        <v>3.7162162162162164E-2</v>
      </c>
      <c r="AE964" s="61">
        <v>6.7567567567567571E-3</v>
      </c>
      <c r="AF964" s="61">
        <v>0</v>
      </c>
      <c r="AG964" s="61">
        <v>0.92567567567567566</v>
      </c>
      <c r="AH964" s="61">
        <v>3.0405405405405407E-2</v>
      </c>
      <c r="AI964" s="61">
        <v>7.4324324324324328E-2</v>
      </c>
      <c r="AJ964" s="59">
        <v>0.62160000000000004</v>
      </c>
      <c r="AK964" s="59">
        <v>0</v>
      </c>
      <c r="AL964" s="3">
        <v>0</v>
      </c>
      <c r="AM964" s="3">
        <v>80</v>
      </c>
      <c r="AN964" s="3">
        <v>0</v>
      </c>
      <c r="AO964" s="3">
        <v>47</v>
      </c>
      <c r="AP964" s="3">
        <v>62</v>
      </c>
      <c r="AQ964" s="3">
        <v>52</v>
      </c>
      <c r="AR964" s="3">
        <v>55</v>
      </c>
      <c r="AS964" s="59">
        <v>0</v>
      </c>
      <c r="AT964" s="3">
        <v>8</v>
      </c>
      <c r="AU964" s="3">
        <v>6</v>
      </c>
      <c r="AV964" s="49">
        <v>79.289940828402408</v>
      </c>
      <c r="AW964" s="49">
        <v>16.568047337278099</v>
      </c>
      <c r="AX964" s="49">
        <v>4.14201183431953</v>
      </c>
      <c r="AY964" s="67">
        <v>0</v>
      </c>
      <c r="AZ964" s="63">
        <v>0</v>
      </c>
      <c r="BA964" s="63">
        <v>0.10197368421052631</v>
      </c>
      <c r="BB964" s="78">
        <v>93.659659104049595</v>
      </c>
      <c r="BC964" s="49">
        <v>60.983606557377001</v>
      </c>
      <c r="BD964" s="3"/>
      <c r="BE964" s="3"/>
      <c r="BF964" s="3"/>
      <c r="BG964" s="3"/>
      <c r="BH964" s="3"/>
      <c r="BI964" s="3"/>
      <c r="BJ964" s="3">
        <v>21.4</v>
      </c>
      <c r="BK964" s="126">
        <v>10772</v>
      </c>
      <c r="BL964" s="126">
        <v>44561</v>
      </c>
      <c r="BM964" s="126">
        <v>45518</v>
      </c>
      <c r="BN964" s="126">
        <v>32467</v>
      </c>
      <c r="BO964" s="59">
        <v>0</v>
      </c>
      <c r="BP964" s="59">
        <v>0.34920000000000001</v>
      </c>
      <c r="BQ964" s="59">
        <v>4.9099999999999998E-2</v>
      </c>
      <c r="BR964" s="59">
        <v>0</v>
      </c>
      <c r="BS964" s="59">
        <v>0</v>
      </c>
      <c r="BT964" s="3">
        <v>9.1</v>
      </c>
      <c r="BU964" s="59">
        <f t="shared" si="72"/>
        <v>0.39829999999999999</v>
      </c>
      <c r="BV964" s="59">
        <v>4.7600000000000003E-2</v>
      </c>
      <c r="BW964" s="59">
        <v>2.3800000000000002E-2</v>
      </c>
      <c r="BX964" s="59">
        <v>2.3800000000000002E-2</v>
      </c>
      <c r="BY964" s="59">
        <v>2.3800000000000002E-2</v>
      </c>
      <c r="BZ964" s="59">
        <v>0</v>
      </c>
      <c r="CA964" s="49">
        <v>19</v>
      </c>
      <c r="CB964" s="59">
        <f t="shared" si="73"/>
        <v>0.11900000000000001</v>
      </c>
      <c r="CC964" s="59">
        <v>0.47789999999999999</v>
      </c>
      <c r="CD964" s="59">
        <v>0.40160000000000001</v>
      </c>
      <c r="CE964" s="59">
        <v>9.6699999999999994E-2</v>
      </c>
      <c r="CF964" s="59">
        <v>2.3800000000000002E-2</v>
      </c>
      <c r="CG964" s="59">
        <v>0</v>
      </c>
      <c r="CH964" s="49">
        <v>13</v>
      </c>
      <c r="CI964" s="26" t="s">
        <v>85</v>
      </c>
      <c r="CJ964" s="18" t="s">
        <v>505</v>
      </c>
      <c r="CK964" s="20"/>
    </row>
    <row r="965" spans="1:99" x14ac:dyDescent="0.25">
      <c r="A965" s="18" t="s">
        <v>505</v>
      </c>
      <c r="B965" s="19" t="s">
        <v>81</v>
      </c>
      <c r="C965" s="26" t="s">
        <v>86</v>
      </c>
      <c r="D965" s="6">
        <v>6</v>
      </c>
      <c r="E965" s="40" t="s">
        <v>83</v>
      </c>
      <c r="F965" s="6">
        <v>6</v>
      </c>
      <c r="N965" s="119">
        <v>8.0000000000000002E-3</v>
      </c>
      <c r="O965" s="119">
        <v>8.0000000000000002E-3</v>
      </c>
      <c r="P965" s="116" t="s">
        <v>83</v>
      </c>
      <c r="Q965" s="116" t="s">
        <v>83</v>
      </c>
      <c r="R965" s="119">
        <v>0</v>
      </c>
      <c r="S965" s="119">
        <v>4.3290043290043299E-3</v>
      </c>
      <c r="T965" s="119">
        <v>4.9504950495049497E-3</v>
      </c>
      <c r="U965" s="119">
        <v>0</v>
      </c>
      <c r="V965" s="119">
        <v>2.4844720496894401E-2</v>
      </c>
      <c r="W965" s="6">
        <v>686</v>
      </c>
      <c r="X965" s="40">
        <f t="shared" si="70"/>
        <v>686</v>
      </c>
      <c r="Y965" s="40">
        <f t="shared" si="71"/>
        <v>686</v>
      </c>
      <c r="Z965" s="59">
        <v>0.51600000000000001</v>
      </c>
      <c r="AA965" s="59">
        <v>0.48399999999999999</v>
      </c>
      <c r="AB965" s="61">
        <v>2.9154518950437317E-3</v>
      </c>
      <c r="AC965" s="61">
        <v>1.4577259475218659E-3</v>
      </c>
      <c r="AD965" s="61">
        <v>0.31195335276967928</v>
      </c>
      <c r="AE965" s="61">
        <v>1.6034985422740525E-2</v>
      </c>
      <c r="AF965" s="61">
        <v>0</v>
      </c>
      <c r="AG965" s="61">
        <v>0.65306122448979587</v>
      </c>
      <c r="AH965" s="61">
        <v>1.4577259475218658E-2</v>
      </c>
      <c r="AI965" s="61">
        <v>0.34693877551020408</v>
      </c>
      <c r="AJ965" s="59">
        <v>0.70550000000000002</v>
      </c>
      <c r="AK965" s="59">
        <v>4.4000000000000003E-3</v>
      </c>
      <c r="AL965" s="3">
        <v>0</v>
      </c>
      <c r="AM965" s="3">
        <v>0</v>
      </c>
      <c r="AN965" s="3">
        <v>7</v>
      </c>
      <c r="AO965" s="3">
        <v>194</v>
      </c>
      <c r="AP965" s="3">
        <v>186</v>
      </c>
      <c r="AQ965" s="3">
        <v>144</v>
      </c>
      <c r="AR965" s="3">
        <v>155</v>
      </c>
      <c r="AS965" s="59">
        <v>3.482587064676617E-2</v>
      </c>
      <c r="AT965" s="3">
        <v>9</v>
      </c>
      <c r="AU965" s="3">
        <v>6</v>
      </c>
      <c r="AV965" s="49">
        <v>76.696832579185497</v>
      </c>
      <c r="AW965" s="49">
        <v>17.873303167420801</v>
      </c>
      <c r="AX965" s="49">
        <v>5.4298642533936698</v>
      </c>
      <c r="AY965" s="67">
        <v>0</v>
      </c>
      <c r="AZ965" s="63">
        <v>0.41935483870967744</v>
      </c>
      <c r="BA965" s="63">
        <v>0.13978494623655913</v>
      </c>
      <c r="BB965" s="77">
        <v>90.208391075387993</v>
      </c>
      <c r="BC965" s="49">
        <v>79.066666666666706</v>
      </c>
      <c r="BD965" s="3"/>
      <c r="BE965" s="3"/>
      <c r="BF965" s="3"/>
      <c r="BG965" s="3"/>
      <c r="BH965" s="3"/>
      <c r="BI965" s="3"/>
      <c r="BJ965" s="3">
        <v>18.2</v>
      </c>
      <c r="BK965" s="126">
        <v>8798</v>
      </c>
      <c r="BL965" s="126">
        <v>46871</v>
      </c>
      <c r="BM965" s="126">
        <v>47417</v>
      </c>
      <c r="BN965" s="126">
        <v>37425</v>
      </c>
      <c r="BO965" s="59">
        <v>0</v>
      </c>
      <c r="BP965" s="59">
        <v>0.44740000000000002</v>
      </c>
      <c r="BQ965" s="59">
        <v>0.12970000000000001</v>
      </c>
      <c r="BR965" s="59">
        <v>0</v>
      </c>
      <c r="BS965" s="59">
        <v>0</v>
      </c>
      <c r="BT965" s="3">
        <v>12.9</v>
      </c>
      <c r="BU965" s="59">
        <f t="shared" si="72"/>
        <v>0.57710000000000006</v>
      </c>
      <c r="BV965" s="59">
        <v>3.0700000000000002E-2</v>
      </c>
      <c r="BW965" s="59">
        <v>0</v>
      </c>
      <c r="BX965" s="59">
        <v>4.5999999999999999E-2</v>
      </c>
      <c r="BY965" s="59">
        <v>0</v>
      </c>
      <c r="BZ965" s="59">
        <v>0</v>
      </c>
      <c r="CA965" s="49">
        <v>15</v>
      </c>
      <c r="CB965" s="59">
        <f t="shared" si="73"/>
        <v>7.6700000000000004E-2</v>
      </c>
      <c r="CC965" s="59">
        <v>0.30669999999999997</v>
      </c>
      <c r="CD965" s="59">
        <v>0.48320000000000002</v>
      </c>
      <c r="CE965" s="59">
        <v>0.21010000000000001</v>
      </c>
      <c r="CF965" s="59">
        <v>0</v>
      </c>
      <c r="CG965" s="59">
        <v>0</v>
      </c>
      <c r="CH965" s="3">
        <v>12.9</v>
      </c>
      <c r="CI965" s="26" t="s">
        <v>86</v>
      </c>
      <c r="CJ965" s="18" t="s">
        <v>505</v>
      </c>
      <c r="CK965" s="20"/>
    </row>
    <row r="966" spans="1:99" x14ac:dyDescent="0.25">
      <c r="A966" s="18" t="s">
        <v>505</v>
      </c>
      <c r="B966" s="19" t="s">
        <v>81</v>
      </c>
      <c r="C966" s="26" t="s">
        <v>87</v>
      </c>
      <c r="D966" s="6">
        <v>3</v>
      </c>
      <c r="E966" s="40" t="s">
        <v>83</v>
      </c>
      <c r="F966" s="6">
        <v>3</v>
      </c>
      <c r="N966" s="119">
        <v>5.0251256281407001E-3</v>
      </c>
      <c r="O966" s="119">
        <v>5.0251256281407001E-3</v>
      </c>
      <c r="P966" s="116" t="s">
        <v>83</v>
      </c>
      <c r="Q966" s="116" t="s">
        <v>83</v>
      </c>
      <c r="R966" s="119">
        <v>0</v>
      </c>
      <c r="S966" s="119">
        <v>0</v>
      </c>
      <c r="T966" s="119">
        <v>0</v>
      </c>
      <c r="U966" s="119">
        <v>7.5757575757575803E-3</v>
      </c>
      <c r="V966" s="119">
        <v>1.3986013986014E-2</v>
      </c>
      <c r="W966" s="6">
        <v>565</v>
      </c>
      <c r="X966" s="40">
        <f t="shared" si="70"/>
        <v>565</v>
      </c>
      <c r="Y966" s="40">
        <f t="shared" si="71"/>
        <v>565</v>
      </c>
      <c r="Z966" s="59">
        <v>0.50090000000000001</v>
      </c>
      <c r="AA966" s="59">
        <v>0.49909999999999999</v>
      </c>
      <c r="AB966" s="61">
        <v>5.3097345132743362E-3</v>
      </c>
      <c r="AC966" s="61">
        <v>5.3097345132743362E-3</v>
      </c>
      <c r="AD966" s="61">
        <v>2.4778761061946902E-2</v>
      </c>
      <c r="AE966" s="61">
        <v>1.0619469026548672E-2</v>
      </c>
      <c r="AF966" s="61">
        <v>0</v>
      </c>
      <c r="AG966" s="61">
        <v>0.93451327433628317</v>
      </c>
      <c r="AH966" s="61">
        <v>1.9469026548672566E-2</v>
      </c>
      <c r="AI966" s="61">
        <v>6.5486725663716813E-2</v>
      </c>
      <c r="AJ966" s="59">
        <v>0.46729999999999999</v>
      </c>
      <c r="AK966" s="59">
        <v>5.3E-3</v>
      </c>
      <c r="AL966" s="3">
        <v>0</v>
      </c>
      <c r="AM966" s="3">
        <v>0</v>
      </c>
      <c r="AN966" s="3">
        <v>4</v>
      </c>
      <c r="AO966" s="3">
        <v>167</v>
      </c>
      <c r="AP966" s="3">
        <v>128</v>
      </c>
      <c r="AQ966" s="3">
        <v>125</v>
      </c>
      <c r="AR966" s="3">
        <v>141</v>
      </c>
      <c r="AS966" s="59">
        <v>2.3391812865497075E-2</v>
      </c>
      <c r="AT966" s="3">
        <v>9</v>
      </c>
      <c r="AU966" s="3">
        <v>6</v>
      </c>
      <c r="AV966" s="49">
        <v>62.878787878787904</v>
      </c>
      <c r="AW966" s="49">
        <v>20.075757575757599</v>
      </c>
      <c r="AX966" s="49">
        <v>16.6666666666667</v>
      </c>
      <c r="AY966" s="67">
        <v>0.37878787878787901</v>
      </c>
      <c r="AZ966" s="63">
        <v>0</v>
      </c>
      <c r="BA966" s="63">
        <v>7.3949579831932774E-2</v>
      </c>
      <c r="BB966" s="78">
        <v>91.979924901931994</v>
      </c>
      <c r="BC966" s="49">
        <v>74.371859296482398</v>
      </c>
      <c r="BD966" s="3"/>
      <c r="BE966" s="3"/>
      <c r="BF966" s="3"/>
      <c r="BG966" s="3"/>
      <c r="BH966" s="3"/>
      <c r="BI966" s="3"/>
      <c r="BJ966" s="3">
        <v>19.899999999999999</v>
      </c>
      <c r="BK966" s="126">
        <v>8653</v>
      </c>
      <c r="BL966" s="126">
        <v>48223</v>
      </c>
      <c r="BM966" s="126">
        <v>44968</v>
      </c>
      <c r="BN966" s="126">
        <v>37411</v>
      </c>
      <c r="BO966" s="59">
        <v>0</v>
      </c>
      <c r="BP966" s="59">
        <v>0.39450000000000002</v>
      </c>
      <c r="BQ966" s="59">
        <v>0.13020000000000001</v>
      </c>
      <c r="BR966" s="59">
        <v>0</v>
      </c>
      <c r="BS966" s="59">
        <v>0</v>
      </c>
      <c r="BT966" s="3">
        <v>16.100000000000001</v>
      </c>
      <c r="BU966" s="59">
        <f t="shared" si="72"/>
        <v>0.52470000000000006</v>
      </c>
      <c r="BV966" s="59">
        <v>3.9300000000000002E-2</v>
      </c>
      <c r="BW966" s="59">
        <v>0</v>
      </c>
      <c r="BX966" s="59">
        <v>3.9300000000000002E-2</v>
      </c>
      <c r="BY966" s="59">
        <v>0</v>
      </c>
      <c r="BZ966" s="59">
        <v>0</v>
      </c>
      <c r="CA966" s="49">
        <v>22</v>
      </c>
      <c r="CB966" s="59">
        <f t="shared" si="73"/>
        <v>7.8600000000000003E-2</v>
      </c>
      <c r="CC966" s="59">
        <v>0.34370000000000001</v>
      </c>
      <c r="CD966" s="59">
        <v>0.4239</v>
      </c>
      <c r="CE966" s="59">
        <v>0.23230000000000001</v>
      </c>
      <c r="CF966" s="59">
        <v>0</v>
      </c>
      <c r="CG966" s="59">
        <v>0</v>
      </c>
      <c r="CH966" s="3">
        <v>15.8</v>
      </c>
      <c r="CI966" s="26" t="s">
        <v>87</v>
      </c>
      <c r="CJ966" s="18" t="s">
        <v>505</v>
      </c>
      <c r="CK966" s="20"/>
    </row>
    <row r="967" spans="1:99" x14ac:dyDescent="0.25">
      <c r="A967" s="18" t="s">
        <v>505</v>
      </c>
      <c r="B967" s="19" t="s">
        <v>88</v>
      </c>
      <c r="C967" s="26" t="s">
        <v>89</v>
      </c>
      <c r="D967" s="6">
        <v>0</v>
      </c>
      <c r="E967" s="6">
        <v>0</v>
      </c>
      <c r="F967" s="6">
        <v>0</v>
      </c>
      <c r="N967" s="119">
        <v>0</v>
      </c>
      <c r="O967" s="119">
        <v>0</v>
      </c>
      <c r="P967" s="119">
        <v>0</v>
      </c>
      <c r="Q967" s="119">
        <v>0</v>
      </c>
      <c r="R967" s="116" t="s">
        <v>83</v>
      </c>
      <c r="S967" s="119">
        <v>0</v>
      </c>
      <c r="T967" s="119">
        <v>0</v>
      </c>
      <c r="U967" s="119">
        <v>0</v>
      </c>
      <c r="V967" s="119">
        <v>0</v>
      </c>
      <c r="W967" s="6">
        <v>412</v>
      </c>
      <c r="X967" s="40">
        <f t="shared" si="70"/>
        <v>113</v>
      </c>
      <c r="Y967" s="40">
        <f t="shared" si="71"/>
        <v>182</v>
      </c>
      <c r="Z967" s="59">
        <v>0.4854</v>
      </c>
      <c r="AA967" s="59">
        <v>0.51459999999999995</v>
      </c>
      <c r="AB967" s="61">
        <v>7.2815533980582527E-3</v>
      </c>
      <c r="AC967" s="61">
        <v>7.2815533980582527E-3</v>
      </c>
      <c r="AD967" s="61">
        <v>4.8543689320388345E-3</v>
      </c>
      <c r="AE967" s="61">
        <v>1.6990291262135922E-2</v>
      </c>
      <c r="AF967" s="61">
        <v>0</v>
      </c>
      <c r="AG967" s="61">
        <v>0.95873786407766992</v>
      </c>
      <c r="AH967" s="61">
        <v>4.8543689320388345E-3</v>
      </c>
      <c r="AI967" s="61">
        <v>4.12621359223301E-2</v>
      </c>
      <c r="AJ967" s="59">
        <v>0.56799999999999995</v>
      </c>
      <c r="AK967" s="59">
        <v>0</v>
      </c>
      <c r="AL967" s="3">
        <v>42</v>
      </c>
      <c r="AM967" s="3">
        <v>27</v>
      </c>
      <c r="AN967" s="3">
        <v>0</v>
      </c>
      <c r="AO967" s="3">
        <v>38</v>
      </c>
      <c r="AP967" s="3">
        <v>32</v>
      </c>
      <c r="AQ967" s="3">
        <v>17</v>
      </c>
      <c r="AR967" s="3">
        <v>26</v>
      </c>
      <c r="AS967" s="59">
        <v>0</v>
      </c>
      <c r="AT967" s="3">
        <v>1</v>
      </c>
      <c r="AU967" s="3">
        <v>6</v>
      </c>
      <c r="AV967" s="49">
        <v>76.363636363636402</v>
      </c>
      <c r="AW967" s="49">
        <v>13.3333333333333</v>
      </c>
      <c r="AX967" s="49">
        <v>9.696969696969699</v>
      </c>
      <c r="AY967" s="67">
        <v>0.60606060606060597</v>
      </c>
      <c r="AZ967" s="63">
        <v>1.3544018058690745E-2</v>
      </c>
      <c r="BA967" s="63">
        <v>2.9345372460496615E-2</v>
      </c>
      <c r="BB967" s="78">
        <v>93.595808016963701</v>
      </c>
      <c r="BC967" s="49">
        <v>65.573770491803302</v>
      </c>
      <c r="BD967" s="3"/>
      <c r="BE967" s="3"/>
      <c r="BF967" s="3"/>
      <c r="BG967" s="3"/>
      <c r="BH967" s="3"/>
      <c r="BI967" s="3"/>
      <c r="BJ967" s="3">
        <v>19.2</v>
      </c>
      <c r="BK967" s="126">
        <v>9818</v>
      </c>
      <c r="BL967" s="126">
        <v>46986</v>
      </c>
      <c r="BM967" s="126">
        <v>52867</v>
      </c>
      <c r="BN967" s="126">
        <v>40762</v>
      </c>
      <c r="BO967" s="59">
        <v>0</v>
      </c>
      <c r="BP967" s="59">
        <v>0.51559999999999995</v>
      </c>
      <c r="BQ967" s="59">
        <v>8.4199999999999997E-2</v>
      </c>
      <c r="BR967" s="59">
        <v>0</v>
      </c>
      <c r="BS967" s="59">
        <v>0</v>
      </c>
      <c r="BT967" s="3">
        <v>12.9</v>
      </c>
      <c r="BU967" s="59">
        <f t="shared" si="72"/>
        <v>0.59979999999999989</v>
      </c>
      <c r="BV967" s="59">
        <v>2.1100000000000001E-2</v>
      </c>
      <c r="BW967" s="59">
        <v>0</v>
      </c>
      <c r="BX967" s="59">
        <v>2.1100000000000001E-2</v>
      </c>
      <c r="BY967" s="59">
        <v>2.1100000000000001E-2</v>
      </c>
      <c r="BZ967" s="59">
        <v>0</v>
      </c>
      <c r="CA967" s="49">
        <v>19.3</v>
      </c>
      <c r="CB967" s="59">
        <f t="shared" si="73"/>
        <v>6.3299999999999995E-2</v>
      </c>
      <c r="CC967" s="59">
        <v>0.27379999999999999</v>
      </c>
      <c r="CD967" s="59">
        <v>0.55769999999999997</v>
      </c>
      <c r="CE967" s="59">
        <v>0.12640000000000001</v>
      </c>
      <c r="CF967" s="59">
        <v>4.2099999999999999E-2</v>
      </c>
      <c r="CG967" s="59">
        <v>0</v>
      </c>
      <c r="CH967" s="3">
        <v>13.1</v>
      </c>
      <c r="CI967" s="26" t="s">
        <v>89</v>
      </c>
      <c r="CJ967" s="18" t="s">
        <v>505</v>
      </c>
      <c r="CK967" s="20"/>
    </row>
    <row r="968" spans="1:99" x14ac:dyDescent="0.25">
      <c r="A968" s="18" t="s">
        <v>505</v>
      </c>
      <c r="B968" s="19" t="s">
        <v>88</v>
      </c>
      <c r="C968" s="26" t="s">
        <v>90</v>
      </c>
      <c r="D968" s="6">
        <v>0</v>
      </c>
      <c r="E968" s="6">
        <v>0</v>
      </c>
      <c r="F968" s="6">
        <v>0</v>
      </c>
      <c r="N968" s="119">
        <v>0</v>
      </c>
      <c r="O968" s="119">
        <v>0</v>
      </c>
      <c r="P968" s="119">
        <v>0</v>
      </c>
      <c r="Q968" s="119">
        <v>0</v>
      </c>
      <c r="R968" s="116" t="s">
        <v>83</v>
      </c>
      <c r="S968" s="119">
        <v>0</v>
      </c>
      <c r="T968" s="119">
        <v>0</v>
      </c>
      <c r="U968" s="119">
        <v>0</v>
      </c>
      <c r="V968" s="119">
        <v>0</v>
      </c>
      <c r="W968" s="6">
        <v>421</v>
      </c>
      <c r="X968" s="40">
        <f t="shared" si="70"/>
        <v>118</v>
      </c>
      <c r="Y968" s="40">
        <f t="shared" si="71"/>
        <v>170</v>
      </c>
      <c r="Z968" s="59">
        <v>0.53210000000000002</v>
      </c>
      <c r="AA968" s="59">
        <v>0.46789999999999998</v>
      </c>
      <c r="AB968" s="61">
        <v>0</v>
      </c>
      <c r="AC968" s="61">
        <v>2.1377672209026127E-2</v>
      </c>
      <c r="AD968" s="61">
        <v>0</v>
      </c>
      <c r="AE968" s="61">
        <v>1.1876484560570071E-2</v>
      </c>
      <c r="AF968" s="61">
        <v>2.3752969121140144E-3</v>
      </c>
      <c r="AG968" s="61">
        <v>0.95724465558194771</v>
      </c>
      <c r="AH968" s="61">
        <v>7.1258907363420431E-3</v>
      </c>
      <c r="AI968" s="61">
        <v>4.2755344418052253E-2</v>
      </c>
      <c r="AJ968" s="59">
        <v>0.63900000000000001</v>
      </c>
      <c r="AK968" s="59">
        <v>4.7999999999999996E-3</v>
      </c>
      <c r="AL968" s="3">
        <v>28</v>
      </c>
      <c r="AM968" s="3">
        <v>24</v>
      </c>
      <c r="AN968" s="3">
        <v>0</v>
      </c>
      <c r="AO968" s="3">
        <v>35</v>
      </c>
      <c r="AP968" s="3">
        <v>26</v>
      </c>
      <c r="AQ968" s="3">
        <v>26</v>
      </c>
      <c r="AR968" s="3">
        <v>31</v>
      </c>
      <c r="AS968" s="59">
        <v>0</v>
      </c>
      <c r="AT968" s="3">
        <v>1</v>
      </c>
      <c r="AU968" s="3">
        <v>6</v>
      </c>
      <c r="AV968" s="49">
        <v>91.978609625668497</v>
      </c>
      <c r="AW968" s="49">
        <v>6.9518716577540092</v>
      </c>
      <c r="AX968" s="49">
        <v>1.0695187165775399</v>
      </c>
      <c r="AY968" s="67">
        <v>0</v>
      </c>
      <c r="AZ968" s="63">
        <v>2.2779043280182231E-3</v>
      </c>
      <c r="BA968" s="63">
        <v>2.0501138952164009E-2</v>
      </c>
      <c r="BB968" s="77">
        <v>93.462597427502999</v>
      </c>
      <c r="BC968" s="49">
        <v>70.072992700729898</v>
      </c>
      <c r="BD968" s="3"/>
      <c r="BE968" s="3"/>
      <c r="BF968" s="3"/>
      <c r="BG968" s="3"/>
      <c r="BH968" s="3"/>
      <c r="BI968" s="3"/>
      <c r="BJ968" s="3">
        <v>19.399999999999999</v>
      </c>
      <c r="BK968" s="126">
        <v>11572</v>
      </c>
      <c r="BL968" s="126">
        <v>48473</v>
      </c>
      <c r="BM968" s="126">
        <v>40841</v>
      </c>
      <c r="BN968" s="126">
        <v>37839</v>
      </c>
      <c r="BO968" s="59">
        <v>0</v>
      </c>
      <c r="BP968" s="59">
        <v>0.51700000000000002</v>
      </c>
      <c r="BQ968" s="59">
        <v>4.8500000000000001E-2</v>
      </c>
      <c r="BR968" s="59">
        <v>0</v>
      </c>
      <c r="BS968" s="59">
        <v>0</v>
      </c>
      <c r="BT968" s="3">
        <v>16.100000000000001</v>
      </c>
      <c r="BU968" s="59">
        <f t="shared" si="72"/>
        <v>0.5655</v>
      </c>
      <c r="BV968" s="59">
        <v>3.2300000000000002E-2</v>
      </c>
      <c r="BW968" s="59">
        <v>0</v>
      </c>
      <c r="BX968" s="59">
        <v>3.2300000000000002E-2</v>
      </c>
      <c r="BY968" s="59">
        <v>0</v>
      </c>
      <c r="BZ968" s="59">
        <v>0</v>
      </c>
      <c r="CA968" s="49">
        <v>19.5</v>
      </c>
      <c r="CB968" s="59">
        <f t="shared" si="73"/>
        <v>6.4600000000000005E-2</v>
      </c>
      <c r="CC968" s="59">
        <v>0.36990000000000001</v>
      </c>
      <c r="CD968" s="59">
        <v>0.53320000000000001</v>
      </c>
      <c r="CE968" s="59">
        <v>9.69E-2</v>
      </c>
      <c r="CF968" s="59">
        <v>0</v>
      </c>
      <c r="CG968" s="59">
        <v>0</v>
      </c>
      <c r="CH968" s="3">
        <v>14.4</v>
      </c>
      <c r="CI968" s="26" t="s">
        <v>90</v>
      </c>
      <c r="CJ968" s="18" t="s">
        <v>505</v>
      </c>
      <c r="CK968" s="20"/>
    </row>
    <row r="969" spans="1:99" x14ac:dyDescent="0.25">
      <c r="A969" s="18" t="s">
        <v>505</v>
      </c>
      <c r="B969" s="19" t="s">
        <v>88</v>
      </c>
      <c r="C969" s="26" t="s">
        <v>91</v>
      </c>
      <c r="D969" s="6">
        <v>0</v>
      </c>
      <c r="E969" s="40" t="s">
        <v>83</v>
      </c>
      <c r="F969" s="6">
        <v>0</v>
      </c>
      <c r="N969" s="119">
        <v>0</v>
      </c>
      <c r="O969" s="119">
        <v>0</v>
      </c>
      <c r="P969" s="116" t="s">
        <v>83</v>
      </c>
      <c r="Q969" s="116" t="s">
        <v>83</v>
      </c>
      <c r="R969" s="116" t="s">
        <v>83</v>
      </c>
      <c r="S969" s="119">
        <v>0</v>
      </c>
      <c r="T969" s="119">
        <v>0</v>
      </c>
      <c r="U969" s="119">
        <v>0</v>
      </c>
      <c r="V969" s="119">
        <v>0</v>
      </c>
      <c r="W969" s="6">
        <v>353</v>
      </c>
      <c r="X969" s="40">
        <f t="shared" si="70"/>
        <v>353</v>
      </c>
      <c r="Y969" s="40">
        <f t="shared" si="71"/>
        <v>353</v>
      </c>
      <c r="Z969" s="59">
        <v>0.49859999999999999</v>
      </c>
      <c r="AA969" s="59">
        <v>0.50139999999999996</v>
      </c>
      <c r="AB969" s="61">
        <v>2.8328611898016998E-2</v>
      </c>
      <c r="AC969" s="61">
        <v>1.1331444759206799E-2</v>
      </c>
      <c r="AD969" s="61">
        <v>0.20396600566572237</v>
      </c>
      <c r="AE969" s="61">
        <v>2.5495750708215296E-2</v>
      </c>
      <c r="AF969" s="61">
        <v>2.8328611898016999E-3</v>
      </c>
      <c r="AG969" s="61">
        <v>0.71104815864022664</v>
      </c>
      <c r="AH969" s="61">
        <v>1.69971671388102E-2</v>
      </c>
      <c r="AI969" s="61">
        <v>0.28895184135977336</v>
      </c>
      <c r="AJ969" s="59">
        <v>0.57509999999999994</v>
      </c>
      <c r="AK969" s="59">
        <v>5.7000000000000002E-3</v>
      </c>
      <c r="AL969" s="3">
        <v>0</v>
      </c>
      <c r="AM969" s="3">
        <v>0</v>
      </c>
      <c r="AN969" s="3">
        <v>0</v>
      </c>
      <c r="AO969" s="3">
        <v>101</v>
      </c>
      <c r="AP969" s="3">
        <v>95</v>
      </c>
      <c r="AQ969" s="3">
        <v>75</v>
      </c>
      <c r="AR969" s="3">
        <v>82</v>
      </c>
      <c r="AS969" s="59">
        <v>0</v>
      </c>
      <c r="AT969" s="3">
        <v>9</v>
      </c>
      <c r="AU969" s="3">
        <v>6</v>
      </c>
      <c r="AV969" s="49">
        <v>76.076555023923405</v>
      </c>
      <c r="AW969" s="49">
        <v>19.138755980861198</v>
      </c>
      <c r="AX969" s="49">
        <v>4.7846889952153102</v>
      </c>
      <c r="AY969" s="67">
        <v>0</v>
      </c>
      <c r="AZ969" s="63">
        <v>8.0645161290322578E-2</v>
      </c>
      <c r="BA969" s="63">
        <v>0.14784946236559141</v>
      </c>
      <c r="BB969" s="78">
        <v>94.563206077132804</v>
      </c>
      <c r="BC969" s="49">
        <v>62.734584450402103</v>
      </c>
      <c r="BD969" s="3"/>
      <c r="BE969" s="3"/>
      <c r="BF969" s="3"/>
      <c r="BG969" s="3"/>
      <c r="BH969" s="3"/>
      <c r="BI969" s="3"/>
      <c r="BJ969" s="3">
        <v>20.100000000000001</v>
      </c>
      <c r="BK969" s="126">
        <v>11221</v>
      </c>
      <c r="BL969" s="126">
        <v>48285</v>
      </c>
      <c r="BM969" s="126">
        <v>39042</v>
      </c>
      <c r="BN969" s="126">
        <v>40798</v>
      </c>
      <c r="BO969" s="59">
        <v>0</v>
      </c>
      <c r="BP969" s="59">
        <v>0.34160000000000001</v>
      </c>
      <c r="BQ969" s="59">
        <v>0.27750000000000002</v>
      </c>
      <c r="BR969" s="59">
        <v>0</v>
      </c>
      <c r="BS969" s="59">
        <v>0</v>
      </c>
      <c r="BT969" s="49">
        <v>13</v>
      </c>
      <c r="BU969" s="59">
        <f t="shared" si="72"/>
        <v>0.61909999999999998</v>
      </c>
      <c r="BV969" s="59">
        <v>4.2700000000000002E-2</v>
      </c>
      <c r="BW969" s="59">
        <v>0</v>
      </c>
      <c r="BX969" s="59">
        <v>4.2700000000000002E-2</v>
      </c>
      <c r="BY969" s="59">
        <v>0</v>
      </c>
      <c r="BZ969" s="59">
        <v>0</v>
      </c>
      <c r="CA969" s="49">
        <v>13</v>
      </c>
      <c r="CB969" s="59">
        <f t="shared" si="73"/>
        <v>8.5400000000000004E-2</v>
      </c>
      <c r="CC969" s="59">
        <v>0.27410000000000001</v>
      </c>
      <c r="CD969" s="59">
        <v>0.3629</v>
      </c>
      <c r="CE969" s="59">
        <v>0.3629</v>
      </c>
      <c r="CF969" s="59">
        <v>0</v>
      </c>
      <c r="CG969" s="59">
        <v>0</v>
      </c>
      <c r="CH969" s="49">
        <v>14</v>
      </c>
      <c r="CI969" s="26" t="s">
        <v>91</v>
      </c>
      <c r="CJ969" s="18" t="s">
        <v>505</v>
      </c>
      <c r="CK969" s="20"/>
    </row>
    <row r="970" spans="1:99" x14ac:dyDescent="0.25">
      <c r="A970" s="18" t="s">
        <v>505</v>
      </c>
      <c r="B970" s="19" t="s">
        <v>88</v>
      </c>
      <c r="C970" s="26" t="s">
        <v>92</v>
      </c>
      <c r="D970" s="6">
        <v>0</v>
      </c>
      <c r="E970" s="40" t="s">
        <v>83</v>
      </c>
      <c r="F970" s="6">
        <v>0</v>
      </c>
      <c r="N970" s="119">
        <v>0</v>
      </c>
      <c r="O970" s="119">
        <v>0</v>
      </c>
      <c r="P970" s="116" t="s">
        <v>83</v>
      </c>
      <c r="Q970" s="116" t="s">
        <v>83</v>
      </c>
      <c r="R970" s="116" t="s">
        <v>83</v>
      </c>
      <c r="S970" s="119">
        <v>0</v>
      </c>
      <c r="T970" s="119">
        <v>0</v>
      </c>
      <c r="U970" s="119">
        <v>0</v>
      </c>
      <c r="V970" s="119">
        <v>0</v>
      </c>
      <c r="W970" s="6">
        <v>288</v>
      </c>
      <c r="X970" s="40">
        <f t="shared" si="70"/>
        <v>288</v>
      </c>
      <c r="Y970" s="40">
        <f t="shared" si="71"/>
        <v>288</v>
      </c>
      <c r="Z970" s="59">
        <v>0.52780000000000005</v>
      </c>
      <c r="AA970" s="59">
        <v>0.47220000000000001</v>
      </c>
      <c r="AB970" s="61">
        <v>0</v>
      </c>
      <c r="AC970" s="61">
        <v>1.0416666666666666E-2</v>
      </c>
      <c r="AD970" s="61">
        <v>0.35416666666666669</v>
      </c>
      <c r="AE970" s="61">
        <v>1.3888888888888888E-2</v>
      </c>
      <c r="AF970" s="61">
        <v>0</v>
      </c>
      <c r="AG970" s="61">
        <v>0.61458333333333337</v>
      </c>
      <c r="AH970" s="61">
        <v>6.9444444444444441E-3</v>
      </c>
      <c r="AI970" s="61">
        <v>0.38541666666666669</v>
      </c>
      <c r="AJ970" s="59">
        <v>0.68059999999999998</v>
      </c>
      <c r="AK970" s="59">
        <v>0</v>
      </c>
      <c r="AL970" s="3">
        <v>0</v>
      </c>
      <c r="AM970" s="3">
        <v>0</v>
      </c>
      <c r="AN970" s="3">
        <v>0</v>
      </c>
      <c r="AO970" s="3">
        <v>73</v>
      </c>
      <c r="AP970" s="3">
        <v>83</v>
      </c>
      <c r="AQ970" s="3">
        <v>69</v>
      </c>
      <c r="AR970" s="3">
        <v>63</v>
      </c>
      <c r="AS970" s="59">
        <v>0</v>
      </c>
      <c r="AT970" s="3">
        <v>9</v>
      </c>
      <c r="AU970" s="3">
        <v>6</v>
      </c>
      <c r="AV970" s="49">
        <v>86.144578313252993</v>
      </c>
      <c r="AW970" s="49">
        <v>12.048192771084301</v>
      </c>
      <c r="AX970" s="49">
        <v>1.8072289156626498</v>
      </c>
      <c r="AY970" s="67">
        <v>0</v>
      </c>
      <c r="AZ970" s="63">
        <v>0.21140939597315436</v>
      </c>
      <c r="BA970" s="63">
        <v>0.13758389261744966</v>
      </c>
      <c r="BB970" s="77">
        <v>94.055419594221206</v>
      </c>
      <c r="BC970" s="49">
        <v>67.785234899328898</v>
      </c>
      <c r="BD970" s="3"/>
      <c r="BE970" s="3"/>
      <c r="BF970" s="3"/>
      <c r="BG970" s="3"/>
      <c r="BH970" s="3"/>
      <c r="BI970" s="3"/>
      <c r="BJ970" s="3">
        <v>17.600000000000001</v>
      </c>
      <c r="BK970" s="126">
        <v>13337</v>
      </c>
      <c r="BL970" s="126">
        <v>47340</v>
      </c>
      <c r="BM970" s="126">
        <v>44521</v>
      </c>
      <c r="BN970" s="126">
        <v>37263</v>
      </c>
      <c r="BO970" s="59">
        <v>0</v>
      </c>
      <c r="BP970" s="59">
        <v>0.3523</v>
      </c>
      <c r="BQ970" s="59">
        <v>0.1142</v>
      </c>
      <c r="BR970" s="59">
        <v>0</v>
      </c>
      <c r="BS970" s="59">
        <v>0</v>
      </c>
      <c r="BT970" s="49">
        <v>7.9</v>
      </c>
      <c r="BU970" s="59">
        <f t="shared" si="72"/>
        <v>0.46650000000000003</v>
      </c>
      <c r="BV970" s="59">
        <v>3.8100000000000002E-2</v>
      </c>
      <c r="BW970" s="59">
        <v>0</v>
      </c>
      <c r="BX970" s="59">
        <v>3.8100000000000002E-2</v>
      </c>
      <c r="BY970" s="59">
        <v>0</v>
      </c>
      <c r="BZ970" s="59">
        <v>0</v>
      </c>
      <c r="CA970" s="49">
        <v>18.8</v>
      </c>
      <c r="CB970" s="59">
        <f t="shared" si="73"/>
        <v>7.6200000000000004E-2</v>
      </c>
      <c r="CC970" s="59">
        <v>0.38030000000000003</v>
      </c>
      <c r="CD970" s="59">
        <v>0.41689999999999999</v>
      </c>
      <c r="CE970" s="59">
        <v>0.20280000000000001</v>
      </c>
      <c r="CF970" s="59">
        <v>0</v>
      </c>
      <c r="CG970" s="59">
        <v>0</v>
      </c>
      <c r="CH970" s="49">
        <v>11.8</v>
      </c>
      <c r="CI970" s="26" t="s">
        <v>92</v>
      </c>
      <c r="CJ970" s="18" t="s">
        <v>505</v>
      </c>
      <c r="CK970" s="20"/>
    </row>
    <row r="971" spans="1:99" x14ac:dyDescent="0.25">
      <c r="A971" s="18" t="s">
        <v>505</v>
      </c>
      <c r="B971" s="19" t="s">
        <v>88</v>
      </c>
      <c r="C971" s="26" t="s">
        <v>93</v>
      </c>
      <c r="D971" s="6">
        <v>0</v>
      </c>
      <c r="E971" s="6">
        <v>0</v>
      </c>
      <c r="F971" s="6">
        <v>0</v>
      </c>
      <c r="N971" s="119">
        <v>0</v>
      </c>
      <c r="O971" s="119">
        <v>0</v>
      </c>
      <c r="P971" s="119">
        <v>0</v>
      </c>
      <c r="Q971" s="119">
        <v>0</v>
      </c>
      <c r="R971" s="116" t="s">
        <v>83</v>
      </c>
      <c r="S971" s="119">
        <v>0</v>
      </c>
      <c r="T971" s="119">
        <v>0</v>
      </c>
      <c r="U971" s="119">
        <v>0</v>
      </c>
      <c r="V971" s="119">
        <v>0</v>
      </c>
      <c r="W971" s="6">
        <v>257</v>
      </c>
      <c r="X971" s="40">
        <f t="shared" si="70"/>
        <v>177</v>
      </c>
      <c r="Y971" s="40">
        <f t="shared" si="71"/>
        <v>257</v>
      </c>
      <c r="Z971" s="59">
        <v>0.50970000000000004</v>
      </c>
      <c r="AA971" s="59">
        <v>0.49030000000000001</v>
      </c>
      <c r="AB971" s="61">
        <v>1.556420233463035E-2</v>
      </c>
      <c r="AC971" s="61">
        <v>0</v>
      </c>
      <c r="AD971" s="61">
        <v>0.35408560311284049</v>
      </c>
      <c r="AE971" s="61">
        <v>7.7821011673151752E-3</v>
      </c>
      <c r="AF971" s="61">
        <v>0</v>
      </c>
      <c r="AG971" s="61">
        <v>0.58754863813229574</v>
      </c>
      <c r="AH971" s="61">
        <v>3.5019455252918288E-2</v>
      </c>
      <c r="AI971" s="61">
        <v>0.41245136186770426</v>
      </c>
      <c r="AJ971" s="59">
        <v>0.68089999999999995</v>
      </c>
      <c r="AK971" s="59">
        <v>0</v>
      </c>
      <c r="AL971" s="3">
        <v>45</v>
      </c>
      <c r="AM971" s="3">
        <v>35</v>
      </c>
      <c r="AN971" s="3">
        <v>0</v>
      </c>
      <c r="AO971" s="3">
        <v>40</v>
      </c>
      <c r="AP971" s="3">
        <v>54</v>
      </c>
      <c r="AQ971" s="3">
        <v>31</v>
      </c>
      <c r="AR971" s="3">
        <v>52</v>
      </c>
      <c r="AS971" s="59">
        <v>0</v>
      </c>
      <c r="AT971" s="3">
        <v>7</v>
      </c>
      <c r="AU971" s="3">
        <v>6</v>
      </c>
      <c r="AV971" s="49">
        <v>89.56043956043959</v>
      </c>
      <c r="AW971" s="49">
        <v>10.439560439560399</v>
      </c>
      <c r="AX971" s="49">
        <v>0</v>
      </c>
      <c r="AY971" s="67">
        <v>0</v>
      </c>
      <c r="AZ971" s="63">
        <v>4.5936395759717315E-2</v>
      </c>
      <c r="BA971" s="63">
        <v>0.10954063604240283</v>
      </c>
      <c r="BB971" s="78">
        <v>94.436628863301905</v>
      </c>
      <c r="BC971" s="49">
        <v>59.649122807017498</v>
      </c>
      <c r="BD971" s="3"/>
      <c r="BE971" s="3"/>
      <c r="BF971" s="3"/>
      <c r="BG971" s="3"/>
      <c r="BH971" s="3"/>
      <c r="BI971" s="3"/>
      <c r="BJ971" s="3">
        <v>18.5</v>
      </c>
      <c r="BK971" s="126">
        <v>14988</v>
      </c>
      <c r="BL971" s="126">
        <v>50355</v>
      </c>
      <c r="BM971" s="126">
        <v>40472</v>
      </c>
      <c r="BN971" s="126">
        <v>35966</v>
      </c>
      <c r="BO971" s="59">
        <v>0</v>
      </c>
      <c r="BP971" s="59">
        <v>0.32729999999999998</v>
      </c>
      <c r="BQ971" s="59">
        <v>9.0899999999999995E-2</v>
      </c>
      <c r="BR971" s="59">
        <v>1.8200000000000001E-2</v>
      </c>
      <c r="BS971" s="59">
        <v>0</v>
      </c>
      <c r="BT971" s="49">
        <v>15.7</v>
      </c>
      <c r="BU971" s="59">
        <f t="shared" si="72"/>
        <v>0.43639999999999995</v>
      </c>
      <c r="BV971" s="59">
        <v>3.6400000000000002E-2</v>
      </c>
      <c r="BW971" s="59">
        <v>0</v>
      </c>
      <c r="BX971" s="59">
        <v>3.6400000000000002E-2</v>
      </c>
      <c r="BY971" s="59">
        <v>0</v>
      </c>
      <c r="BZ971" s="59">
        <v>0</v>
      </c>
      <c r="CA971" s="49">
        <v>10.5</v>
      </c>
      <c r="CB971" s="59">
        <f t="shared" si="73"/>
        <v>7.2800000000000004E-2</v>
      </c>
      <c r="CC971" s="59">
        <v>0.47270000000000001</v>
      </c>
      <c r="CD971" s="59">
        <v>0.34549999999999997</v>
      </c>
      <c r="CE971" s="59">
        <v>0.1636</v>
      </c>
      <c r="CF971" s="59">
        <v>1.8200000000000001E-2</v>
      </c>
      <c r="CG971" s="59">
        <v>0</v>
      </c>
      <c r="CH971" s="49">
        <v>14.9</v>
      </c>
      <c r="CI971" s="26" t="s">
        <v>93</v>
      </c>
      <c r="CJ971" s="18" t="s">
        <v>505</v>
      </c>
      <c r="CK971" s="20"/>
    </row>
    <row r="972" spans="1:99" x14ac:dyDescent="0.25">
      <c r="A972" s="18" t="s">
        <v>505</v>
      </c>
      <c r="B972" s="19" t="s">
        <v>88</v>
      </c>
      <c r="C972" s="26" t="s">
        <v>94</v>
      </c>
      <c r="D972" s="6">
        <v>2</v>
      </c>
      <c r="E972" s="6">
        <v>0</v>
      </c>
      <c r="F972" s="6">
        <v>2</v>
      </c>
      <c r="N972" s="119">
        <v>1.30718954248366E-2</v>
      </c>
      <c r="O972" s="119">
        <v>1.9047619047619001E-2</v>
      </c>
      <c r="P972" s="119">
        <v>0</v>
      </c>
      <c r="Q972" s="119">
        <v>0</v>
      </c>
      <c r="R972" s="119">
        <v>0</v>
      </c>
      <c r="S972" s="119">
        <v>0</v>
      </c>
      <c r="T972" s="119">
        <v>0</v>
      </c>
      <c r="U972" s="119">
        <v>3.3333333333333298E-2</v>
      </c>
      <c r="V972" s="119">
        <v>4.1666666666666699E-2</v>
      </c>
      <c r="W972" s="6">
        <v>306</v>
      </c>
      <c r="X972" s="40">
        <f t="shared" si="70"/>
        <v>96</v>
      </c>
      <c r="Y972" s="40">
        <f t="shared" si="71"/>
        <v>138</v>
      </c>
      <c r="Z972" s="59">
        <v>0.44119999999999998</v>
      </c>
      <c r="AA972" s="59">
        <v>0.55879999999999996</v>
      </c>
      <c r="AB972" s="61">
        <v>3.2679738562091504E-3</v>
      </c>
      <c r="AC972" s="61">
        <v>0</v>
      </c>
      <c r="AD972" s="61">
        <v>6.2091503267973858E-2</v>
      </c>
      <c r="AE972" s="61">
        <v>3.2679738562091504E-3</v>
      </c>
      <c r="AF972" s="61">
        <v>0</v>
      </c>
      <c r="AG972" s="61">
        <v>0.91176470588235292</v>
      </c>
      <c r="AH972" s="61">
        <v>1.9607843137254902E-2</v>
      </c>
      <c r="AI972" s="61">
        <v>8.8235294117647065E-2</v>
      </c>
      <c r="AJ972" s="59">
        <v>0.66010000000000002</v>
      </c>
      <c r="AK972" s="59">
        <v>0</v>
      </c>
      <c r="AL972" s="3">
        <v>28</v>
      </c>
      <c r="AM972" s="3">
        <v>14</v>
      </c>
      <c r="AN972" s="3">
        <v>1</v>
      </c>
      <c r="AO972" s="3">
        <v>21</v>
      </c>
      <c r="AP972" s="3">
        <v>23</v>
      </c>
      <c r="AQ972" s="3">
        <v>29</v>
      </c>
      <c r="AR972" s="3">
        <v>22</v>
      </c>
      <c r="AS972" s="59">
        <v>4.5454545454545456E-2</v>
      </c>
      <c r="AT972" s="3">
        <v>1</v>
      </c>
      <c r="AU972" s="3">
        <v>6</v>
      </c>
      <c r="AV972" s="49">
        <v>81.25</v>
      </c>
      <c r="AW972" s="49">
        <v>16.6666666666667</v>
      </c>
      <c r="AX972" s="49">
        <v>2.0833333333333299</v>
      </c>
      <c r="AY972" s="67">
        <v>0</v>
      </c>
      <c r="AZ972" s="63">
        <v>3.5087719298245612E-2</v>
      </c>
      <c r="BA972" s="63">
        <v>7.3099415204678359E-2</v>
      </c>
      <c r="BB972" s="77">
        <v>94.682728962836407</v>
      </c>
      <c r="BC972" s="49">
        <v>53.582554517134</v>
      </c>
      <c r="BD972" s="3"/>
      <c r="BE972" s="3"/>
      <c r="BF972" s="3"/>
      <c r="BG972" s="3"/>
      <c r="BH972" s="3"/>
      <c r="BI972" s="3"/>
      <c r="BJ972" s="3">
        <v>17.899999999999999</v>
      </c>
      <c r="BK972" s="126">
        <v>11626</v>
      </c>
      <c r="BL972" s="126">
        <v>47328</v>
      </c>
      <c r="BM972" s="126">
        <v>39972</v>
      </c>
      <c r="BN972" s="126">
        <v>36959</v>
      </c>
      <c r="BO972" s="59">
        <v>0</v>
      </c>
      <c r="BP972" s="59">
        <v>0.44919999999999999</v>
      </c>
      <c r="BQ972" s="59">
        <v>8.6699999999999999E-2</v>
      </c>
      <c r="BR972" s="59">
        <v>2.1700000000000001E-2</v>
      </c>
      <c r="BS972" s="59">
        <v>0</v>
      </c>
      <c r="BT972" s="49">
        <v>10.5</v>
      </c>
      <c r="BU972" s="59">
        <f t="shared" si="72"/>
        <v>0.5576000000000001</v>
      </c>
      <c r="BV972" s="59">
        <v>3.95E-2</v>
      </c>
      <c r="BW972" s="59">
        <v>0</v>
      </c>
      <c r="BX972" s="59">
        <v>4.3299999999999998E-2</v>
      </c>
      <c r="BY972" s="59">
        <v>0</v>
      </c>
      <c r="BZ972" s="59">
        <v>0</v>
      </c>
      <c r="CA972" s="49">
        <v>10.3</v>
      </c>
      <c r="CB972" s="59">
        <f t="shared" si="73"/>
        <v>8.2799999999999999E-2</v>
      </c>
      <c r="CC972" s="59">
        <v>0.3775</v>
      </c>
      <c r="CD972" s="59">
        <v>0.47089999999999999</v>
      </c>
      <c r="CE972" s="59">
        <v>0.13</v>
      </c>
      <c r="CF972" s="59">
        <v>2.1700000000000001E-2</v>
      </c>
      <c r="CG972" s="59">
        <v>0</v>
      </c>
      <c r="CH972" s="49">
        <v>11.1</v>
      </c>
      <c r="CI972" s="26" t="s">
        <v>94</v>
      </c>
      <c r="CJ972" s="18" t="s">
        <v>505</v>
      </c>
      <c r="CK972" s="20"/>
    </row>
    <row r="973" spans="1:99" x14ac:dyDescent="0.25">
      <c r="A973" s="18" t="s">
        <v>505</v>
      </c>
      <c r="B973" s="19" t="s">
        <v>95</v>
      </c>
      <c r="C973" s="26" t="s">
        <v>96</v>
      </c>
      <c r="D973" s="6">
        <v>19</v>
      </c>
      <c r="E973" s="40" t="s">
        <v>83</v>
      </c>
      <c r="F973" s="6">
        <v>19</v>
      </c>
      <c r="N973" s="119">
        <v>3.8076152304609201E-2</v>
      </c>
      <c r="O973" s="119">
        <v>3.8076152304609201E-2</v>
      </c>
      <c r="P973" s="116" t="s">
        <v>83</v>
      </c>
      <c r="Q973" s="116" t="s">
        <v>83</v>
      </c>
      <c r="R973" s="119">
        <v>0</v>
      </c>
      <c r="S973" s="119">
        <v>8.1300813008130107E-3</v>
      </c>
      <c r="T973" s="119">
        <v>2.32558139534884E-2</v>
      </c>
      <c r="U973" s="119">
        <v>0.1015625</v>
      </c>
      <c r="V973" s="119">
        <v>2.27272727272727E-2</v>
      </c>
      <c r="W973" s="6">
        <v>455</v>
      </c>
      <c r="X973" s="40">
        <f t="shared" si="70"/>
        <v>455</v>
      </c>
      <c r="Y973" s="40">
        <f t="shared" si="71"/>
        <v>455</v>
      </c>
      <c r="Z973" s="59">
        <v>0.43519999999999998</v>
      </c>
      <c r="AA973" s="59">
        <v>0.56479999999999997</v>
      </c>
      <c r="AB973" s="61">
        <v>2.1978021978021978E-3</v>
      </c>
      <c r="AC973" s="61">
        <v>0</v>
      </c>
      <c r="AD973" s="61">
        <v>0.94285714285714284</v>
      </c>
      <c r="AE973" s="61">
        <v>1.9780219780219779E-2</v>
      </c>
      <c r="AF973" s="61">
        <v>0</v>
      </c>
      <c r="AG973" s="61">
        <v>3.5164835164835165E-2</v>
      </c>
      <c r="AH973" s="61">
        <v>0</v>
      </c>
      <c r="AI973" s="61">
        <v>0.96483516483516485</v>
      </c>
      <c r="AJ973" s="59">
        <v>0.87470000000000003</v>
      </c>
      <c r="AK973" s="59">
        <v>4.4000000000000003E-3</v>
      </c>
      <c r="AL973" s="3">
        <v>0</v>
      </c>
      <c r="AM973" s="3">
        <v>0</v>
      </c>
      <c r="AN973" s="3">
        <v>31</v>
      </c>
      <c r="AO973" s="3">
        <v>110</v>
      </c>
      <c r="AP973" s="3">
        <v>120</v>
      </c>
      <c r="AQ973" s="3">
        <v>113</v>
      </c>
      <c r="AR973" s="3">
        <v>81</v>
      </c>
      <c r="AS973" s="59">
        <v>0.21985815602836881</v>
      </c>
      <c r="AT973" s="3">
        <v>9</v>
      </c>
      <c r="AU973" s="3">
        <v>6</v>
      </c>
      <c r="AV973" s="49">
        <v>78.455284552845498</v>
      </c>
      <c r="AW973" s="49">
        <v>17.479674796748</v>
      </c>
      <c r="AX973" s="49">
        <v>4.0650406504065</v>
      </c>
      <c r="AY973" s="67">
        <v>0</v>
      </c>
      <c r="AZ973" s="63">
        <v>0.10505050505050505</v>
      </c>
      <c r="BA973" s="63">
        <v>0.21414141414141413</v>
      </c>
      <c r="BB973" s="78">
        <v>91.990046617109698</v>
      </c>
      <c r="BC973" s="49">
        <v>30.859375</v>
      </c>
      <c r="BD973" s="3"/>
      <c r="BE973" s="3"/>
      <c r="BF973" s="3"/>
      <c r="BG973" s="3"/>
      <c r="BH973" s="3"/>
      <c r="BI973" s="3"/>
      <c r="BJ973" s="3">
        <v>16.8</v>
      </c>
      <c r="BK973" s="126">
        <v>16919</v>
      </c>
      <c r="BL973" s="126">
        <v>56305</v>
      </c>
      <c r="BM973" s="126">
        <v>51223</v>
      </c>
      <c r="BN973" s="126">
        <v>42788</v>
      </c>
      <c r="BO973" s="59">
        <v>7.9000000000000008E-3</v>
      </c>
      <c r="BP973" s="59">
        <v>0.25580000000000003</v>
      </c>
      <c r="BQ973" s="59">
        <v>0.17460000000000001</v>
      </c>
      <c r="BR973" s="59">
        <v>4.3E-3</v>
      </c>
      <c r="BS973" s="59">
        <v>0</v>
      </c>
      <c r="BT973" s="49">
        <v>7.8</v>
      </c>
      <c r="BU973" s="59">
        <f t="shared" si="72"/>
        <v>0.44260000000000005</v>
      </c>
      <c r="BV973" s="59">
        <v>4.2999999999999997E-2</v>
      </c>
      <c r="BW973" s="59">
        <v>0</v>
      </c>
      <c r="BX973" s="59">
        <v>3.7600000000000001E-2</v>
      </c>
      <c r="BY973" s="59">
        <v>0</v>
      </c>
      <c r="BZ973" s="59">
        <v>8.6E-3</v>
      </c>
      <c r="CA973" s="49">
        <v>14.5</v>
      </c>
      <c r="CB973" s="59">
        <f t="shared" si="73"/>
        <v>8.9200000000000002E-2</v>
      </c>
      <c r="CC973" s="59">
        <v>0.43130000000000002</v>
      </c>
      <c r="CD973" s="59">
        <v>0.26829999999999998</v>
      </c>
      <c r="CE973" s="59">
        <v>0.28749999999999998</v>
      </c>
      <c r="CF973" s="59">
        <v>4.3E-3</v>
      </c>
      <c r="CG973" s="59">
        <v>8.6E-3</v>
      </c>
      <c r="CH973" s="49">
        <v>9.6</v>
      </c>
      <c r="CI973" s="26" t="s">
        <v>96</v>
      </c>
      <c r="CJ973" s="18" t="s">
        <v>505</v>
      </c>
      <c r="CK973" s="20"/>
    </row>
    <row r="974" spans="1:99" x14ac:dyDescent="0.25">
      <c r="A974" s="18" t="s">
        <v>505</v>
      </c>
      <c r="B974" s="19" t="s">
        <v>95</v>
      </c>
      <c r="C974" s="26" t="s">
        <v>97</v>
      </c>
      <c r="D974" s="6">
        <v>68</v>
      </c>
      <c r="E974" s="40" t="s">
        <v>83</v>
      </c>
      <c r="F974" s="6">
        <v>68</v>
      </c>
      <c r="N974" s="119">
        <v>3.5123966942148803E-2</v>
      </c>
      <c r="O974" s="119">
        <v>3.5123966942148803E-2</v>
      </c>
      <c r="P974" s="116" t="s">
        <v>83</v>
      </c>
      <c r="Q974" s="116" t="s">
        <v>83</v>
      </c>
      <c r="R974" s="119">
        <v>2.1276595744680899E-2</v>
      </c>
      <c r="S974" s="119">
        <v>1.9011406844106502E-2</v>
      </c>
      <c r="T974" s="119">
        <v>4.3841336116910198E-2</v>
      </c>
      <c r="U974" s="119">
        <v>3.6117381489841997E-2</v>
      </c>
      <c r="V974" s="119">
        <v>4.5351473922902501E-2</v>
      </c>
      <c r="W974" s="6">
        <v>1802</v>
      </c>
      <c r="X974" s="40">
        <f t="shared" si="70"/>
        <v>1802</v>
      </c>
      <c r="Y974" s="40">
        <f t="shared" si="71"/>
        <v>1802</v>
      </c>
      <c r="Z974" s="59">
        <v>0.47889999999999999</v>
      </c>
      <c r="AA974" s="59">
        <v>0.52110000000000001</v>
      </c>
      <c r="AB974" s="61">
        <v>2.2197558268590455E-3</v>
      </c>
      <c r="AC974" s="61">
        <v>8.8790233074361822E-3</v>
      </c>
      <c r="AD974" s="61">
        <v>0.43174250832408434</v>
      </c>
      <c r="AE974" s="61">
        <v>0.13318534961154274</v>
      </c>
      <c r="AF974" s="61">
        <v>2.7746947835738068E-3</v>
      </c>
      <c r="AG974" s="61">
        <v>0.40732519422863483</v>
      </c>
      <c r="AH974" s="61">
        <v>1.3873473917869035E-2</v>
      </c>
      <c r="AI974" s="61">
        <v>0.59267480577136511</v>
      </c>
      <c r="AJ974" s="59">
        <v>0.53659999999999997</v>
      </c>
      <c r="AK974" s="59">
        <v>2.6599999999999999E-2</v>
      </c>
      <c r="AL974" s="3">
        <v>0</v>
      </c>
      <c r="AM974" s="3">
        <v>0</v>
      </c>
      <c r="AN974" s="3">
        <v>45</v>
      </c>
      <c r="AO974" s="3">
        <v>485</v>
      </c>
      <c r="AP974" s="3">
        <v>430</v>
      </c>
      <c r="AQ974" s="3">
        <v>416</v>
      </c>
      <c r="AR974" s="3">
        <v>426</v>
      </c>
      <c r="AS974" s="59">
        <v>8.4905660377358486E-2</v>
      </c>
      <c r="AT974" s="3">
        <v>9</v>
      </c>
      <c r="AU974" s="3">
        <v>6</v>
      </c>
      <c r="AV974" s="49">
        <v>58.855885588558898</v>
      </c>
      <c r="AW974" s="49">
        <v>22.112211221122099</v>
      </c>
      <c r="AX974" s="49">
        <v>15.841584158415801</v>
      </c>
      <c r="AY974" s="67">
        <v>3.1903190319031904</v>
      </c>
      <c r="AZ974" s="63">
        <v>0.19771071800208118</v>
      </c>
      <c r="BA974" s="63">
        <v>5.8792924037460975E-2</v>
      </c>
      <c r="BB974" s="77">
        <v>94.040488642598106</v>
      </c>
      <c r="BC974" s="49">
        <v>4.7864127637673697</v>
      </c>
      <c r="BD974" s="3"/>
      <c r="BE974" s="3"/>
      <c r="BF974" s="3"/>
      <c r="BG974" s="3"/>
      <c r="BH974" s="3"/>
      <c r="BI974" s="3"/>
      <c r="BJ974" s="3">
        <v>19</v>
      </c>
      <c r="BK974" s="126">
        <v>12389</v>
      </c>
      <c r="BL974" s="126">
        <v>52661</v>
      </c>
      <c r="BM974" s="126">
        <v>56130</v>
      </c>
      <c r="BN974" s="126">
        <v>45282</v>
      </c>
      <c r="BO974" s="59">
        <v>0</v>
      </c>
      <c r="BP974" s="59">
        <v>0.38019999999999998</v>
      </c>
      <c r="BQ974" s="59">
        <v>0.20030000000000001</v>
      </c>
      <c r="BR974" s="59">
        <v>2.5000000000000001E-3</v>
      </c>
      <c r="BS974" s="59">
        <v>1.89E-2</v>
      </c>
      <c r="BT974" s="49">
        <v>10</v>
      </c>
      <c r="BU974" s="59">
        <f t="shared" si="72"/>
        <v>0.60189999999999999</v>
      </c>
      <c r="BV974" s="59">
        <v>3.04E-2</v>
      </c>
      <c r="BW974" s="59">
        <v>0</v>
      </c>
      <c r="BX974" s="59">
        <v>3.8399999999999997E-2</v>
      </c>
      <c r="BY974" s="59">
        <v>4.8999999999999998E-3</v>
      </c>
      <c r="BZ974" s="59">
        <v>4.8999999999999998E-3</v>
      </c>
      <c r="CA974" s="49">
        <v>13.1</v>
      </c>
      <c r="CB974" s="59">
        <f t="shared" si="73"/>
        <v>7.8600000000000003E-2</v>
      </c>
      <c r="CC974" s="59">
        <v>0.27629999999999999</v>
      </c>
      <c r="CD974" s="59">
        <v>0.39979999999999999</v>
      </c>
      <c r="CE974" s="59">
        <v>0.29270000000000002</v>
      </c>
      <c r="CF974" s="59">
        <v>7.4000000000000003E-3</v>
      </c>
      <c r="CG974" s="59">
        <v>2.3800000000000002E-2</v>
      </c>
      <c r="CH974" s="49">
        <v>10.3</v>
      </c>
      <c r="CI974" s="26" t="s">
        <v>97</v>
      </c>
      <c r="CJ974" s="18" t="s">
        <v>505</v>
      </c>
      <c r="CK974" s="20"/>
    </row>
    <row r="975" spans="1:99" x14ac:dyDescent="0.25">
      <c r="A975" s="18" t="s">
        <v>505</v>
      </c>
      <c r="B975" s="19" t="s">
        <v>95</v>
      </c>
      <c r="C975" s="26" t="s">
        <v>98</v>
      </c>
      <c r="D975" s="6">
        <v>47</v>
      </c>
      <c r="E975" s="40" t="s">
        <v>83</v>
      </c>
      <c r="F975" s="6">
        <v>47</v>
      </c>
      <c r="N975" s="119">
        <v>2.2159358793022201E-2</v>
      </c>
      <c r="O975" s="119">
        <v>2.2159358793022201E-2</v>
      </c>
      <c r="P975" s="116" t="s">
        <v>83</v>
      </c>
      <c r="Q975" s="116" t="s">
        <v>83</v>
      </c>
      <c r="R975" s="119">
        <v>6.6666666666666693E-2</v>
      </c>
      <c r="S975" s="119">
        <v>2.07972270363951E-2</v>
      </c>
      <c r="T975" s="119">
        <v>1.7175572519084002E-2</v>
      </c>
      <c r="U975" s="119">
        <v>3.3027522935779798E-2</v>
      </c>
      <c r="V975" s="119">
        <v>1.5217391304347801E-2</v>
      </c>
      <c r="W975" s="6">
        <v>2038</v>
      </c>
      <c r="X975" s="40">
        <f t="shared" si="70"/>
        <v>2038</v>
      </c>
      <c r="Y975" s="40">
        <f t="shared" si="71"/>
        <v>2038</v>
      </c>
      <c r="Z975" s="59">
        <v>0.47939999999999999</v>
      </c>
      <c r="AA975" s="59">
        <v>0.52059999999999995</v>
      </c>
      <c r="AB975" s="61">
        <v>3.9254170755642784E-3</v>
      </c>
      <c r="AC975" s="61">
        <v>4.416094210009814E-3</v>
      </c>
      <c r="AD975" s="61">
        <v>0.15897939156035329</v>
      </c>
      <c r="AE975" s="61">
        <v>4.7595682041216877E-2</v>
      </c>
      <c r="AF975" s="61">
        <v>1.4720314033366045E-3</v>
      </c>
      <c r="AG975" s="61">
        <v>0.77281648675171732</v>
      </c>
      <c r="AH975" s="61">
        <v>1.0794896957801767E-2</v>
      </c>
      <c r="AI975" s="61">
        <v>0.22718351324828262</v>
      </c>
      <c r="AJ975" s="59">
        <v>0.38219999999999998</v>
      </c>
      <c r="AK975" s="59">
        <v>4.8999999999999998E-3</v>
      </c>
      <c r="AL975" s="3">
        <v>0</v>
      </c>
      <c r="AM975" s="3">
        <v>0</v>
      </c>
      <c r="AN975" s="3">
        <v>13</v>
      </c>
      <c r="AO975" s="3">
        <v>554</v>
      </c>
      <c r="AP975" s="3">
        <v>503</v>
      </c>
      <c r="AQ975" s="3">
        <v>517</v>
      </c>
      <c r="AR975" s="3">
        <v>451</v>
      </c>
      <c r="AS975" s="59">
        <v>2.292768959435626E-2</v>
      </c>
      <c r="AT975" s="3">
        <v>9</v>
      </c>
      <c r="AU975" s="3">
        <v>6</v>
      </c>
      <c r="AV975" s="49">
        <v>41.552511415525103</v>
      </c>
      <c r="AW975" s="49">
        <v>34.3607305936073</v>
      </c>
      <c r="AX975" s="49">
        <v>21.689497716895001</v>
      </c>
      <c r="AY975" s="67">
        <v>2.3972602739725999</v>
      </c>
      <c r="AZ975" s="63">
        <v>0.10266159695817491</v>
      </c>
      <c r="BA975" s="63">
        <v>5.9410646387832701E-2</v>
      </c>
      <c r="BB975" s="78">
        <v>94.355383378408007</v>
      </c>
      <c r="BC975" s="49">
        <v>1.0569852941176501</v>
      </c>
      <c r="BD975" s="3"/>
      <c r="BE975" s="3"/>
      <c r="BF975" s="3"/>
      <c r="BG975" s="3"/>
      <c r="BH975" s="3"/>
      <c r="BI975" s="3"/>
      <c r="BJ975" s="3">
        <v>19.899999999999999</v>
      </c>
      <c r="BK975" s="126">
        <v>11244</v>
      </c>
      <c r="BL975" s="126">
        <v>52043</v>
      </c>
      <c r="BM975" s="126">
        <v>52215</v>
      </c>
      <c r="BN975" s="126">
        <v>44803</v>
      </c>
      <c r="BO975" s="59">
        <v>3.0999999999999999E-3</v>
      </c>
      <c r="BP975" s="59">
        <v>0.43769999999999998</v>
      </c>
      <c r="BQ975" s="59">
        <v>0.1883</v>
      </c>
      <c r="BR975" s="59">
        <v>4.8999999999999998E-3</v>
      </c>
      <c r="BS975" s="59">
        <v>4.8999999999999998E-3</v>
      </c>
      <c r="BT975" s="49">
        <v>10.6</v>
      </c>
      <c r="BU975" s="59">
        <f t="shared" si="72"/>
        <v>0.63890000000000002</v>
      </c>
      <c r="BV975" s="59">
        <v>3.4500000000000003E-2</v>
      </c>
      <c r="BW975" s="59">
        <v>0</v>
      </c>
      <c r="BX975" s="59">
        <v>3.3099999999999997E-2</v>
      </c>
      <c r="BY975" s="59">
        <v>0</v>
      </c>
      <c r="BZ975" s="59">
        <v>0</v>
      </c>
      <c r="CA975" s="49">
        <v>14.5</v>
      </c>
      <c r="CB975" s="59">
        <f t="shared" si="73"/>
        <v>6.7599999999999993E-2</v>
      </c>
      <c r="CC975" s="59">
        <v>0.26910000000000001</v>
      </c>
      <c r="CD975" s="59">
        <v>0.45750000000000002</v>
      </c>
      <c r="CE975" s="59">
        <v>0.24859999999999999</v>
      </c>
      <c r="CF975" s="59">
        <v>1.9800000000000002E-2</v>
      </c>
      <c r="CG975" s="59">
        <v>4.8999999999999998E-3</v>
      </c>
      <c r="CH975" s="49">
        <v>10.199999999999999</v>
      </c>
      <c r="CI975" s="26" t="s">
        <v>98</v>
      </c>
      <c r="CJ975" s="18" t="s">
        <v>505</v>
      </c>
      <c r="CK975" s="20"/>
    </row>
    <row r="976" spans="1:99" x14ac:dyDescent="0.25">
      <c r="A976" s="18" t="s">
        <v>505</v>
      </c>
      <c r="B976" s="19" t="s">
        <v>95</v>
      </c>
      <c r="C976" s="26" t="s">
        <v>99</v>
      </c>
      <c r="D976" s="6">
        <v>60</v>
      </c>
      <c r="E976" s="40" t="s">
        <v>83</v>
      </c>
      <c r="F976" s="6">
        <v>60</v>
      </c>
      <c r="N976" s="119">
        <v>2.4691358024691398E-2</v>
      </c>
      <c r="O976" s="119">
        <v>2.4691358024691398E-2</v>
      </c>
      <c r="P976" s="116" t="s">
        <v>83</v>
      </c>
      <c r="Q976" s="116" t="s">
        <v>83</v>
      </c>
      <c r="R976" s="119">
        <v>0.04</v>
      </c>
      <c r="S976" s="119">
        <v>1.7741935483870999E-2</v>
      </c>
      <c r="T976" s="119">
        <v>2.0217729393468099E-2</v>
      </c>
      <c r="U976" s="119">
        <v>2.32558139534884E-2</v>
      </c>
      <c r="V976" s="119">
        <v>3.8888888888888903E-2</v>
      </c>
      <c r="W976" s="6">
        <v>2333</v>
      </c>
      <c r="X976" s="40">
        <f t="shared" si="70"/>
        <v>2333</v>
      </c>
      <c r="Y976" s="40">
        <f t="shared" si="71"/>
        <v>2333</v>
      </c>
      <c r="Z976" s="59">
        <v>0.50839999999999996</v>
      </c>
      <c r="AA976" s="59">
        <v>0.49159999999999998</v>
      </c>
      <c r="AB976" s="61">
        <v>2.5717959708529792E-3</v>
      </c>
      <c r="AC976" s="61">
        <v>2.957565366480926E-2</v>
      </c>
      <c r="AD976" s="61">
        <v>0.20702957565366481</v>
      </c>
      <c r="AE976" s="61">
        <v>4.929275610801543E-2</v>
      </c>
      <c r="AF976" s="61">
        <v>4.2863266180882982E-4</v>
      </c>
      <c r="AG976" s="61">
        <v>0.69352764680668666</v>
      </c>
      <c r="AH976" s="61">
        <v>1.7573939134162022E-2</v>
      </c>
      <c r="AI976" s="61">
        <v>0.30647235319331334</v>
      </c>
      <c r="AJ976" s="59">
        <v>0.28420000000000001</v>
      </c>
      <c r="AK976" s="59">
        <v>8.9999999999999993E-3</v>
      </c>
      <c r="AL976" s="3">
        <v>0</v>
      </c>
      <c r="AM976" s="3">
        <v>0</v>
      </c>
      <c r="AN976" s="3">
        <v>22</v>
      </c>
      <c r="AO976" s="3">
        <v>588</v>
      </c>
      <c r="AP976" s="3">
        <v>612</v>
      </c>
      <c r="AQ976" s="3">
        <v>588</v>
      </c>
      <c r="AR976" s="3">
        <v>523</v>
      </c>
      <c r="AS976" s="59">
        <v>3.6065573770491806E-2</v>
      </c>
      <c r="AT976" s="3">
        <v>9</v>
      </c>
      <c r="AU976" s="3">
        <v>6</v>
      </c>
      <c r="AV976" s="49">
        <v>42.2222222222222</v>
      </c>
      <c r="AW976" s="49">
        <v>36.464646464646499</v>
      </c>
      <c r="AX976" s="49">
        <v>19.696969696969699</v>
      </c>
      <c r="AY976" s="67">
        <v>1.6161616161616199</v>
      </c>
      <c r="AZ976" s="63">
        <v>0.13458333333333333</v>
      </c>
      <c r="BA976" s="63">
        <v>5.2499999999999998E-2</v>
      </c>
      <c r="BB976" s="77">
        <v>95.326863955140297</v>
      </c>
      <c r="BC976" s="49">
        <v>0.53897180762852404</v>
      </c>
      <c r="BD976" s="3"/>
      <c r="BE976" s="3"/>
      <c r="BF976" s="3"/>
      <c r="BG976" s="3"/>
      <c r="BH976" s="3"/>
      <c r="BI976" s="3"/>
      <c r="BJ976" s="3">
        <v>22.3</v>
      </c>
      <c r="BK976" s="126">
        <v>10658</v>
      </c>
      <c r="BL976" s="126">
        <v>54135</v>
      </c>
      <c r="BM976" s="126">
        <v>55877</v>
      </c>
      <c r="BN976" s="126">
        <v>45326</v>
      </c>
      <c r="BO976" s="59">
        <v>0</v>
      </c>
      <c r="BP976" s="59">
        <v>0.37509999999999999</v>
      </c>
      <c r="BQ976" s="59">
        <v>0.2321</v>
      </c>
      <c r="BR976" s="59">
        <v>1.18E-2</v>
      </c>
      <c r="BS976" s="59">
        <v>1.41E-2</v>
      </c>
      <c r="BT976" s="49">
        <v>12.3</v>
      </c>
      <c r="BU976" s="59">
        <f t="shared" si="72"/>
        <v>0.6331</v>
      </c>
      <c r="BV976" s="59">
        <v>1.8800000000000001E-2</v>
      </c>
      <c r="BW976" s="59">
        <v>0</v>
      </c>
      <c r="BX976" s="59">
        <v>2.8199999999999999E-2</v>
      </c>
      <c r="BY976" s="59">
        <v>0</v>
      </c>
      <c r="BZ976" s="59">
        <v>0</v>
      </c>
      <c r="CA976" s="49">
        <v>17.600000000000001</v>
      </c>
      <c r="CB976" s="59">
        <f t="shared" si="73"/>
        <v>4.7E-2</v>
      </c>
      <c r="CC976" s="59">
        <v>0.29120000000000001</v>
      </c>
      <c r="CD976" s="59">
        <v>0.37980000000000003</v>
      </c>
      <c r="CE976" s="59">
        <v>0.30309999999999998</v>
      </c>
      <c r="CF976" s="59">
        <v>1.18E-2</v>
      </c>
      <c r="CG976" s="59">
        <v>1.41E-2</v>
      </c>
      <c r="CH976" s="49">
        <v>11.2</v>
      </c>
      <c r="CI976" s="26" t="s">
        <v>99</v>
      </c>
      <c r="CJ976" s="18" t="s">
        <v>505</v>
      </c>
      <c r="CK976" s="20"/>
    </row>
    <row r="977" spans="1:89" x14ac:dyDescent="0.25">
      <c r="A977" s="18" t="s">
        <v>505</v>
      </c>
      <c r="B977" s="19" t="s">
        <v>100</v>
      </c>
      <c r="C977" s="26" t="s">
        <v>101</v>
      </c>
      <c r="D977" s="6">
        <v>10</v>
      </c>
      <c r="E977" s="40" t="s">
        <v>83</v>
      </c>
      <c r="F977" s="6">
        <v>10</v>
      </c>
      <c r="N977" s="119">
        <v>9.1575091575091597E-3</v>
      </c>
      <c r="O977" s="119">
        <v>9.1575091575091597E-3</v>
      </c>
      <c r="P977" s="116" t="s">
        <v>83</v>
      </c>
      <c r="Q977" s="116" t="s">
        <v>83</v>
      </c>
      <c r="R977" s="119">
        <v>0</v>
      </c>
      <c r="S977" s="119">
        <v>1.1235955056179799E-2</v>
      </c>
      <c r="T977" s="119">
        <v>1.04529616724739E-2</v>
      </c>
      <c r="U977" s="119">
        <v>1.1764705882352899E-2</v>
      </c>
      <c r="V977" s="119">
        <v>3.83141762452107E-3</v>
      </c>
      <c r="W977" s="6">
        <v>1021</v>
      </c>
      <c r="X977" s="40">
        <f t="shared" si="70"/>
        <v>1021</v>
      </c>
      <c r="Y977" s="40">
        <f t="shared" si="71"/>
        <v>1021</v>
      </c>
      <c r="Z977" s="59">
        <v>0.4995</v>
      </c>
      <c r="AA977" s="59">
        <v>0.50049999999999994</v>
      </c>
      <c r="AB977" s="61">
        <v>4.8971596474045058E-3</v>
      </c>
      <c r="AC977" s="61">
        <v>5.8765915768854062E-3</v>
      </c>
      <c r="AD977" s="61">
        <v>0.40548481880509307</v>
      </c>
      <c r="AE977" s="61">
        <v>3.1341821743388835E-2</v>
      </c>
      <c r="AF977" s="61">
        <v>0</v>
      </c>
      <c r="AG977" s="61">
        <v>0.5504407443682664</v>
      </c>
      <c r="AH977" s="61">
        <v>1.9588638589618022E-3</v>
      </c>
      <c r="AI977" s="61">
        <v>0.4495592556317336</v>
      </c>
      <c r="AJ977" s="59">
        <v>0.64049999999999996</v>
      </c>
      <c r="AK977" s="59">
        <v>9.7999999999999997E-3</v>
      </c>
      <c r="AL977" s="3">
        <v>0</v>
      </c>
      <c r="AM977" s="3">
        <v>0</v>
      </c>
      <c r="AN977" s="3">
        <v>24</v>
      </c>
      <c r="AO977" s="3">
        <v>237</v>
      </c>
      <c r="AP977" s="3">
        <v>267</v>
      </c>
      <c r="AQ977" s="3">
        <v>241</v>
      </c>
      <c r="AR977" s="3">
        <v>252</v>
      </c>
      <c r="AS977" s="59">
        <v>9.1954022988505746E-2</v>
      </c>
      <c r="AT977" s="3">
        <v>9</v>
      </c>
      <c r="AU977" s="3">
        <v>6</v>
      </c>
      <c r="AV977" s="49">
        <v>64.818355640535401</v>
      </c>
      <c r="AW977" s="49">
        <v>21.988527724665399</v>
      </c>
      <c r="AX977" s="49">
        <v>11.281070745697901</v>
      </c>
      <c r="AY977" s="67">
        <v>1.9120458891013399</v>
      </c>
      <c r="AZ977" s="63">
        <v>6.5377532228360957E-2</v>
      </c>
      <c r="BA977" s="63">
        <v>0.13167587476979742</v>
      </c>
      <c r="BB977" s="78">
        <v>93.108850890608693</v>
      </c>
      <c r="BC977" s="49">
        <v>47.257769652650801</v>
      </c>
      <c r="BD977" s="3"/>
      <c r="BE977" s="3"/>
      <c r="BF977" s="3"/>
      <c r="BG977" s="3"/>
      <c r="BH977" s="3"/>
      <c r="BI977" s="3"/>
      <c r="BJ977" s="3">
        <v>18.3</v>
      </c>
      <c r="BK977" s="126">
        <v>11276</v>
      </c>
      <c r="BL977" s="126">
        <v>51867</v>
      </c>
      <c r="BM977" s="126">
        <v>57526</v>
      </c>
      <c r="BN977" s="126">
        <v>42007</v>
      </c>
      <c r="BO977" s="59">
        <v>2.7799999999999998E-2</v>
      </c>
      <c r="BP977" s="59">
        <v>0.31979999999999997</v>
      </c>
      <c r="BQ977" s="59">
        <v>0.21890000000000001</v>
      </c>
      <c r="BR977" s="59">
        <v>9.2999999999999992E-3</v>
      </c>
      <c r="BS977" s="59">
        <v>0</v>
      </c>
      <c r="BT977" s="49">
        <v>16.5</v>
      </c>
      <c r="BU977" s="59">
        <f t="shared" si="72"/>
        <v>0.57579999999999998</v>
      </c>
      <c r="BV977" s="59">
        <v>2.7799999999999998E-2</v>
      </c>
      <c r="BW977" s="59">
        <v>0</v>
      </c>
      <c r="BX977" s="59">
        <v>3.7100000000000001E-2</v>
      </c>
      <c r="BY977" s="59">
        <v>0</v>
      </c>
      <c r="BZ977" s="59">
        <v>0</v>
      </c>
      <c r="CA977" s="49">
        <v>18.899999999999999</v>
      </c>
      <c r="CB977" s="59">
        <f t="shared" si="73"/>
        <v>6.4899999999999999E-2</v>
      </c>
      <c r="CC977" s="59">
        <v>0.3674</v>
      </c>
      <c r="CD977" s="59">
        <v>0.32450000000000001</v>
      </c>
      <c r="CE977" s="59">
        <v>0.2974</v>
      </c>
      <c r="CF977" s="59">
        <v>9.2999999999999992E-3</v>
      </c>
      <c r="CG977" s="59">
        <v>1.4E-3</v>
      </c>
      <c r="CH977" s="49">
        <v>16.100000000000001</v>
      </c>
      <c r="CI977" s="26" t="s">
        <v>101</v>
      </c>
      <c r="CJ977" s="18" t="s">
        <v>505</v>
      </c>
      <c r="CK977" s="20"/>
    </row>
    <row r="978" spans="1:89" x14ac:dyDescent="0.25">
      <c r="A978" s="18" t="s">
        <v>505</v>
      </c>
      <c r="B978" s="19" t="s">
        <v>102</v>
      </c>
      <c r="C978" s="26" t="s">
        <v>490</v>
      </c>
      <c r="D978" s="6">
        <v>18</v>
      </c>
      <c r="E978" s="6">
        <v>0</v>
      </c>
      <c r="F978" s="6">
        <v>18</v>
      </c>
      <c r="N978" s="119">
        <v>2.90791599353796E-2</v>
      </c>
      <c r="O978" s="119">
        <v>4.4665012406947903E-2</v>
      </c>
      <c r="P978" s="119">
        <v>0</v>
      </c>
      <c r="Q978" s="119">
        <v>0</v>
      </c>
      <c r="R978" s="116" t="s">
        <v>83</v>
      </c>
      <c r="S978" s="119">
        <v>4.4444444444444398E-2</v>
      </c>
      <c r="T978" s="119">
        <v>2.5000000000000001E-2</v>
      </c>
      <c r="U978" s="119">
        <v>3.8461538461538498E-2</v>
      </c>
      <c r="V978" s="119">
        <v>8.8235294117647106E-2</v>
      </c>
      <c r="W978" s="6">
        <v>551</v>
      </c>
      <c r="X978" s="40">
        <f t="shared" si="70"/>
        <v>355</v>
      </c>
      <c r="Y978" s="40">
        <f t="shared" si="71"/>
        <v>551</v>
      </c>
      <c r="Z978" s="59">
        <v>0.47010000000000002</v>
      </c>
      <c r="AA978" s="59">
        <v>0.52990000000000004</v>
      </c>
      <c r="AB978" s="61">
        <v>0</v>
      </c>
      <c r="AC978" s="61">
        <v>3.629764065335753E-3</v>
      </c>
      <c r="AD978" s="61">
        <v>0.60798548094373861</v>
      </c>
      <c r="AE978" s="61">
        <v>1.8148820326678767E-2</v>
      </c>
      <c r="AF978" s="61">
        <v>0</v>
      </c>
      <c r="AG978" s="61">
        <v>0.36479128856624321</v>
      </c>
      <c r="AH978" s="61">
        <v>5.4446460980036296E-3</v>
      </c>
      <c r="AI978" s="61">
        <v>0.63520871143375679</v>
      </c>
      <c r="AJ978" s="59">
        <v>0.78580000000000005</v>
      </c>
      <c r="AK978" s="59">
        <v>1.8E-3</v>
      </c>
      <c r="AL978" s="3">
        <v>91</v>
      </c>
      <c r="AM978" s="3">
        <v>105</v>
      </c>
      <c r="AN978" s="3">
        <v>0</v>
      </c>
      <c r="AO978" s="3">
        <v>121</v>
      </c>
      <c r="AP978" s="3">
        <v>108</v>
      </c>
      <c r="AQ978" s="3">
        <v>69</v>
      </c>
      <c r="AR978" s="3">
        <v>57</v>
      </c>
      <c r="AS978" s="59">
        <v>0</v>
      </c>
      <c r="AT978" s="3">
        <v>7</v>
      </c>
      <c r="AU978" s="3">
        <v>6</v>
      </c>
      <c r="AV978" s="49">
        <v>64.5833333333333</v>
      </c>
      <c r="AW978" s="49">
        <v>12.5</v>
      </c>
      <c r="AX978" s="49">
        <v>19.4444444444444</v>
      </c>
      <c r="AY978" s="67">
        <v>3.4722222222222201</v>
      </c>
      <c r="AZ978" s="63">
        <v>0.26986754966887416</v>
      </c>
      <c r="BA978" s="63">
        <v>0.39403973509933776</v>
      </c>
      <c r="BB978" s="77">
        <v>90.134261941987504</v>
      </c>
      <c r="BC978" s="49">
        <v>63.915857605177997</v>
      </c>
      <c r="BD978" s="3"/>
      <c r="BE978" s="3"/>
      <c r="BF978" s="3"/>
      <c r="BG978" s="3"/>
      <c r="BH978" s="3"/>
      <c r="BI978" s="3"/>
      <c r="BJ978" s="3">
        <v>17.600000000000001</v>
      </c>
      <c r="BK978" s="126">
        <v>9582</v>
      </c>
      <c r="BL978" s="126">
        <v>43570</v>
      </c>
      <c r="BM978" s="126">
        <v>41066</v>
      </c>
      <c r="BN978" s="126">
        <v>35784</v>
      </c>
      <c r="BO978" s="59">
        <v>0</v>
      </c>
      <c r="BP978" s="59">
        <v>0.39560000000000001</v>
      </c>
      <c r="BQ978" s="59">
        <v>0.18959999999999999</v>
      </c>
      <c r="BR978" s="59">
        <v>0</v>
      </c>
      <c r="BS978" s="59">
        <v>0</v>
      </c>
      <c r="BT978" s="49">
        <v>15.3</v>
      </c>
      <c r="BU978" s="59">
        <f t="shared" si="72"/>
        <v>0.58519999999999994</v>
      </c>
      <c r="BV978" s="59">
        <v>3.95E-2</v>
      </c>
      <c r="BW978" s="59">
        <v>1.9800000000000002E-2</v>
      </c>
      <c r="BX978" s="59">
        <v>3.95E-2</v>
      </c>
      <c r="BY978" s="59">
        <v>0</v>
      </c>
      <c r="BZ978" s="59">
        <v>0</v>
      </c>
      <c r="CA978" s="49">
        <v>13.8</v>
      </c>
      <c r="CB978" s="59">
        <f t="shared" si="73"/>
        <v>9.8799999999999999E-2</v>
      </c>
      <c r="CC978" s="59">
        <v>0.316</v>
      </c>
      <c r="CD978" s="59">
        <v>0.4153</v>
      </c>
      <c r="CE978" s="59">
        <v>0.26869999999999999</v>
      </c>
      <c r="CF978" s="59">
        <v>0</v>
      </c>
      <c r="CG978" s="59">
        <v>0</v>
      </c>
      <c r="CH978" s="49">
        <v>13.5</v>
      </c>
      <c r="CI978" s="26" t="s">
        <v>490</v>
      </c>
      <c r="CJ978" s="18" t="s">
        <v>505</v>
      </c>
      <c r="CK978" s="20"/>
    </row>
    <row r="979" spans="1:89" x14ac:dyDescent="0.25">
      <c r="A979" s="18" t="s">
        <v>505</v>
      </c>
      <c r="B979" s="19" t="s">
        <v>102</v>
      </c>
      <c r="C979" s="26" t="s">
        <v>104</v>
      </c>
      <c r="D979" s="6">
        <v>27</v>
      </c>
      <c r="E979" s="6">
        <v>2</v>
      </c>
      <c r="F979" s="6">
        <v>25</v>
      </c>
      <c r="N979" s="119">
        <v>3.1141868512110701E-2</v>
      </c>
      <c r="O979" s="119">
        <v>4.4483985765124599E-2</v>
      </c>
      <c r="P979" s="119">
        <v>0</v>
      </c>
      <c r="Q979" s="119">
        <v>1.3986013986014E-2</v>
      </c>
      <c r="R979" s="119">
        <v>0</v>
      </c>
      <c r="S979" s="119">
        <v>3.2679738562091498E-2</v>
      </c>
      <c r="T979" s="119">
        <v>2.7027027027027001E-2</v>
      </c>
      <c r="U979" s="119">
        <v>5.8394160583941597E-2</v>
      </c>
      <c r="V979" s="119">
        <v>6.50406504065041E-2</v>
      </c>
      <c r="W979" s="6">
        <v>790</v>
      </c>
      <c r="X979" s="40">
        <f t="shared" si="70"/>
        <v>516</v>
      </c>
      <c r="Y979" s="40">
        <f t="shared" si="71"/>
        <v>790</v>
      </c>
      <c r="Z979" s="59">
        <v>0.49490000000000001</v>
      </c>
      <c r="AA979" s="59">
        <v>0.50509999999999999</v>
      </c>
      <c r="AB979" s="61">
        <v>2.0253164556962026E-2</v>
      </c>
      <c r="AC979" s="61">
        <v>1.6455696202531647E-2</v>
      </c>
      <c r="AD979" s="61">
        <v>0.49240506329113926</v>
      </c>
      <c r="AE979" s="61">
        <v>7.5949367088607592E-3</v>
      </c>
      <c r="AF979" s="61">
        <v>0</v>
      </c>
      <c r="AG979" s="61">
        <v>0.45316455696202529</v>
      </c>
      <c r="AH979" s="61">
        <v>1.0126582278481013E-2</v>
      </c>
      <c r="AI979" s="61">
        <v>0.54683544303797471</v>
      </c>
      <c r="AJ979" s="59">
        <v>0.84430000000000005</v>
      </c>
      <c r="AK979" s="59">
        <v>1.01E-2</v>
      </c>
      <c r="AL979" s="3">
        <v>139</v>
      </c>
      <c r="AM979" s="3">
        <v>135</v>
      </c>
      <c r="AN979" s="3">
        <v>1</v>
      </c>
      <c r="AO979" s="3">
        <v>134</v>
      </c>
      <c r="AP979" s="3">
        <v>125</v>
      </c>
      <c r="AQ979" s="3">
        <v>136</v>
      </c>
      <c r="AR979" s="3">
        <v>120</v>
      </c>
      <c r="AS979" s="59">
        <v>7.4074074074074077E-3</v>
      </c>
      <c r="AT979" s="3">
        <v>7</v>
      </c>
      <c r="AU979" s="3">
        <v>6</v>
      </c>
      <c r="AV979" s="49">
        <v>37.2262773722628</v>
      </c>
      <c r="AW979" s="49">
        <v>25.912408759124101</v>
      </c>
      <c r="AX979" s="49">
        <v>29.927007299270098</v>
      </c>
      <c r="AY979" s="67">
        <v>6.9343065693430699</v>
      </c>
      <c r="AZ979" s="63">
        <v>0.2046783625730994</v>
      </c>
      <c r="BA979" s="63">
        <v>0.33216374269005849</v>
      </c>
      <c r="BB979" s="78">
        <v>89.981146391373301</v>
      </c>
      <c r="BC979" s="49">
        <v>61.781285231116101</v>
      </c>
      <c r="BD979" s="3"/>
      <c r="BE979" s="3"/>
      <c r="BF979" s="3"/>
      <c r="BG979" s="3"/>
      <c r="BH979" s="3"/>
      <c r="BI979" s="3"/>
      <c r="BJ979" s="3">
        <v>16.8</v>
      </c>
      <c r="BK979" s="126">
        <v>8950</v>
      </c>
      <c r="BL979" s="126">
        <v>44476</v>
      </c>
      <c r="BM979" s="126">
        <v>42770</v>
      </c>
      <c r="BN979" s="126">
        <v>36792</v>
      </c>
      <c r="BO979" s="59">
        <v>0</v>
      </c>
      <c r="BP979" s="59">
        <v>0.45350000000000001</v>
      </c>
      <c r="BQ979" s="59">
        <v>0.1215</v>
      </c>
      <c r="BR979" s="59">
        <v>0</v>
      </c>
      <c r="BS979" s="59">
        <v>0</v>
      </c>
      <c r="BT979" s="49">
        <v>11.5</v>
      </c>
      <c r="BU979" s="59">
        <f t="shared" si="72"/>
        <v>0.57499999999999996</v>
      </c>
      <c r="BV979" s="59">
        <v>3.04E-2</v>
      </c>
      <c r="BW979" s="59">
        <v>1.52E-2</v>
      </c>
      <c r="BX979" s="59">
        <v>2.9899999999999999E-2</v>
      </c>
      <c r="BY979" s="59">
        <v>0</v>
      </c>
      <c r="BZ979" s="59">
        <v>0</v>
      </c>
      <c r="CA979" s="49">
        <v>14.3</v>
      </c>
      <c r="CB979" s="59">
        <f t="shared" si="73"/>
        <v>7.5499999999999998E-2</v>
      </c>
      <c r="CC979" s="59">
        <v>0.3342</v>
      </c>
      <c r="CD979" s="59">
        <v>0.4839</v>
      </c>
      <c r="CE979" s="59">
        <v>0.18190000000000001</v>
      </c>
      <c r="CF979" s="59">
        <v>0</v>
      </c>
      <c r="CG979" s="59">
        <v>0</v>
      </c>
      <c r="CH979" s="49">
        <v>12.7</v>
      </c>
      <c r="CI979" s="26" t="s">
        <v>104</v>
      </c>
      <c r="CJ979" s="18" t="s">
        <v>505</v>
      </c>
      <c r="CK979" s="20"/>
    </row>
    <row r="980" spans="1:89" x14ac:dyDescent="0.25">
      <c r="A980" s="18" t="s">
        <v>505</v>
      </c>
      <c r="B980" s="19" t="s">
        <v>102</v>
      </c>
      <c r="C980" s="26" t="s">
        <v>105</v>
      </c>
      <c r="D980" s="6">
        <v>10</v>
      </c>
      <c r="E980" s="6">
        <v>1</v>
      </c>
      <c r="F980" s="6">
        <v>9</v>
      </c>
      <c r="N980" s="119">
        <v>1.4306151645207399E-2</v>
      </c>
      <c r="O980" s="119">
        <v>2.1126760563380299E-2</v>
      </c>
      <c r="P980" s="119">
        <v>0</v>
      </c>
      <c r="Q980" s="119">
        <v>7.6923076923076901E-3</v>
      </c>
      <c r="R980" s="119">
        <v>0</v>
      </c>
      <c r="S980" s="119">
        <v>1.38888888888889E-2</v>
      </c>
      <c r="T980" s="119">
        <v>2.02020202020202E-2</v>
      </c>
      <c r="U980" s="119">
        <v>3.125E-2</v>
      </c>
      <c r="V980" s="119">
        <v>3.3333333333333298E-2</v>
      </c>
      <c r="W980" s="6">
        <v>657</v>
      </c>
      <c r="X980" s="40">
        <f t="shared" si="70"/>
        <v>407</v>
      </c>
      <c r="Y980" s="40">
        <f t="shared" si="71"/>
        <v>657</v>
      </c>
      <c r="Z980" s="59">
        <v>0.45810000000000001</v>
      </c>
      <c r="AA980" s="59">
        <v>0.54190000000000005</v>
      </c>
      <c r="AB980" s="61">
        <v>1.2176560121765601E-2</v>
      </c>
      <c r="AC980" s="61">
        <v>0</v>
      </c>
      <c r="AD980" s="61">
        <v>0.47031963470319632</v>
      </c>
      <c r="AE980" s="61">
        <v>9.1324200913242004E-3</v>
      </c>
      <c r="AF980" s="61">
        <v>0</v>
      </c>
      <c r="AG980" s="61">
        <v>0.49467275494672752</v>
      </c>
      <c r="AH980" s="61">
        <v>1.3698630136986301E-2</v>
      </c>
      <c r="AI980" s="61">
        <v>0.50532724505327242</v>
      </c>
      <c r="AJ980" s="59">
        <v>0.75649999999999995</v>
      </c>
      <c r="AK980" s="59">
        <v>0</v>
      </c>
      <c r="AL980" s="3">
        <v>128</v>
      </c>
      <c r="AM980" s="3">
        <v>122</v>
      </c>
      <c r="AN980" s="3">
        <v>71</v>
      </c>
      <c r="AO980" s="3">
        <v>64</v>
      </c>
      <c r="AP980" s="3">
        <v>94</v>
      </c>
      <c r="AQ980" s="3">
        <v>91</v>
      </c>
      <c r="AR980" s="3">
        <v>87</v>
      </c>
      <c r="AS980" s="59">
        <v>0.52592592592592591</v>
      </c>
      <c r="AT980" s="3">
        <v>7</v>
      </c>
      <c r="AU980" s="3">
        <v>6</v>
      </c>
      <c r="AV980" s="49">
        <v>48.689138576779001</v>
      </c>
      <c r="AW980" s="49">
        <v>11.235955056179799</v>
      </c>
      <c r="AX980" s="49">
        <v>31.086142322097398</v>
      </c>
      <c r="AY980" s="67">
        <v>8.9887640449438209</v>
      </c>
      <c r="AZ980" s="63">
        <v>0.36219336219336218</v>
      </c>
      <c r="BA980" s="63">
        <v>0.40404040404040403</v>
      </c>
      <c r="BB980" s="77">
        <v>89.946804621234307</v>
      </c>
      <c r="BC980" s="49">
        <v>65.951359084406306</v>
      </c>
      <c r="BD980" s="3"/>
      <c r="BE980" s="3"/>
      <c r="BF980" s="3"/>
      <c r="BG980" s="3"/>
      <c r="BH980" s="3"/>
      <c r="BI980" s="3"/>
      <c r="BJ980" s="3">
        <v>17.3</v>
      </c>
      <c r="BK980" s="126">
        <v>9645</v>
      </c>
      <c r="BL980" s="126">
        <v>44784</v>
      </c>
      <c r="BM980" s="126">
        <v>48079</v>
      </c>
      <c r="BN980" s="126">
        <v>34081</v>
      </c>
      <c r="BO980" s="59">
        <v>0</v>
      </c>
      <c r="BP980" s="59">
        <v>0.39460000000000001</v>
      </c>
      <c r="BQ980" s="59">
        <v>5.1200000000000002E-2</v>
      </c>
      <c r="BR980" s="59">
        <v>4.4000000000000003E-3</v>
      </c>
      <c r="BS980" s="59">
        <v>0</v>
      </c>
      <c r="BT980" s="49">
        <v>11.9</v>
      </c>
      <c r="BU980" s="59">
        <f t="shared" si="72"/>
        <v>0.45020000000000004</v>
      </c>
      <c r="BV980" s="59">
        <v>3.4200000000000001E-2</v>
      </c>
      <c r="BW980" s="59">
        <v>1.7100000000000001E-2</v>
      </c>
      <c r="BX980" s="59">
        <v>6.83E-2</v>
      </c>
      <c r="BY980" s="59">
        <v>0</v>
      </c>
      <c r="BZ980" s="59">
        <v>0</v>
      </c>
      <c r="CA980" s="49">
        <v>17</v>
      </c>
      <c r="CB980" s="59">
        <f t="shared" si="73"/>
        <v>0.1196</v>
      </c>
      <c r="CC980" s="59">
        <v>0.44729999999999998</v>
      </c>
      <c r="CD980" s="59">
        <v>0.42880000000000001</v>
      </c>
      <c r="CE980" s="59">
        <v>0.1195</v>
      </c>
      <c r="CF980" s="59">
        <v>4.4000000000000003E-3</v>
      </c>
      <c r="CG980" s="59">
        <v>0</v>
      </c>
      <c r="CH980" s="49">
        <v>12.3</v>
      </c>
      <c r="CI980" s="26" t="s">
        <v>105</v>
      </c>
      <c r="CJ980" s="18" t="s">
        <v>505</v>
      </c>
      <c r="CK980" s="20"/>
    </row>
    <row r="981" spans="1:89" x14ac:dyDescent="0.25">
      <c r="A981" s="18" t="s">
        <v>505</v>
      </c>
      <c r="B981" s="19" t="s">
        <v>102</v>
      </c>
      <c r="C981" s="26" t="s">
        <v>106</v>
      </c>
      <c r="D981" s="6">
        <v>2</v>
      </c>
      <c r="E981" s="6">
        <v>0</v>
      </c>
      <c r="F981" s="6">
        <v>2</v>
      </c>
      <c r="N981" s="119">
        <v>4.8192771084337397E-3</v>
      </c>
      <c r="O981" s="119">
        <v>7.7519379844961196E-3</v>
      </c>
      <c r="P981" s="119">
        <v>0</v>
      </c>
      <c r="Q981" s="119">
        <v>0</v>
      </c>
      <c r="R981" s="116" t="s">
        <v>83</v>
      </c>
      <c r="S981" s="119">
        <v>0</v>
      </c>
      <c r="T981" s="119">
        <v>0</v>
      </c>
      <c r="U981" s="119">
        <v>2.9850746268656699E-2</v>
      </c>
      <c r="V981" s="119">
        <v>0</v>
      </c>
      <c r="W981" s="6">
        <v>412</v>
      </c>
      <c r="X981" s="40">
        <f t="shared" si="70"/>
        <v>255</v>
      </c>
      <c r="Y981" s="40">
        <f t="shared" si="71"/>
        <v>412</v>
      </c>
      <c r="Z981" s="59">
        <v>0.50490000000000002</v>
      </c>
      <c r="AA981" s="59">
        <v>0.49509999999999998</v>
      </c>
      <c r="AB981" s="61">
        <v>4.8543689320388345E-3</v>
      </c>
      <c r="AC981" s="61">
        <v>2.4271844660194173E-3</v>
      </c>
      <c r="AD981" s="61">
        <v>0.30825242718446599</v>
      </c>
      <c r="AE981" s="61">
        <v>1.6990291262135922E-2</v>
      </c>
      <c r="AF981" s="61">
        <v>0</v>
      </c>
      <c r="AG981" s="61">
        <v>0.64805825242718451</v>
      </c>
      <c r="AH981" s="61">
        <v>1.9417475728155338E-2</v>
      </c>
      <c r="AI981" s="61">
        <v>0.35194174757281554</v>
      </c>
      <c r="AJ981" s="59">
        <v>0.58499999999999996</v>
      </c>
      <c r="AK981" s="59">
        <v>2.3999999999999998E-3</v>
      </c>
      <c r="AL981" s="3">
        <v>79</v>
      </c>
      <c r="AM981" s="3">
        <v>78</v>
      </c>
      <c r="AN981" s="3">
        <v>0</v>
      </c>
      <c r="AO981" s="3">
        <v>74</v>
      </c>
      <c r="AP981" s="3">
        <v>66</v>
      </c>
      <c r="AQ981" s="3">
        <v>66</v>
      </c>
      <c r="AR981" s="3">
        <v>49</v>
      </c>
      <c r="AS981" s="59">
        <v>0</v>
      </c>
      <c r="AT981" s="3">
        <v>7</v>
      </c>
      <c r="AU981" s="3">
        <v>4</v>
      </c>
      <c r="AV981" s="49">
        <v>48.507462686567202</v>
      </c>
      <c r="AW981" s="49">
        <v>34.328358208955201</v>
      </c>
      <c r="AX981" s="49">
        <v>15.671641791044799</v>
      </c>
      <c r="AY981" s="67">
        <v>1.4925373134328399</v>
      </c>
      <c r="AZ981" s="63">
        <v>5.7831325301204821E-2</v>
      </c>
      <c r="BA981" s="63">
        <v>0.13975903614457832</v>
      </c>
      <c r="BB981" s="78">
        <v>94.172170250562303</v>
      </c>
      <c r="BC981" s="49">
        <v>56.3981042654029</v>
      </c>
      <c r="BD981" s="3"/>
      <c r="BE981" s="3"/>
      <c r="BF981" s="3"/>
      <c r="BG981" s="3"/>
      <c r="BH981" s="3"/>
      <c r="BI981" s="3"/>
      <c r="BJ981" s="3">
        <v>18.899999999999999</v>
      </c>
      <c r="BK981" s="126">
        <v>10113</v>
      </c>
      <c r="BL981" s="126">
        <v>47222</v>
      </c>
      <c r="BM981" s="126">
        <v>50777</v>
      </c>
      <c r="BN981" s="126">
        <v>40429</v>
      </c>
      <c r="BO981" s="59">
        <v>0</v>
      </c>
      <c r="BP981" s="59">
        <v>0.52780000000000005</v>
      </c>
      <c r="BQ981" s="59">
        <v>0.1027</v>
      </c>
      <c r="BR981" s="59">
        <v>0</v>
      </c>
      <c r="BS981" s="59">
        <v>0</v>
      </c>
      <c r="BT981" s="49">
        <v>16.600000000000001</v>
      </c>
      <c r="BU981" s="59">
        <f t="shared" si="72"/>
        <v>0.63050000000000006</v>
      </c>
      <c r="BV981" s="59">
        <v>2.5700000000000001E-2</v>
      </c>
      <c r="BW981" s="59">
        <v>0</v>
      </c>
      <c r="BX981" s="59">
        <v>5.1400000000000001E-2</v>
      </c>
      <c r="BY981" s="59">
        <v>0</v>
      </c>
      <c r="BZ981" s="59">
        <v>0</v>
      </c>
      <c r="CA981" s="49">
        <v>20.7</v>
      </c>
      <c r="CB981" s="59">
        <f t="shared" si="73"/>
        <v>7.7100000000000002E-2</v>
      </c>
      <c r="CC981" s="59">
        <v>0.24110000000000001</v>
      </c>
      <c r="CD981" s="59">
        <v>0.57909999999999995</v>
      </c>
      <c r="CE981" s="59">
        <v>0.17979999999999999</v>
      </c>
      <c r="CF981" s="59">
        <v>0</v>
      </c>
      <c r="CG981" s="59">
        <v>0</v>
      </c>
      <c r="CH981" s="49">
        <v>16.2</v>
      </c>
      <c r="CI981" s="26" t="s">
        <v>106</v>
      </c>
      <c r="CJ981" s="18" t="s">
        <v>505</v>
      </c>
      <c r="CK981" s="20"/>
    </row>
    <row r="982" spans="1:89" x14ac:dyDescent="0.25">
      <c r="A982" s="18" t="s">
        <v>505</v>
      </c>
      <c r="B982" s="19" t="s">
        <v>107</v>
      </c>
      <c r="C982" s="26" t="s">
        <v>108</v>
      </c>
      <c r="D982" s="6">
        <v>14</v>
      </c>
      <c r="E982" s="40" t="s">
        <v>83</v>
      </c>
      <c r="F982" s="6">
        <v>14</v>
      </c>
      <c r="N982" s="119">
        <v>1.73267326732673E-2</v>
      </c>
      <c r="O982" s="119">
        <v>1.73267326732673E-2</v>
      </c>
      <c r="P982" s="116" t="s">
        <v>83</v>
      </c>
      <c r="Q982" s="116" t="s">
        <v>83</v>
      </c>
      <c r="R982" s="116" t="s">
        <v>83</v>
      </c>
      <c r="S982" s="119">
        <v>4.8309178743961402E-3</v>
      </c>
      <c r="T982" s="119">
        <v>1.54639175257732E-2</v>
      </c>
      <c r="U982" s="119">
        <v>5.2631578947368403E-3</v>
      </c>
      <c r="V982" s="119">
        <v>4.1474654377880199E-2</v>
      </c>
      <c r="W982" s="6">
        <v>766</v>
      </c>
      <c r="X982" s="40">
        <f t="shared" si="70"/>
        <v>766</v>
      </c>
      <c r="Y982" s="40">
        <f t="shared" si="71"/>
        <v>766</v>
      </c>
      <c r="Z982" s="59">
        <v>0.49349999999999999</v>
      </c>
      <c r="AA982" s="59">
        <v>0.50649999999999995</v>
      </c>
      <c r="AB982" s="61">
        <v>6.5274151436031328E-3</v>
      </c>
      <c r="AC982" s="61">
        <v>1.0443864229765013E-2</v>
      </c>
      <c r="AD982" s="61">
        <v>0.30678851174934724</v>
      </c>
      <c r="AE982" s="61">
        <v>5.87467362924282E-2</v>
      </c>
      <c r="AF982" s="61">
        <v>0</v>
      </c>
      <c r="AG982" s="61">
        <v>0.56005221932114879</v>
      </c>
      <c r="AH982" s="61">
        <v>5.7441253263707574E-2</v>
      </c>
      <c r="AI982" s="61">
        <v>0.43994778067885115</v>
      </c>
      <c r="AJ982" s="59">
        <v>0.53790000000000004</v>
      </c>
      <c r="AK982" s="59">
        <v>7.7999999999999996E-3</v>
      </c>
      <c r="AL982" s="3">
        <v>0</v>
      </c>
      <c r="AM982" s="3">
        <v>0</v>
      </c>
      <c r="AN982" s="3">
        <v>0</v>
      </c>
      <c r="AO982" s="3">
        <v>191</v>
      </c>
      <c r="AP982" s="3">
        <v>184</v>
      </c>
      <c r="AQ982" s="3">
        <v>177</v>
      </c>
      <c r="AR982" s="3">
        <v>214</v>
      </c>
      <c r="AS982" s="59">
        <v>0</v>
      </c>
      <c r="AT982" s="3">
        <v>9</v>
      </c>
      <c r="AU982" s="3">
        <v>6</v>
      </c>
      <c r="AV982" s="49">
        <v>76.16033755274259</v>
      </c>
      <c r="AW982" s="49">
        <v>12.4472573839662</v>
      </c>
      <c r="AX982" s="49">
        <v>10.7594936708861</v>
      </c>
      <c r="AY982" s="67">
        <v>0.632911392405063</v>
      </c>
      <c r="AZ982" s="63">
        <v>0.23</v>
      </c>
      <c r="BA982" s="63">
        <v>0.14249999999999999</v>
      </c>
      <c r="BB982" s="77">
        <v>93.315512250676207</v>
      </c>
      <c r="BC982" s="49">
        <v>62.56038647343</v>
      </c>
      <c r="BD982" s="3"/>
      <c r="BE982" s="3"/>
      <c r="BF982" s="3"/>
      <c r="BG982" s="3"/>
      <c r="BH982" s="3"/>
      <c r="BI982" s="3"/>
      <c r="BJ982" s="3">
        <v>19.899999999999999</v>
      </c>
      <c r="BK982" s="126">
        <v>8963</v>
      </c>
      <c r="BL982" s="126">
        <v>51597</v>
      </c>
      <c r="BM982" s="126">
        <v>35441</v>
      </c>
      <c r="BN982" s="126">
        <v>41472</v>
      </c>
      <c r="BO982" s="59">
        <v>0</v>
      </c>
      <c r="BP982" s="59">
        <v>0.41120000000000001</v>
      </c>
      <c r="BQ982" s="59">
        <v>0.1953</v>
      </c>
      <c r="BR982" s="59">
        <v>0</v>
      </c>
      <c r="BS982" s="59">
        <v>0</v>
      </c>
      <c r="BT982" s="49">
        <v>15.8</v>
      </c>
      <c r="BU982" s="59">
        <f t="shared" si="72"/>
        <v>0.60650000000000004</v>
      </c>
      <c r="BV982" s="59">
        <v>5.3100000000000001E-2</v>
      </c>
      <c r="BW982" s="59">
        <v>0</v>
      </c>
      <c r="BX982" s="59">
        <v>2.7199999999999998E-2</v>
      </c>
      <c r="BY982" s="59">
        <v>0</v>
      </c>
      <c r="BZ982" s="59">
        <v>0</v>
      </c>
      <c r="CA982" s="49">
        <v>10.4</v>
      </c>
      <c r="CB982" s="59">
        <f t="shared" si="73"/>
        <v>8.0299999999999996E-2</v>
      </c>
      <c r="CC982" s="59">
        <v>0.29870000000000002</v>
      </c>
      <c r="CD982" s="59">
        <v>0.43909999999999999</v>
      </c>
      <c r="CE982" s="59">
        <v>0.26229999999999998</v>
      </c>
      <c r="CF982" s="59">
        <v>0</v>
      </c>
      <c r="CG982" s="59">
        <v>0</v>
      </c>
      <c r="CH982" s="49">
        <v>14.4</v>
      </c>
      <c r="CI982" s="26" t="s">
        <v>108</v>
      </c>
      <c r="CJ982" s="18" t="s">
        <v>505</v>
      </c>
      <c r="CK982" s="20"/>
    </row>
    <row r="983" spans="1:89" x14ac:dyDescent="0.25">
      <c r="A983" s="18" t="s">
        <v>505</v>
      </c>
      <c r="B983" s="19" t="s">
        <v>107</v>
      </c>
      <c r="C983" s="26" t="s">
        <v>109</v>
      </c>
      <c r="D983" s="6">
        <v>0</v>
      </c>
      <c r="E983" s="6">
        <v>0</v>
      </c>
      <c r="F983" s="6">
        <v>0</v>
      </c>
      <c r="N983" s="119">
        <v>0</v>
      </c>
      <c r="O983" s="119">
        <v>0</v>
      </c>
      <c r="P983" s="119">
        <v>0</v>
      </c>
      <c r="Q983" s="119">
        <v>0</v>
      </c>
      <c r="R983" s="116" t="s">
        <v>83</v>
      </c>
      <c r="S983" s="119">
        <v>0</v>
      </c>
      <c r="T983" s="119">
        <v>0</v>
      </c>
      <c r="U983" s="119">
        <v>0</v>
      </c>
      <c r="V983" s="119">
        <v>0</v>
      </c>
      <c r="W983" s="6">
        <v>452</v>
      </c>
      <c r="X983" s="40">
        <f t="shared" si="70"/>
        <v>261</v>
      </c>
      <c r="Y983" s="40">
        <f t="shared" si="71"/>
        <v>382</v>
      </c>
      <c r="Z983" s="59">
        <v>0.4425</v>
      </c>
      <c r="AA983" s="59">
        <v>0.5575</v>
      </c>
      <c r="AB983" s="61">
        <v>1.3274336283185841E-2</v>
      </c>
      <c r="AC983" s="61">
        <v>2.2123893805309734E-3</v>
      </c>
      <c r="AD983" s="61">
        <v>8.8495575221238937E-3</v>
      </c>
      <c r="AE983" s="61">
        <v>1.9911504424778761E-2</v>
      </c>
      <c r="AF983" s="61">
        <v>0</v>
      </c>
      <c r="AG983" s="61">
        <v>0.90707964601769908</v>
      </c>
      <c r="AH983" s="61">
        <v>4.8672566371681415E-2</v>
      </c>
      <c r="AI983" s="61">
        <v>9.2920353982300891E-2</v>
      </c>
      <c r="AJ983" s="59">
        <v>0.58630000000000004</v>
      </c>
      <c r="AK983" s="59">
        <v>2.2000000000000001E-3</v>
      </c>
      <c r="AL983" s="3">
        <v>67</v>
      </c>
      <c r="AM983" s="3">
        <v>54</v>
      </c>
      <c r="AN983" s="3">
        <v>0</v>
      </c>
      <c r="AO983" s="3">
        <v>66</v>
      </c>
      <c r="AP983" s="3">
        <v>74</v>
      </c>
      <c r="AQ983" s="3">
        <v>57</v>
      </c>
      <c r="AR983" s="3">
        <v>64</v>
      </c>
      <c r="AS983" s="59">
        <v>0</v>
      </c>
      <c r="AT983" s="3">
        <v>6</v>
      </c>
      <c r="AU983" s="3">
        <v>6</v>
      </c>
      <c r="AV983" s="49">
        <v>77.960526315789508</v>
      </c>
      <c r="AW983" s="49">
        <v>19.407894736842099</v>
      </c>
      <c r="AX983" s="49">
        <v>2.6315789473684199</v>
      </c>
      <c r="AY983" s="67">
        <v>0</v>
      </c>
      <c r="AZ983" s="63">
        <v>0.1392931392931393</v>
      </c>
      <c r="BA983" s="63">
        <v>5.4054054054054057E-2</v>
      </c>
      <c r="BB983" s="78">
        <v>94.369411701527795</v>
      </c>
      <c r="BC983" s="49">
        <v>53.6082474226804</v>
      </c>
      <c r="BD983" s="3"/>
      <c r="BE983" s="3"/>
      <c r="BF983" s="3"/>
      <c r="BG983" s="3"/>
      <c r="BH983" s="3"/>
      <c r="BI983" s="3"/>
      <c r="BJ983" s="3">
        <v>19.7</v>
      </c>
      <c r="BK983" s="126">
        <v>10219</v>
      </c>
      <c r="BL983" s="126">
        <v>53092</v>
      </c>
      <c r="BM983" s="126">
        <v>52349</v>
      </c>
      <c r="BN983" s="126">
        <v>41821</v>
      </c>
      <c r="BO983" s="59">
        <v>0</v>
      </c>
      <c r="BP983" s="59">
        <v>0.35399999999999998</v>
      </c>
      <c r="BQ983" s="59">
        <v>0.2311</v>
      </c>
      <c r="BR983" s="59">
        <v>0</v>
      </c>
      <c r="BS983" s="59">
        <v>0</v>
      </c>
      <c r="BT983" s="49">
        <v>16.8</v>
      </c>
      <c r="BU983" s="59">
        <f t="shared" si="72"/>
        <v>0.58509999999999995</v>
      </c>
      <c r="BV983" s="59">
        <v>1.8599999999999998E-2</v>
      </c>
      <c r="BW983" s="59">
        <v>0</v>
      </c>
      <c r="BX983" s="59">
        <v>3.5999999999999997E-2</v>
      </c>
      <c r="BY983" s="59">
        <v>0</v>
      </c>
      <c r="BZ983" s="59">
        <v>0</v>
      </c>
      <c r="CA983" s="49">
        <v>8.5</v>
      </c>
      <c r="CB983" s="59">
        <f t="shared" si="73"/>
        <v>5.4599999999999996E-2</v>
      </c>
      <c r="CC983" s="59">
        <v>0.32300000000000001</v>
      </c>
      <c r="CD983" s="59">
        <v>0.37269999999999998</v>
      </c>
      <c r="CE983" s="59">
        <v>0.3044</v>
      </c>
      <c r="CF983" s="59">
        <v>0</v>
      </c>
      <c r="CG983" s="59">
        <v>0</v>
      </c>
      <c r="CH983" s="49">
        <v>14.1</v>
      </c>
      <c r="CI983" s="26" t="s">
        <v>109</v>
      </c>
      <c r="CJ983" s="18" t="s">
        <v>505</v>
      </c>
      <c r="CK983" s="20"/>
    </row>
    <row r="984" spans="1:89" x14ac:dyDescent="0.25">
      <c r="A984" s="18" t="s">
        <v>505</v>
      </c>
      <c r="B984" s="19" t="s">
        <v>107</v>
      </c>
      <c r="C984" s="26" t="s">
        <v>110</v>
      </c>
      <c r="D984" s="6">
        <v>0</v>
      </c>
      <c r="E984" s="6">
        <v>0</v>
      </c>
      <c r="F984" s="6">
        <v>0</v>
      </c>
      <c r="N984" s="119">
        <v>0</v>
      </c>
      <c r="O984" s="119">
        <v>0</v>
      </c>
      <c r="P984" s="119">
        <v>0</v>
      </c>
      <c r="Q984" s="119">
        <v>0</v>
      </c>
      <c r="R984" s="116" t="s">
        <v>83</v>
      </c>
      <c r="S984" s="119">
        <v>0</v>
      </c>
      <c r="T984" s="119">
        <v>0</v>
      </c>
      <c r="U984" s="119">
        <v>0</v>
      </c>
      <c r="V984" s="119">
        <v>0</v>
      </c>
      <c r="W984" s="6">
        <v>519</v>
      </c>
      <c r="X984" s="40">
        <f t="shared" si="70"/>
        <v>150</v>
      </c>
      <c r="Y984" s="40">
        <f t="shared" si="71"/>
        <v>229</v>
      </c>
      <c r="Z984" s="59">
        <v>0.51249999999999996</v>
      </c>
      <c r="AA984" s="59">
        <v>0.48749999999999999</v>
      </c>
      <c r="AB984" s="61">
        <v>9.6339113680154135E-3</v>
      </c>
      <c r="AC984" s="61">
        <v>1.9267822736030828E-3</v>
      </c>
      <c r="AD984" s="61">
        <v>9.6339113680154145E-2</v>
      </c>
      <c r="AE984" s="61">
        <v>2.8901734104046242E-2</v>
      </c>
      <c r="AF984" s="61">
        <v>0</v>
      </c>
      <c r="AG984" s="61">
        <v>0.83044315992292872</v>
      </c>
      <c r="AH984" s="61">
        <v>3.2755298651252408E-2</v>
      </c>
      <c r="AI984" s="61">
        <v>0.16955684007707128</v>
      </c>
      <c r="AJ984" s="59">
        <v>0.62619999999999998</v>
      </c>
      <c r="AK984" s="59">
        <v>0</v>
      </c>
      <c r="AL984" s="3">
        <v>39</v>
      </c>
      <c r="AM984" s="3">
        <v>40</v>
      </c>
      <c r="AN984" s="3">
        <v>0</v>
      </c>
      <c r="AO984" s="3">
        <v>46</v>
      </c>
      <c r="AP984" s="3">
        <v>34</v>
      </c>
      <c r="AQ984" s="3">
        <v>34</v>
      </c>
      <c r="AR984" s="3">
        <v>36</v>
      </c>
      <c r="AS984" s="59">
        <v>0</v>
      </c>
      <c r="AT984" s="3">
        <v>1</v>
      </c>
      <c r="AU984" s="3">
        <v>6</v>
      </c>
      <c r="AV984" s="49">
        <v>79.113924050632903</v>
      </c>
      <c r="AW984" s="49">
        <v>16.455696202531598</v>
      </c>
      <c r="AX984" s="49">
        <v>4.43037974683544</v>
      </c>
      <c r="AY984" s="67">
        <v>0</v>
      </c>
      <c r="AZ984" s="63">
        <v>0.11055276381909548</v>
      </c>
      <c r="BA984" s="63">
        <v>9.0452261306532666E-2</v>
      </c>
      <c r="BB984" s="77">
        <v>92.949523616460596</v>
      </c>
      <c r="BC984" s="49">
        <v>58.965517241379303</v>
      </c>
      <c r="BD984" s="3"/>
      <c r="BE984" s="3"/>
      <c r="BF984" s="3"/>
      <c r="BG984" s="3"/>
      <c r="BH984" s="3"/>
      <c r="BI984" s="3"/>
      <c r="BJ984" s="3">
        <v>17.899999999999999</v>
      </c>
      <c r="BK984" s="126">
        <v>11478</v>
      </c>
      <c r="BL984" s="126">
        <v>47770</v>
      </c>
      <c r="BM984" s="126">
        <v>38850</v>
      </c>
      <c r="BN984" s="126">
        <v>37267</v>
      </c>
      <c r="BO984" s="59">
        <v>0</v>
      </c>
      <c r="BP984" s="59">
        <v>0.45119999999999999</v>
      </c>
      <c r="BQ984" s="59">
        <v>0.10489999999999999</v>
      </c>
      <c r="BR984" s="59">
        <v>1.26E-2</v>
      </c>
      <c r="BS984" s="59">
        <v>0</v>
      </c>
      <c r="BT984" s="49">
        <v>15.2</v>
      </c>
      <c r="BU984" s="59">
        <f t="shared" si="72"/>
        <v>0.56869999999999998</v>
      </c>
      <c r="BV984" s="59">
        <v>3.78E-2</v>
      </c>
      <c r="BW984" s="59">
        <v>0</v>
      </c>
      <c r="BX984" s="59">
        <v>2.52E-2</v>
      </c>
      <c r="BY984" s="59">
        <v>0</v>
      </c>
      <c r="BZ984" s="59">
        <v>0</v>
      </c>
      <c r="CA984" s="49">
        <v>10.6</v>
      </c>
      <c r="CB984" s="59">
        <f t="shared" si="73"/>
        <v>6.3E-2</v>
      </c>
      <c r="CC984" s="59">
        <v>0.3417</v>
      </c>
      <c r="CD984" s="59">
        <v>0.47770000000000001</v>
      </c>
      <c r="CE984" s="59">
        <v>0.14269999999999999</v>
      </c>
      <c r="CF984" s="59">
        <v>3.78E-2</v>
      </c>
      <c r="CG984" s="59">
        <v>0</v>
      </c>
      <c r="CH984" s="49">
        <v>13.3</v>
      </c>
      <c r="CI984" s="26" t="s">
        <v>110</v>
      </c>
      <c r="CJ984" s="18" t="s">
        <v>505</v>
      </c>
      <c r="CK984" s="20"/>
    </row>
    <row r="985" spans="1:89" x14ac:dyDescent="0.25">
      <c r="A985" s="18" t="s">
        <v>505</v>
      </c>
      <c r="B985" s="19" t="s">
        <v>107</v>
      </c>
      <c r="C985" s="26" t="s">
        <v>111</v>
      </c>
      <c r="D985" s="6">
        <v>0</v>
      </c>
      <c r="E985" s="6">
        <v>0</v>
      </c>
      <c r="F985" s="6">
        <v>0</v>
      </c>
      <c r="N985" s="119">
        <v>0</v>
      </c>
      <c r="O985" s="119">
        <v>0</v>
      </c>
      <c r="P985" s="119">
        <v>0</v>
      </c>
      <c r="Q985" s="119">
        <v>0</v>
      </c>
      <c r="R985" s="116" t="s">
        <v>83</v>
      </c>
      <c r="S985" s="119">
        <v>0</v>
      </c>
      <c r="T985" s="119">
        <v>0</v>
      </c>
      <c r="U985" s="119">
        <v>0</v>
      </c>
      <c r="V985" s="119">
        <v>0</v>
      </c>
      <c r="W985" s="6">
        <v>351</v>
      </c>
      <c r="X985" s="40">
        <f t="shared" si="70"/>
        <v>109</v>
      </c>
      <c r="Y985" s="40">
        <f t="shared" si="71"/>
        <v>160</v>
      </c>
      <c r="Z985" s="59">
        <v>0.4587</v>
      </c>
      <c r="AA985" s="59">
        <v>0.5413</v>
      </c>
      <c r="AB985" s="61">
        <v>5.6980056980056983E-3</v>
      </c>
      <c r="AC985" s="61">
        <v>0</v>
      </c>
      <c r="AD985" s="61">
        <v>3.1339031339031341E-2</v>
      </c>
      <c r="AE985" s="61">
        <v>2.8490028490028491E-2</v>
      </c>
      <c r="AF985" s="61">
        <v>0</v>
      </c>
      <c r="AG985" s="61">
        <v>0.9145299145299145</v>
      </c>
      <c r="AH985" s="61">
        <v>1.9943019943019943E-2</v>
      </c>
      <c r="AI985" s="61">
        <v>8.5470085470085472E-2</v>
      </c>
      <c r="AJ985" s="59">
        <v>0.66669999999999996</v>
      </c>
      <c r="AK985" s="59">
        <v>0</v>
      </c>
      <c r="AL985" s="3">
        <v>26</v>
      </c>
      <c r="AM985" s="3">
        <v>25</v>
      </c>
      <c r="AN985" s="3">
        <v>0</v>
      </c>
      <c r="AO985" s="3">
        <v>32</v>
      </c>
      <c r="AP985" s="3">
        <v>25</v>
      </c>
      <c r="AQ985" s="3">
        <v>29</v>
      </c>
      <c r="AR985" s="3">
        <v>23</v>
      </c>
      <c r="AS985" s="59">
        <v>0</v>
      </c>
      <c r="AT985" s="3">
        <v>1</v>
      </c>
      <c r="AU985" s="3">
        <v>6</v>
      </c>
      <c r="AV985" s="49">
        <v>84.108527131782992</v>
      </c>
      <c r="AW985" s="49">
        <v>13.178294573643401</v>
      </c>
      <c r="AX985" s="49">
        <v>2.32558139534884</v>
      </c>
      <c r="AY985" s="67">
        <v>0.387596899224806</v>
      </c>
      <c r="AZ985" s="63">
        <v>0.13819095477386933</v>
      </c>
      <c r="BA985" s="63">
        <v>5.0251256281407038E-2</v>
      </c>
      <c r="BB985" s="78">
        <v>91.798069666759304</v>
      </c>
      <c r="BC985" s="49">
        <v>62.9533678756477</v>
      </c>
      <c r="BD985" s="3"/>
      <c r="BE985" s="3"/>
      <c r="BF985" s="3"/>
      <c r="BG985" s="3"/>
      <c r="BH985" s="3"/>
      <c r="BI985" s="3"/>
      <c r="BJ985" s="3">
        <v>18.3</v>
      </c>
      <c r="BK985" s="126">
        <v>12557</v>
      </c>
      <c r="BL985" s="126">
        <v>48306</v>
      </c>
      <c r="BM985" s="126">
        <v>44770</v>
      </c>
      <c r="BN985" s="126">
        <v>35957</v>
      </c>
      <c r="BO985" s="59">
        <v>0</v>
      </c>
      <c r="BP985" s="59">
        <v>0.3478</v>
      </c>
      <c r="BQ985" s="59">
        <v>0.15040000000000001</v>
      </c>
      <c r="BR985" s="59">
        <v>0</v>
      </c>
      <c r="BS985" s="59">
        <v>0</v>
      </c>
      <c r="BT985" s="49">
        <v>13</v>
      </c>
      <c r="BU985" s="59">
        <f t="shared" si="72"/>
        <v>0.49819999999999998</v>
      </c>
      <c r="BV985" s="59">
        <v>3.2199999999999999E-2</v>
      </c>
      <c r="BW985" s="59">
        <v>0</v>
      </c>
      <c r="BX985" s="59">
        <v>3.2199999999999999E-2</v>
      </c>
      <c r="BY985" s="59">
        <v>0</v>
      </c>
      <c r="BZ985" s="59">
        <v>0</v>
      </c>
      <c r="CA985" s="49">
        <v>17.5</v>
      </c>
      <c r="CB985" s="59">
        <f t="shared" si="73"/>
        <v>6.4399999999999999E-2</v>
      </c>
      <c r="CC985" s="59">
        <v>0.42130000000000001</v>
      </c>
      <c r="CD985" s="59">
        <v>0.38</v>
      </c>
      <c r="CE985" s="59">
        <v>0.19869999999999999</v>
      </c>
      <c r="CF985" s="59">
        <v>0</v>
      </c>
      <c r="CG985" s="59">
        <v>0</v>
      </c>
      <c r="CH985" s="49">
        <v>12.5</v>
      </c>
      <c r="CI985" s="26" t="s">
        <v>111</v>
      </c>
      <c r="CJ985" s="18" t="s">
        <v>505</v>
      </c>
      <c r="CK985" s="20"/>
    </row>
    <row r="986" spans="1:89" x14ac:dyDescent="0.25">
      <c r="A986" s="18" t="s">
        <v>505</v>
      </c>
      <c r="B986" s="19" t="s">
        <v>107</v>
      </c>
      <c r="C986" s="26" t="s">
        <v>112</v>
      </c>
      <c r="D986" s="6">
        <v>0</v>
      </c>
      <c r="E986" s="6">
        <v>0</v>
      </c>
      <c r="F986" s="6">
        <v>0</v>
      </c>
      <c r="N986" s="119">
        <v>0</v>
      </c>
      <c r="O986" s="119">
        <v>0</v>
      </c>
      <c r="P986" s="119">
        <v>0</v>
      </c>
      <c r="Q986" s="119">
        <v>0</v>
      </c>
      <c r="R986" s="119">
        <v>0</v>
      </c>
      <c r="S986" s="119">
        <v>0</v>
      </c>
      <c r="T986" s="119">
        <v>0</v>
      </c>
      <c r="U986" s="119">
        <v>0</v>
      </c>
      <c r="V986" s="119">
        <v>0</v>
      </c>
      <c r="W986" s="6">
        <v>752</v>
      </c>
      <c r="X986" s="40">
        <f t="shared" si="70"/>
        <v>518</v>
      </c>
      <c r="Y986" s="40">
        <f t="shared" si="71"/>
        <v>752</v>
      </c>
      <c r="Z986" s="59">
        <v>0.496</v>
      </c>
      <c r="AA986" s="59">
        <v>0.504</v>
      </c>
      <c r="AB986" s="61">
        <v>2.6595744680851063E-3</v>
      </c>
      <c r="AC986" s="61">
        <v>0</v>
      </c>
      <c r="AD986" s="61">
        <v>2.2606382978723406E-2</v>
      </c>
      <c r="AE986" s="61">
        <v>2.1276595744680851E-2</v>
      </c>
      <c r="AF986" s="61">
        <v>0</v>
      </c>
      <c r="AG986" s="61">
        <v>0.93351063829787229</v>
      </c>
      <c r="AH986" s="61">
        <v>1.9946808510638299E-2</v>
      </c>
      <c r="AI986" s="61">
        <v>6.6489361702127658E-2</v>
      </c>
      <c r="AJ986" s="59">
        <v>0.47210000000000002</v>
      </c>
      <c r="AK986" s="59">
        <v>0</v>
      </c>
      <c r="AL986" s="3">
        <v>132</v>
      </c>
      <c r="AM986" s="3">
        <v>102</v>
      </c>
      <c r="AN986" s="3">
        <v>2</v>
      </c>
      <c r="AO986" s="3">
        <v>144</v>
      </c>
      <c r="AP986" s="3">
        <v>117</v>
      </c>
      <c r="AQ986" s="3">
        <v>127</v>
      </c>
      <c r="AR986" s="3">
        <v>128</v>
      </c>
      <c r="AS986" s="59">
        <v>1.3698630136986301E-2</v>
      </c>
      <c r="AT986" s="3">
        <v>7</v>
      </c>
      <c r="AU986" s="3">
        <v>6</v>
      </c>
      <c r="AV986" s="49">
        <v>68.723404255319195</v>
      </c>
      <c r="AW986" s="49">
        <v>16.170212765957402</v>
      </c>
      <c r="AX986" s="49">
        <v>14.680851063829801</v>
      </c>
      <c r="AY986" s="67">
        <v>0.42553191489361702</v>
      </c>
      <c r="AZ986" s="63">
        <v>0.11125158027812895</v>
      </c>
      <c r="BA986" s="63">
        <v>6.7003792667509485E-2</v>
      </c>
      <c r="BB986" s="77">
        <v>94.086534187792395</v>
      </c>
      <c r="BC986" s="49">
        <v>58.036809815950903</v>
      </c>
      <c r="BD986" s="3"/>
      <c r="BE986" s="3"/>
      <c r="BF986" s="3"/>
      <c r="BG986" s="3"/>
      <c r="BH986" s="3"/>
      <c r="BI986" s="3"/>
      <c r="BJ986" s="3">
        <v>19.600000000000001</v>
      </c>
      <c r="BK986" s="126">
        <v>8574</v>
      </c>
      <c r="BL986" s="126">
        <v>52512</v>
      </c>
      <c r="BM986" s="126">
        <v>33637</v>
      </c>
      <c r="BN986" s="126">
        <v>41416</v>
      </c>
      <c r="BO986" s="59">
        <v>0</v>
      </c>
      <c r="BP986" s="59">
        <v>0.38390000000000002</v>
      </c>
      <c r="BQ986" s="59">
        <v>0.216</v>
      </c>
      <c r="BR986" s="59">
        <v>0</v>
      </c>
      <c r="BS986" s="59">
        <v>0</v>
      </c>
      <c r="BT986" s="49">
        <v>14.9</v>
      </c>
      <c r="BU986" s="59">
        <f t="shared" si="72"/>
        <v>0.59989999999999999</v>
      </c>
      <c r="BV986" s="59">
        <v>2.8400000000000002E-2</v>
      </c>
      <c r="BW986" s="59">
        <v>1.4200000000000001E-2</v>
      </c>
      <c r="BX986" s="59">
        <v>2.5000000000000001E-2</v>
      </c>
      <c r="BY986" s="59">
        <v>0</v>
      </c>
      <c r="BZ986" s="59">
        <v>0</v>
      </c>
      <c r="CA986" s="49">
        <v>12.1</v>
      </c>
      <c r="CB986" s="59">
        <f t="shared" si="73"/>
        <v>6.7599999999999993E-2</v>
      </c>
      <c r="CC986" s="59">
        <v>0.28770000000000001</v>
      </c>
      <c r="CD986" s="59">
        <v>0.443</v>
      </c>
      <c r="CE986" s="59">
        <v>0.26929999999999998</v>
      </c>
      <c r="CF986" s="59">
        <v>0</v>
      </c>
      <c r="CG986" s="59">
        <v>0</v>
      </c>
      <c r="CH986" s="49">
        <v>13.7</v>
      </c>
      <c r="CI986" s="26" t="s">
        <v>112</v>
      </c>
      <c r="CJ986" s="18" t="s">
        <v>505</v>
      </c>
      <c r="CK986" s="20"/>
    </row>
    <row r="987" spans="1:89" x14ac:dyDescent="0.25">
      <c r="A987" s="18" t="s">
        <v>505</v>
      </c>
      <c r="B987" s="19" t="s">
        <v>113</v>
      </c>
      <c r="C987" s="26" t="s">
        <v>114</v>
      </c>
      <c r="D987" s="6">
        <v>3</v>
      </c>
      <c r="E987" s="6">
        <v>1</v>
      </c>
      <c r="F987" s="6">
        <v>2</v>
      </c>
      <c r="N987" s="119">
        <v>1.05263157894737E-2</v>
      </c>
      <c r="O987" s="119">
        <v>1.1695906432748499E-2</v>
      </c>
      <c r="P987" s="119">
        <v>0</v>
      </c>
      <c r="Q987" s="119">
        <v>1.6666666666666701E-2</v>
      </c>
      <c r="R987" s="116" t="s">
        <v>83</v>
      </c>
      <c r="S987" s="119">
        <v>0</v>
      </c>
      <c r="T987" s="119">
        <v>0</v>
      </c>
      <c r="U987" s="119">
        <v>2.27272727272727E-2</v>
      </c>
      <c r="V987" s="119">
        <v>2.7777777777777801E-2</v>
      </c>
      <c r="W987" s="6">
        <v>301</v>
      </c>
      <c r="X987" s="40">
        <f t="shared" si="70"/>
        <v>160</v>
      </c>
      <c r="Y987" s="40">
        <f t="shared" si="71"/>
        <v>256</v>
      </c>
      <c r="Z987" s="59">
        <v>0.48170000000000002</v>
      </c>
      <c r="AA987" s="59">
        <v>0.51829999999999998</v>
      </c>
      <c r="AB987" s="61">
        <v>0</v>
      </c>
      <c r="AC987" s="61">
        <v>0</v>
      </c>
      <c r="AD987" s="61">
        <v>0.94352159468438535</v>
      </c>
      <c r="AE987" s="61">
        <v>9.9667774086378731E-3</v>
      </c>
      <c r="AF987" s="61">
        <v>0</v>
      </c>
      <c r="AG987" s="61">
        <v>4.3189368770764118E-2</v>
      </c>
      <c r="AH987" s="61">
        <v>3.3222591362126247E-3</v>
      </c>
      <c r="AI987" s="61">
        <v>0.95681063122923593</v>
      </c>
      <c r="AJ987" s="59">
        <v>0.90700000000000003</v>
      </c>
      <c r="AK987" s="59">
        <v>6.6E-3</v>
      </c>
      <c r="AL987" s="3">
        <v>48</v>
      </c>
      <c r="AM987" s="3">
        <v>48</v>
      </c>
      <c r="AN987" s="3">
        <v>0</v>
      </c>
      <c r="AO987" s="3">
        <v>45</v>
      </c>
      <c r="AP987" s="3">
        <v>43</v>
      </c>
      <c r="AQ987" s="3">
        <v>39</v>
      </c>
      <c r="AR987" s="3">
        <v>33</v>
      </c>
      <c r="AS987" s="59">
        <v>0</v>
      </c>
      <c r="AT987" s="3">
        <v>6</v>
      </c>
      <c r="AU987" s="3">
        <v>6</v>
      </c>
      <c r="AV987" s="49">
        <v>90.853658536585399</v>
      </c>
      <c r="AW987" s="49">
        <v>6.7073170731707297</v>
      </c>
      <c r="AX987" s="49">
        <v>1.8292682926829298</v>
      </c>
      <c r="AY987" s="67">
        <v>0.60975609756097593</v>
      </c>
      <c r="AZ987" s="63">
        <v>0.20359281437125748</v>
      </c>
      <c r="BA987" s="63">
        <v>0.19461077844311378</v>
      </c>
      <c r="BB987" s="78">
        <v>95.887875591951499</v>
      </c>
      <c r="BC987" s="49">
        <v>37.313432835820898</v>
      </c>
      <c r="BD987" s="3"/>
      <c r="BE987" s="3"/>
      <c r="BF987" s="3"/>
      <c r="BG987" s="3"/>
      <c r="BH987" s="3"/>
      <c r="BI987" s="3"/>
      <c r="BJ987" s="3">
        <v>17.899999999999999</v>
      </c>
      <c r="BK987" s="126">
        <v>18994</v>
      </c>
      <c r="BL987" s="126">
        <v>52813</v>
      </c>
      <c r="BM987" s="126">
        <v>59635</v>
      </c>
      <c r="BN987" s="126">
        <v>43953</v>
      </c>
      <c r="BO987" s="59">
        <v>0</v>
      </c>
      <c r="BP987" s="59">
        <v>0.19650000000000001</v>
      </c>
      <c r="BQ987" s="59">
        <v>0.2893</v>
      </c>
      <c r="BR987" s="59">
        <v>0</v>
      </c>
      <c r="BS987" s="59">
        <v>0</v>
      </c>
      <c r="BT987" s="49">
        <v>16.600000000000001</v>
      </c>
      <c r="BU987" s="59">
        <f t="shared" si="72"/>
        <v>0.48580000000000001</v>
      </c>
      <c r="BV987" s="59">
        <v>0</v>
      </c>
      <c r="BW987" s="59">
        <v>1.72E-2</v>
      </c>
      <c r="BX987" s="59">
        <v>1.7000000000000001E-2</v>
      </c>
      <c r="BY987" s="59">
        <v>0</v>
      </c>
      <c r="BZ987" s="59">
        <v>0</v>
      </c>
      <c r="CA987" s="49">
        <v>21</v>
      </c>
      <c r="CB987" s="59">
        <f t="shared" si="73"/>
        <v>3.4200000000000001E-2</v>
      </c>
      <c r="CC987" s="59">
        <v>0.30869999999999997</v>
      </c>
      <c r="CD987" s="59">
        <v>0.26569999999999999</v>
      </c>
      <c r="CE987" s="59">
        <v>0.3916</v>
      </c>
      <c r="CF987" s="59">
        <v>3.4000000000000002E-2</v>
      </c>
      <c r="CG987" s="59">
        <v>0</v>
      </c>
      <c r="CH987" s="49">
        <v>16.100000000000001</v>
      </c>
      <c r="CI987" s="26" t="s">
        <v>114</v>
      </c>
      <c r="CJ987" s="18" t="s">
        <v>505</v>
      </c>
      <c r="CK987" s="20"/>
    </row>
    <row r="988" spans="1:89" x14ac:dyDescent="0.25">
      <c r="A988" s="18" t="s">
        <v>505</v>
      </c>
      <c r="B988" s="19" t="s">
        <v>113</v>
      </c>
      <c r="C988" s="26" t="s">
        <v>115</v>
      </c>
      <c r="D988" s="6">
        <v>1</v>
      </c>
      <c r="E988" s="6">
        <v>0</v>
      </c>
      <c r="F988" s="6">
        <v>1</v>
      </c>
      <c r="N988" s="119">
        <v>0.125</v>
      </c>
      <c r="O988" s="119">
        <v>0.16666666666666699</v>
      </c>
      <c r="P988" s="116" t="s">
        <v>83</v>
      </c>
      <c r="Q988" s="119">
        <v>0</v>
      </c>
      <c r="R988" s="116" t="s">
        <v>83</v>
      </c>
      <c r="S988" s="116" t="s">
        <v>83</v>
      </c>
      <c r="T988" s="119">
        <v>0</v>
      </c>
      <c r="U988" s="119">
        <v>0</v>
      </c>
      <c r="V988" s="119">
        <v>0.25</v>
      </c>
      <c r="W988" s="6">
        <v>32</v>
      </c>
      <c r="X988" s="40">
        <f t="shared" si="70"/>
        <v>5</v>
      </c>
      <c r="Y988" s="40">
        <f t="shared" si="71"/>
        <v>6</v>
      </c>
      <c r="Z988" s="59">
        <v>0.28129999999999999</v>
      </c>
      <c r="AA988" s="59">
        <v>0.71879999999999999</v>
      </c>
      <c r="AB988" s="61">
        <v>0</v>
      </c>
      <c r="AC988" s="61">
        <v>0</v>
      </c>
      <c r="AD988" s="61">
        <v>0.5625</v>
      </c>
      <c r="AE988" s="61">
        <v>0</v>
      </c>
      <c r="AF988" s="61">
        <v>0</v>
      </c>
      <c r="AG988" s="61">
        <v>0.4375</v>
      </c>
      <c r="AH988" s="61">
        <v>0</v>
      </c>
      <c r="AI988" s="61">
        <v>0.5625</v>
      </c>
      <c r="AJ988" s="59">
        <v>0.8125</v>
      </c>
      <c r="AK988" s="59">
        <v>0</v>
      </c>
      <c r="AL988" s="3">
        <v>0</v>
      </c>
      <c r="AM988" s="3">
        <v>1</v>
      </c>
      <c r="AN988" s="3">
        <v>0</v>
      </c>
      <c r="AO988" s="3">
        <v>0</v>
      </c>
      <c r="AP988" s="3">
        <v>1</v>
      </c>
      <c r="AQ988" s="3">
        <v>1</v>
      </c>
      <c r="AR988" s="3">
        <v>3</v>
      </c>
      <c r="AS988" s="59" t="s">
        <v>83</v>
      </c>
      <c r="AT988" s="3">
        <v>1</v>
      </c>
      <c r="AU988" s="3">
        <v>6</v>
      </c>
      <c r="AV988" s="49">
        <v>100</v>
      </c>
      <c r="AW988" s="49">
        <v>0</v>
      </c>
      <c r="AX988" s="49">
        <v>0</v>
      </c>
      <c r="AY988" s="67">
        <v>0</v>
      </c>
      <c r="AZ988" s="63">
        <v>0</v>
      </c>
      <c r="BA988" s="63">
        <v>0</v>
      </c>
      <c r="BB988" s="77">
        <v>84.600465477114</v>
      </c>
      <c r="BC988" s="49">
        <v>52.380952380952401</v>
      </c>
      <c r="BD988" s="3"/>
      <c r="BE988" s="3"/>
      <c r="BF988" s="3"/>
      <c r="BG988" s="3"/>
      <c r="BH988" s="3"/>
      <c r="BI988" s="3"/>
      <c r="BJ988" s="3"/>
      <c r="BK988" s="126">
        <v>82116</v>
      </c>
      <c r="BL988" s="126">
        <v>49161</v>
      </c>
      <c r="BM988" s="126">
        <v>25780</v>
      </c>
      <c r="BN988" s="126">
        <v>27825</v>
      </c>
      <c r="BO988" s="59">
        <v>0</v>
      </c>
      <c r="BP988" s="59">
        <v>0</v>
      </c>
      <c r="BQ988" s="59">
        <v>0.13020000000000001</v>
      </c>
      <c r="BR988" s="59">
        <v>0</v>
      </c>
      <c r="BS988" s="59">
        <v>0</v>
      </c>
      <c r="BT988" s="49">
        <v>4</v>
      </c>
      <c r="BU988" s="59">
        <f t="shared" si="72"/>
        <v>0.13020000000000001</v>
      </c>
      <c r="BV988" s="59">
        <v>0</v>
      </c>
      <c r="BW988" s="59">
        <v>4.3200000000000002E-2</v>
      </c>
      <c r="BX988" s="59">
        <v>4.3200000000000002E-2</v>
      </c>
      <c r="BY988" s="59">
        <v>0</v>
      </c>
      <c r="BZ988" s="59">
        <v>0</v>
      </c>
      <c r="CA988" s="49">
        <v>29</v>
      </c>
      <c r="CB988" s="59">
        <f t="shared" si="73"/>
        <v>8.6400000000000005E-2</v>
      </c>
      <c r="CC988" s="59">
        <v>0.77070000000000005</v>
      </c>
      <c r="CD988" s="59">
        <v>5.4899999999999997E-2</v>
      </c>
      <c r="CE988" s="59">
        <v>0.1744</v>
      </c>
      <c r="CF988" s="59">
        <v>0</v>
      </c>
      <c r="CG988" s="59">
        <v>0</v>
      </c>
      <c r="CH988" s="49">
        <v>16.5</v>
      </c>
      <c r="CI988" s="26" t="s">
        <v>115</v>
      </c>
      <c r="CJ988" s="18" t="s">
        <v>505</v>
      </c>
      <c r="CK988" s="20"/>
    </row>
    <row r="989" spans="1:89" x14ac:dyDescent="0.25">
      <c r="A989" s="18" t="s">
        <v>505</v>
      </c>
      <c r="B989" s="19" t="s">
        <v>113</v>
      </c>
      <c r="C989" s="26" t="s">
        <v>116</v>
      </c>
      <c r="D989" s="6">
        <v>3</v>
      </c>
      <c r="E989" s="6">
        <v>0</v>
      </c>
      <c r="F989" s="6">
        <v>3</v>
      </c>
      <c r="N989" s="119">
        <v>1.2E-2</v>
      </c>
      <c r="O989" s="119">
        <v>1.7543859649122799E-2</v>
      </c>
      <c r="P989" s="119">
        <v>0</v>
      </c>
      <c r="Q989" s="119">
        <v>0</v>
      </c>
      <c r="R989" s="116" t="s">
        <v>83</v>
      </c>
      <c r="S989" s="119">
        <v>2.2222222222222199E-2</v>
      </c>
      <c r="T989" s="119">
        <v>2.27272727272727E-2</v>
      </c>
      <c r="U989" s="119">
        <v>0</v>
      </c>
      <c r="V989" s="119">
        <v>2.5641025641025599E-2</v>
      </c>
      <c r="W989" s="6">
        <v>589</v>
      </c>
      <c r="X989" s="40">
        <f t="shared" si="70"/>
        <v>156</v>
      </c>
      <c r="Y989" s="40">
        <f t="shared" si="71"/>
        <v>233</v>
      </c>
      <c r="Z989" s="59">
        <v>0.51949999999999996</v>
      </c>
      <c r="AA989" s="59">
        <v>0.48049999999999998</v>
      </c>
      <c r="AB989" s="61">
        <v>1.697792869269949E-3</v>
      </c>
      <c r="AC989" s="61">
        <v>3.3955857385398981E-3</v>
      </c>
      <c r="AD989" s="61">
        <v>6.7911714770797965E-2</v>
      </c>
      <c r="AE989" s="61">
        <v>1.0186757215619695E-2</v>
      </c>
      <c r="AF989" s="61">
        <v>0</v>
      </c>
      <c r="AG989" s="61">
        <v>0.89813242784380309</v>
      </c>
      <c r="AH989" s="61">
        <v>1.8675721561969439E-2</v>
      </c>
      <c r="AI989" s="61">
        <v>0.10186757215619695</v>
      </c>
      <c r="AJ989" s="59">
        <v>0.5806</v>
      </c>
      <c r="AK989" s="59">
        <v>0</v>
      </c>
      <c r="AL989" s="3">
        <v>32</v>
      </c>
      <c r="AM989" s="3">
        <v>45</v>
      </c>
      <c r="AN989" s="3">
        <v>0</v>
      </c>
      <c r="AO989" s="3">
        <v>37</v>
      </c>
      <c r="AP989" s="3">
        <v>39</v>
      </c>
      <c r="AQ989" s="3">
        <v>42</v>
      </c>
      <c r="AR989" s="3">
        <v>38</v>
      </c>
      <c r="AS989" s="59">
        <v>0</v>
      </c>
      <c r="AT989" s="3">
        <v>1</v>
      </c>
      <c r="AU989" s="3">
        <v>6</v>
      </c>
      <c r="AV989" s="49">
        <v>72.183098591549296</v>
      </c>
      <c r="AW989" s="49">
        <v>26.056338028169002</v>
      </c>
      <c r="AX989" s="49">
        <v>1.05633802816901</v>
      </c>
      <c r="AY989" s="67">
        <v>0.70422535211267601</v>
      </c>
      <c r="AZ989" s="63">
        <v>9.5999999999999992E-3</v>
      </c>
      <c r="BA989" s="63">
        <v>7.0400000000000004E-2</v>
      </c>
      <c r="BB989" s="78">
        <v>93.027536068876003</v>
      </c>
      <c r="BC989" s="49">
        <v>65.391304347826093</v>
      </c>
      <c r="BD989" s="3"/>
      <c r="BE989" s="3"/>
      <c r="BF989" s="3"/>
      <c r="BG989" s="3"/>
      <c r="BH989" s="3"/>
      <c r="BI989" s="3"/>
      <c r="BJ989" s="3">
        <v>19.399999999999999</v>
      </c>
      <c r="BK989" s="126">
        <v>13735</v>
      </c>
      <c r="BL989" s="126">
        <v>51568</v>
      </c>
      <c r="BM989" s="126">
        <v>27347</v>
      </c>
      <c r="BN989" s="126">
        <v>41854</v>
      </c>
      <c r="BO989" s="59">
        <v>1.29E-2</v>
      </c>
      <c r="BP989" s="59">
        <v>0.38740000000000002</v>
      </c>
      <c r="BQ989" s="59">
        <v>0.2094</v>
      </c>
      <c r="BR989" s="59">
        <v>0</v>
      </c>
      <c r="BS989" s="59">
        <v>0</v>
      </c>
      <c r="BT989" s="49">
        <v>14</v>
      </c>
      <c r="BU989" s="59">
        <f t="shared" si="72"/>
        <v>0.60970000000000002</v>
      </c>
      <c r="BV989" s="59">
        <v>1.29E-2</v>
      </c>
      <c r="BW989" s="59">
        <v>2.0000000000000001E-4</v>
      </c>
      <c r="BX989" s="59">
        <v>0</v>
      </c>
      <c r="BY989" s="59">
        <v>0</v>
      </c>
      <c r="BZ989" s="59">
        <v>1.29E-2</v>
      </c>
      <c r="CA989" s="49">
        <v>26.5</v>
      </c>
      <c r="CB989" s="59">
        <f t="shared" si="73"/>
        <v>2.6000000000000002E-2</v>
      </c>
      <c r="CC989" s="59">
        <v>0.33779999999999999</v>
      </c>
      <c r="CD989" s="59">
        <v>0.4269</v>
      </c>
      <c r="CE989" s="59">
        <v>0.2223</v>
      </c>
      <c r="CF989" s="59">
        <v>0</v>
      </c>
      <c r="CG989" s="59">
        <v>1.29E-2</v>
      </c>
      <c r="CH989" s="49">
        <v>13.3</v>
      </c>
      <c r="CI989" s="26" t="s">
        <v>116</v>
      </c>
      <c r="CJ989" s="18" t="s">
        <v>505</v>
      </c>
      <c r="CK989" s="20"/>
    </row>
    <row r="990" spans="1:89" x14ac:dyDescent="0.25">
      <c r="A990" s="18" t="s">
        <v>505</v>
      </c>
      <c r="B990" s="19" t="s">
        <v>113</v>
      </c>
      <c r="C990" s="26" t="s">
        <v>117</v>
      </c>
      <c r="D990" s="6">
        <v>1</v>
      </c>
      <c r="E990" s="6">
        <v>1</v>
      </c>
      <c r="F990" s="6">
        <v>0</v>
      </c>
      <c r="N990" s="119">
        <v>1.0869565217391301E-2</v>
      </c>
      <c r="O990" s="119">
        <v>0</v>
      </c>
      <c r="P990" s="119">
        <v>6.25E-2</v>
      </c>
      <c r="Q990" s="119">
        <v>0</v>
      </c>
      <c r="R990" s="116" t="s">
        <v>83</v>
      </c>
      <c r="S990" s="119">
        <v>0</v>
      </c>
      <c r="T990" s="119">
        <v>0</v>
      </c>
      <c r="U990" s="119">
        <v>0</v>
      </c>
      <c r="V990" s="119">
        <v>0</v>
      </c>
      <c r="W990" s="6">
        <v>178</v>
      </c>
      <c r="X990" s="40">
        <f t="shared" si="70"/>
        <v>46</v>
      </c>
      <c r="Y990" s="40">
        <f t="shared" si="71"/>
        <v>85</v>
      </c>
      <c r="Z990" s="59">
        <v>0.4551</v>
      </c>
      <c r="AA990" s="59">
        <v>0.54490000000000005</v>
      </c>
      <c r="AB990" s="61">
        <v>0</v>
      </c>
      <c r="AC990" s="61">
        <v>5.6179775280898875E-3</v>
      </c>
      <c r="AD990" s="61">
        <v>0.8820224719101124</v>
      </c>
      <c r="AE990" s="61">
        <v>1.6853932584269662E-2</v>
      </c>
      <c r="AF990" s="61">
        <v>0</v>
      </c>
      <c r="AG990" s="61">
        <v>6.1797752808988762E-2</v>
      </c>
      <c r="AH990" s="61">
        <v>3.3707865168539325E-2</v>
      </c>
      <c r="AI990" s="61">
        <v>0.9382022471910112</v>
      </c>
      <c r="AJ990" s="59">
        <v>0.83709999999999996</v>
      </c>
      <c r="AK990" s="59">
        <v>5.5999999999999999E-3</v>
      </c>
      <c r="AL990" s="3">
        <v>15</v>
      </c>
      <c r="AM990" s="3">
        <v>24</v>
      </c>
      <c r="AN990" s="3">
        <v>0</v>
      </c>
      <c r="AO990" s="3">
        <v>8</v>
      </c>
      <c r="AP990" s="3">
        <v>9</v>
      </c>
      <c r="AQ990" s="3">
        <v>10</v>
      </c>
      <c r="AR990" s="3">
        <v>19</v>
      </c>
      <c r="AS990" s="59">
        <v>0</v>
      </c>
      <c r="AT990" s="3">
        <v>1</v>
      </c>
      <c r="AU990" s="3">
        <v>6</v>
      </c>
      <c r="AV990" s="49">
        <v>89.320388349514602</v>
      </c>
      <c r="AW990" s="49">
        <v>10.6796116504854</v>
      </c>
      <c r="AX990" s="49">
        <v>0</v>
      </c>
      <c r="AY990" s="67">
        <v>0</v>
      </c>
      <c r="AZ990" s="63">
        <v>3.1914893617021274E-2</v>
      </c>
      <c r="BA990" s="63">
        <v>8.5106382978723402E-2</v>
      </c>
      <c r="BB990" s="77">
        <v>97.599172011266106</v>
      </c>
      <c r="BC990" s="49">
        <v>23.8095238095238</v>
      </c>
      <c r="BD990" s="3"/>
      <c r="BE990" s="3"/>
      <c r="BF990" s="3"/>
      <c r="BG990" s="3"/>
      <c r="BH990" s="3"/>
      <c r="BI990" s="3"/>
      <c r="BJ990" s="3">
        <v>18.2</v>
      </c>
      <c r="BK990" s="126">
        <v>19601</v>
      </c>
      <c r="BL990" s="126">
        <v>55827</v>
      </c>
      <c r="BM990" s="126">
        <v>53283</v>
      </c>
      <c r="BN990" s="126">
        <v>43292</v>
      </c>
      <c r="BO990" s="59">
        <v>0</v>
      </c>
      <c r="BP990" s="59">
        <v>0.23680000000000001</v>
      </c>
      <c r="BQ990" s="59">
        <v>0.28920000000000001</v>
      </c>
      <c r="BR990" s="59">
        <v>0</v>
      </c>
      <c r="BS990" s="59">
        <v>0</v>
      </c>
      <c r="BT990" s="49">
        <v>17.399999999999999</v>
      </c>
      <c r="BU990" s="59">
        <f t="shared" si="72"/>
        <v>0.52600000000000002</v>
      </c>
      <c r="BV990" s="59">
        <v>0</v>
      </c>
      <c r="BW990" s="59">
        <v>0</v>
      </c>
      <c r="BX990" s="59">
        <v>5.2900000000000003E-2</v>
      </c>
      <c r="BY990" s="59">
        <v>0</v>
      </c>
      <c r="BZ990" s="59">
        <v>0</v>
      </c>
      <c r="CA990" s="49">
        <v>13.6</v>
      </c>
      <c r="CB990" s="59">
        <f t="shared" si="73"/>
        <v>5.2900000000000003E-2</v>
      </c>
      <c r="CC990" s="59">
        <v>0.36840000000000001</v>
      </c>
      <c r="CD990" s="59">
        <v>0.28949999999999998</v>
      </c>
      <c r="CE990" s="59">
        <v>0.34210000000000002</v>
      </c>
      <c r="CF990" s="59">
        <v>0</v>
      </c>
      <c r="CG990" s="59">
        <v>0</v>
      </c>
      <c r="CH990" s="49">
        <v>15.2</v>
      </c>
      <c r="CI990" s="26" t="s">
        <v>117</v>
      </c>
      <c r="CJ990" s="18" t="s">
        <v>505</v>
      </c>
      <c r="CK990" s="20"/>
    </row>
    <row r="991" spans="1:89" x14ac:dyDescent="0.25">
      <c r="A991" s="18" t="s">
        <v>505</v>
      </c>
      <c r="B991" s="19" t="s">
        <v>113</v>
      </c>
      <c r="C991" s="26" t="s">
        <v>118</v>
      </c>
      <c r="D991" s="6">
        <v>2</v>
      </c>
      <c r="E991" s="6">
        <v>0</v>
      </c>
      <c r="F991" s="6">
        <v>2</v>
      </c>
      <c r="N991" s="119">
        <v>9.2165898617511503E-3</v>
      </c>
      <c r="O991" s="119">
        <v>1.4285714285714299E-2</v>
      </c>
      <c r="P991" s="119">
        <v>0</v>
      </c>
      <c r="Q991" s="119">
        <v>0</v>
      </c>
      <c r="R991" s="116" t="s">
        <v>83</v>
      </c>
      <c r="S991" s="119">
        <v>0</v>
      </c>
      <c r="T991" s="119">
        <v>2.9411764705882401E-2</v>
      </c>
      <c r="U991" s="119">
        <v>2.9411764705882401E-2</v>
      </c>
      <c r="V991" s="119">
        <v>0</v>
      </c>
      <c r="W991" s="6">
        <v>251</v>
      </c>
      <c r="X991" s="40">
        <f t="shared" si="70"/>
        <v>128</v>
      </c>
      <c r="Y991" s="40">
        <f t="shared" si="71"/>
        <v>197</v>
      </c>
      <c r="Z991" s="59">
        <v>0.47410000000000002</v>
      </c>
      <c r="AA991" s="59">
        <v>0.52590000000000003</v>
      </c>
      <c r="AB991" s="61">
        <v>3.9840637450199202E-3</v>
      </c>
      <c r="AC991" s="61">
        <v>0</v>
      </c>
      <c r="AD991" s="61">
        <v>0.49402390438247012</v>
      </c>
      <c r="AE991" s="61">
        <v>1.1952191235059761E-2</v>
      </c>
      <c r="AF991" s="61">
        <v>0</v>
      </c>
      <c r="AG991" s="61">
        <v>0.47011952191235062</v>
      </c>
      <c r="AH991" s="61">
        <v>1.9920318725099601E-2</v>
      </c>
      <c r="AI991" s="61">
        <v>0.52988047808764938</v>
      </c>
      <c r="AJ991" s="59">
        <v>0.8367</v>
      </c>
      <c r="AK991" s="59">
        <v>1.2E-2</v>
      </c>
      <c r="AL991" s="3">
        <v>31</v>
      </c>
      <c r="AM991" s="3">
        <v>38</v>
      </c>
      <c r="AN991" s="3">
        <v>0</v>
      </c>
      <c r="AO991" s="3">
        <v>38</v>
      </c>
      <c r="AP991" s="3">
        <v>34</v>
      </c>
      <c r="AQ991" s="3">
        <v>25</v>
      </c>
      <c r="AR991" s="3">
        <v>31</v>
      </c>
      <c r="AS991" s="59">
        <v>0</v>
      </c>
      <c r="AT991" s="3">
        <v>6</v>
      </c>
      <c r="AU991" s="3">
        <v>6</v>
      </c>
      <c r="AV991" s="49">
        <v>78.947368421052602</v>
      </c>
      <c r="AW991" s="49">
        <v>20.300751879699199</v>
      </c>
      <c r="AX991" s="49">
        <v>0.75187969924812004</v>
      </c>
      <c r="AY991" s="67">
        <v>0</v>
      </c>
      <c r="AZ991" s="63">
        <v>7.5539568345323743E-2</v>
      </c>
      <c r="BA991" s="63">
        <v>5.7553956834532377E-2</v>
      </c>
      <c r="BB991" s="78">
        <v>93.306338028168994</v>
      </c>
      <c r="BC991" s="49">
        <v>52.517985611510802</v>
      </c>
      <c r="BD991" s="3"/>
      <c r="BE991" s="3"/>
      <c r="BF991" s="3"/>
      <c r="BG991" s="3"/>
      <c r="BH991" s="3"/>
      <c r="BI991" s="3"/>
      <c r="BJ991" s="3">
        <v>20</v>
      </c>
      <c r="BK991" s="126">
        <v>15667</v>
      </c>
      <c r="BL991" s="126">
        <v>53731</v>
      </c>
      <c r="BM991" s="126">
        <v>28438</v>
      </c>
      <c r="BN991" s="126">
        <v>40541</v>
      </c>
      <c r="BO991" s="59">
        <v>0</v>
      </c>
      <c r="BP991" s="59">
        <v>0.23769999999999999</v>
      </c>
      <c r="BQ991" s="59">
        <v>0.28539999999999999</v>
      </c>
      <c r="BR991" s="59">
        <v>0</v>
      </c>
      <c r="BS991" s="59">
        <v>0</v>
      </c>
      <c r="BT991" s="49">
        <v>15.4</v>
      </c>
      <c r="BU991" s="59">
        <f t="shared" si="72"/>
        <v>0.52310000000000001</v>
      </c>
      <c r="BV991" s="59">
        <v>2.3800000000000002E-2</v>
      </c>
      <c r="BW991" s="59">
        <v>0</v>
      </c>
      <c r="BX991" s="59">
        <v>4.0000000000000002E-4</v>
      </c>
      <c r="BY991" s="59">
        <v>0</v>
      </c>
      <c r="BZ991" s="59">
        <v>0</v>
      </c>
      <c r="CA991" s="49">
        <v>14</v>
      </c>
      <c r="CB991" s="59">
        <f t="shared" si="73"/>
        <v>2.4200000000000003E-2</v>
      </c>
      <c r="CC991" s="59">
        <v>0.42880000000000001</v>
      </c>
      <c r="CD991" s="59">
        <v>0.26150000000000001</v>
      </c>
      <c r="CE991" s="59">
        <v>0.30969999999999998</v>
      </c>
      <c r="CF991" s="59">
        <v>0</v>
      </c>
      <c r="CG991" s="59">
        <v>0</v>
      </c>
      <c r="CH991" s="49">
        <v>14.2</v>
      </c>
      <c r="CI991" s="26" t="s">
        <v>118</v>
      </c>
      <c r="CJ991" s="18" t="s">
        <v>505</v>
      </c>
      <c r="CK991" s="20"/>
    </row>
    <row r="992" spans="1:89" x14ac:dyDescent="0.25">
      <c r="A992" s="18" t="s">
        <v>505</v>
      </c>
      <c r="B992" s="19" t="s">
        <v>113</v>
      </c>
      <c r="C992" s="26" t="s">
        <v>119</v>
      </c>
      <c r="D992" s="6">
        <v>1</v>
      </c>
      <c r="E992" s="6">
        <v>0</v>
      </c>
      <c r="F992" s="6">
        <v>1</v>
      </c>
      <c r="N992" s="119">
        <v>5.1282051282051299E-3</v>
      </c>
      <c r="O992" s="119">
        <v>7.63358778625954E-3</v>
      </c>
      <c r="P992" s="119">
        <v>0</v>
      </c>
      <c r="Q992" s="119">
        <v>0</v>
      </c>
      <c r="R992" s="116" t="s">
        <v>83</v>
      </c>
      <c r="S992" s="119">
        <v>0</v>
      </c>
      <c r="T992" s="119">
        <v>0</v>
      </c>
      <c r="U992" s="119">
        <v>0</v>
      </c>
      <c r="V992" s="119">
        <v>3.2258064516128997E-2</v>
      </c>
      <c r="W992" s="6">
        <v>382</v>
      </c>
      <c r="X992" s="40">
        <f t="shared" si="70"/>
        <v>122</v>
      </c>
      <c r="Y992" s="40">
        <f t="shared" si="71"/>
        <v>176</v>
      </c>
      <c r="Z992" s="59">
        <v>0.55500000000000005</v>
      </c>
      <c r="AA992" s="59">
        <v>0.44500000000000001</v>
      </c>
      <c r="AB992" s="61">
        <v>0</v>
      </c>
      <c r="AC992" s="61">
        <v>2.617801047120419E-3</v>
      </c>
      <c r="AD992" s="61">
        <v>0.19109947643979058</v>
      </c>
      <c r="AE992" s="61">
        <v>1.832460732984293E-2</v>
      </c>
      <c r="AF992" s="61">
        <v>0</v>
      </c>
      <c r="AG992" s="61">
        <v>0.77225130890052351</v>
      </c>
      <c r="AH992" s="61">
        <v>1.5706806282722512E-2</v>
      </c>
      <c r="AI992" s="61">
        <v>0.22774869109947643</v>
      </c>
      <c r="AJ992" s="59">
        <v>0.51570000000000005</v>
      </c>
      <c r="AK992" s="59">
        <v>2.5999999999999999E-3</v>
      </c>
      <c r="AL992" s="3">
        <v>21</v>
      </c>
      <c r="AM992" s="3">
        <v>33</v>
      </c>
      <c r="AN992" s="3">
        <v>0</v>
      </c>
      <c r="AO992" s="3">
        <v>29</v>
      </c>
      <c r="AP992" s="3">
        <v>41</v>
      </c>
      <c r="AQ992" s="3">
        <v>23</v>
      </c>
      <c r="AR992" s="3">
        <v>29</v>
      </c>
      <c r="AS992" s="59">
        <v>0</v>
      </c>
      <c r="AT992" s="3">
        <v>1</v>
      </c>
      <c r="AU992" s="3">
        <v>6</v>
      </c>
      <c r="AV992" s="49">
        <v>76.373626373626408</v>
      </c>
      <c r="AW992" s="49">
        <v>17.032967032967001</v>
      </c>
      <c r="AX992" s="49">
        <v>6.0439560439560402</v>
      </c>
      <c r="AY992" s="67">
        <v>0.54945054945054894</v>
      </c>
      <c r="AZ992" s="63">
        <v>6.5727699530516437E-2</v>
      </c>
      <c r="BA992" s="63">
        <v>4.6948356807511738E-3</v>
      </c>
      <c r="BB992" s="77">
        <v>93.589963643172595</v>
      </c>
      <c r="BC992" s="49">
        <v>58.690176322418097</v>
      </c>
      <c r="BD992" s="3"/>
      <c r="BE992" s="3"/>
      <c r="BF992" s="3"/>
      <c r="BG992" s="3"/>
      <c r="BH992" s="3"/>
      <c r="BI992" s="3"/>
      <c r="BJ992" s="3">
        <v>19.7</v>
      </c>
      <c r="BK992" s="126">
        <v>14927</v>
      </c>
      <c r="BL992" s="126">
        <v>53622</v>
      </c>
      <c r="BM992" s="126">
        <v>50716</v>
      </c>
      <c r="BN992" s="126">
        <v>43227</v>
      </c>
      <c r="BO992" s="59">
        <v>0</v>
      </c>
      <c r="BP992" s="59">
        <v>0.40889999999999999</v>
      </c>
      <c r="BQ992" s="59">
        <v>0.14219999999999999</v>
      </c>
      <c r="BR992" s="59">
        <v>0</v>
      </c>
      <c r="BS992" s="59">
        <v>1.7500000000000002E-2</v>
      </c>
      <c r="BT992" s="49">
        <v>16.7</v>
      </c>
      <c r="BU992" s="59">
        <f t="shared" si="72"/>
        <v>0.56859999999999988</v>
      </c>
      <c r="BV992" s="59">
        <v>1.72E-2</v>
      </c>
      <c r="BW992" s="59">
        <v>0</v>
      </c>
      <c r="BX992" s="59">
        <v>1.78E-2</v>
      </c>
      <c r="BY992" s="59">
        <v>0</v>
      </c>
      <c r="BZ992" s="59">
        <v>2.9999999999999997E-4</v>
      </c>
      <c r="CA992" s="3">
        <v>10.199999999999999</v>
      </c>
      <c r="CB992" s="59">
        <f t="shared" si="73"/>
        <v>3.5300000000000005E-2</v>
      </c>
      <c r="CC992" s="59">
        <v>0.3599</v>
      </c>
      <c r="CD992" s="59">
        <v>0.46229999999999999</v>
      </c>
      <c r="CE992" s="59">
        <v>0.16</v>
      </c>
      <c r="CF992" s="59">
        <v>0</v>
      </c>
      <c r="CG992" s="59">
        <v>1.78E-2</v>
      </c>
      <c r="CH992" s="49">
        <v>15.1</v>
      </c>
      <c r="CI992" s="26" t="s">
        <v>119</v>
      </c>
      <c r="CJ992" s="18" t="s">
        <v>505</v>
      </c>
      <c r="CK992" s="20"/>
    </row>
    <row r="993" spans="1:99" x14ac:dyDescent="0.25">
      <c r="A993" s="18" t="s">
        <v>505</v>
      </c>
      <c r="B993" s="19" t="s">
        <v>120</v>
      </c>
      <c r="C993" s="26" t="s">
        <v>121</v>
      </c>
      <c r="D993" s="6">
        <v>25</v>
      </c>
      <c r="E993" s="40" t="s">
        <v>83</v>
      </c>
      <c r="F993" s="6">
        <v>25</v>
      </c>
      <c r="N993" s="119">
        <v>1.26454223571067E-2</v>
      </c>
      <c r="O993" s="119">
        <v>1.26454223571067E-2</v>
      </c>
      <c r="P993" s="116" t="s">
        <v>83</v>
      </c>
      <c r="Q993" s="116" t="s">
        <v>83</v>
      </c>
      <c r="R993" s="119">
        <v>0</v>
      </c>
      <c r="S993" s="119">
        <v>1.1673151750972799E-2</v>
      </c>
      <c r="T993" s="119">
        <v>1.17416829745597E-2</v>
      </c>
      <c r="U993" s="119">
        <v>8.4925690021231404E-3</v>
      </c>
      <c r="V993" s="119">
        <v>2.0501138952163999E-2</v>
      </c>
      <c r="W993" s="6">
        <v>1842</v>
      </c>
      <c r="X993" s="40">
        <f t="shared" si="70"/>
        <v>1842</v>
      </c>
      <c r="Y993" s="40">
        <f t="shared" si="71"/>
        <v>1842</v>
      </c>
      <c r="Z993" s="59">
        <v>0.4995</v>
      </c>
      <c r="AA993" s="59">
        <v>0.50049999999999994</v>
      </c>
      <c r="AB993" s="61">
        <v>3.8002171552660152E-3</v>
      </c>
      <c r="AC993" s="61">
        <v>2.2801302931596091E-2</v>
      </c>
      <c r="AD993" s="61">
        <v>0.3517915309446254</v>
      </c>
      <c r="AE993" s="61">
        <v>7.1661237785016291E-2</v>
      </c>
      <c r="AF993" s="61">
        <v>1.0857763300760044E-3</v>
      </c>
      <c r="AG993" s="61">
        <v>0.5217155266015201</v>
      </c>
      <c r="AH993" s="61">
        <v>2.714440825190011E-2</v>
      </c>
      <c r="AI993" s="61">
        <v>0.4782844733984799</v>
      </c>
      <c r="AJ993" s="59">
        <v>0.46579999999999999</v>
      </c>
      <c r="AK993" s="59">
        <v>1.9E-2</v>
      </c>
      <c r="AL993" s="3">
        <v>0</v>
      </c>
      <c r="AM993" s="3">
        <v>0</v>
      </c>
      <c r="AN993" s="3">
        <v>39</v>
      </c>
      <c r="AO993" s="3">
        <v>476</v>
      </c>
      <c r="AP993" s="3">
        <v>473</v>
      </c>
      <c r="AQ993" s="3">
        <v>434</v>
      </c>
      <c r="AR993" s="3">
        <v>420</v>
      </c>
      <c r="AS993" s="59">
        <v>7.5728155339805828E-2</v>
      </c>
      <c r="AT993" s="3">
        <v>9</v>
      </c>
      <c r="AU993" s="3">
        <v>6</v>
      </c>
      <c r="AV993" s="49">
        <v>50.375939849624096</v>
      </c>
      <c r="AW993" s="49">
        <v>21.303258145363397</v>
      </c>
      <c r="AX993" s="49">
        <v>24.686716791979901</v>
      </c>
      <c r="AY993" s="67">
        <v>3.6340852130325798</v>
      </c>
      <c r="AZ993" s="63">
        <v>0.16174974567650049</v>
      </c>
      <c r="BA993" s="63">
        <v>8.1383519837232965E-2</v>
      </c>
      <c r="BB993" s="78">
        <v>93.057164142663098</v>
      </c>
      <c r="BC993" s="49">
        <v>46.4250248262165</v>
      </c>
      <c r="BD993" s="3"/>
      <c r="BE993" s="3"/>
      <c r="BF993" s="3"/>
      <c r="BG993" s="3"/>
      <c r="BH993" s="3"/>
      <c r="BI993" s="3"/>
      <c r="BJ993" s="3">
        <v>21.2</v>
      </c>
      <c r="BK993" s="126">
        <v>9555</v>
      </c>
      <c r="BL993" s="126">
        <v>53884</v>
      </c>
      <c r="BM993" s="126">
        <v>55862</v>
      </c>
      <c r="BN993" s="126">
        <v>43862</v>
      </c>
      <c r="BO993" s="59">
        <v>0</v>
      </c>
      <c r="BP993" s="59">
        <v>0.29139999999999999</v>
      </c>
      <c r="BQ993" s="59">
        <v>0.29220000000000002</v>
      </c>
      <c r="BR993" s="59">
        <v>0</v>
      </c>
      <c r="BS993" s="59">
        <v>0</v>
      </c>
      <c r="BT993" s="49">
        <v>12.5</v>
      </c>
      <c r="BU993" s="59">
        <f t="shared" si="72"/>
        <v>0.58360000000000001</v>
      </c>
      <c r="BV993" s="59">
        <v>1.7600000000000001E-2</v>
      </c>
      <c r="BW993" s="59">
        <v>1.06E-2</v>
      </c>
      <c r="BX993" s="59">
        <v>2.3400000000000001E-2</v>
      </c>
      <c r="BY993" s="59">
        <v>0</v>
      </c>
      <c r="BZ993" s="59">
        <v>0</v>
      </c>
      <c r="CA993" s="3">
        <v>17.899999999999999</v>
      </c>
      <c r="CB993" s="59">
        <f t="shared" si="73"/>
        <v>5.1600000000000007E-2</v>
      </c>
      <c r="CC993" s="59">
        <v>0.29459999999999997</v>
      </c>
      <c r="CD993" s="59">
        <v>0.34300000000000003</v>
      </c>
      <c r="CE993" s="59">
        <v>0.35659999999999997</v>
      </c>
      <c r="CF993" s="59">
        <v>5.8999999999999999E-3</v>
      </c>
      <c r="CG993" s="59">
        <v>0</v>
      </c>
      <c r="CH993" s="49">
        <v>11.8</v>
      </c>
      <c r="CI993" s="26" t="s">
        <v>121</v>
      </c>
      <c r="CJ993" s="18" t="s">
        <v>505</v>
      </c>
      <c r="CK993" s="20"/>
    </row>
    <row r="994" spans="1:99" x14ac:dyDescent="0.25">
      <c r="A994" s="18" t="s">
        <v>505</v>
      </c>
      <c r="B994" s="19" t="s">
        <v>120</v>
      </c>
      <c r="C994" s="26" t="s">
        <v>122</v>
      </c>
      <c r="D994" s="6">
        <v>10</v>
      </c>
      <c r="E994" s="40" t="s">
        <v>83</v>
      </c>
      <c r="F994" s="6">
        <v>10</v>
      </c>
      <c r="N994" s="119">
        <v>8.4104289318755292E-3</v>
      </c>
      <c r="O994" s="119">
        <v>8.4104289318755292E-3</v>
      </c>
      <c r="P994" s="116" t="s">
        <v>83</v>
      </c>
      <c r="Q994" s="116" t="s">
        <v>83</v>
      </c>
      <c r="R994" s="119">
        <v>7.1428571428571397E-2</v>
      </c>
      <c r="S994" s="119">
        <v>8.4745762711864406E-3</v>
      </c>
      <c r="T994" s="119">
        <v>9.2879256965944304E-3</v>
      </c>
      <c r="U994" s="119">
        <v>7.2992700729926996E-3</v>
      </c>
      <c r="V994" s="119">
        <v>4.4642857142857097E-3</v>
      </c>
      <c r="W994" s="6">
        <v>1139</v>
      </c>
      <c r="X994" s="40">
        <f t="shared" si="70"/>
        <v>1139</v>
      </c>
      <c r="Y994" s="40">
        <f t="shared" si="71"/>
        <v>1139</v>
      </c>
      <c r="Z994" s="59">
        <v>0.46800000000000003</v>
      </c>
      <c r="AA994" s="59">
        <v>0.53200000000000003</v>
      </c>
      <c r="AB994" s="61">
        <v>2.6338893766461808E-3</v>
      </c>
      <c r="AC994" s="61">
        <v>7.0237050043898156E-3</v>
      </c>
      <c r="AD994" s="61">
        <v>0.14486391571553994</v>
      </c>
      <c r="AE994" s="61">
        <v>3.9508340649692712E-2</v>
      </c>
      <c r="AF994" s="61">
        <v>0</v>
      </c>
      <c r="AG994" s="61">
        <v>0.77787532923617209</v>
      </c>
      <c r="AH994" s="61">
        <v>2.8094820017559263E-2</v>
      </c>
      <c r="AI994" s="61">
        <v>0.22212467076382791</v>
      </c>
      <c r="AJ994" s="59">
        <v>0.25019999999999998</v>
      </c>
      <c r="AK994" s="59">
        <v>1.8E-3</v>
      </c>
      <c r="AL994" s="3">
        <v>0</v>
      </c>
      <c r="AM994" s="3">
        <v>0</v>
      </c>
      <c r="AN994" s="3">
        <v>12</v>
      </c>
      <c r="AO994" s="3">
        <v>339</v>
      </c>
      <c r="AP994" s="3">
        <v>310</v>
      </c>
      <c r="AQ994" s="3">
        <v>259</v>
      </c>
      <c r="AR994" s="3">
        <v>219</v>
      </c>
      <c r="AS994" s="59">
        <v>3.4188034188034191E-2</v>
      </c>
      <c r="AT994" s="3">
        <v>9</v>
      </c>
      <c r="AU994" s="3">
        <v>6</v>
      </c>
      <c r="AV994" s="49">
        <v>54.980842911877403</v>
      </c>
      <c r="AW994" s="49">
        <v>26.245210727969297</v>
      </c>
      <c r="AX994" s="49">
        <v>17.4329501915709</v>
      </c>
      <c r="AY994" s="67">
        <v>1.3409961685823801</v>
      </c>
      <c r="AZ994" s="63">
        <v>0.16793248945147679</v>
      </c>
      <c r="BA994" s="63">
        <v>7.0886075949367092E-2</v>
      </c>
      <c r="BB994" s="77">
        <v>92.914095435938194</v>
      </c>
      <c r="BC994" s="49">
        <v>47.638773819386898</v>
      </c>
      <c r="BD994" s="3"/>
      <c r="BE994" s="3"/>
      <c r="BF994" s="3"/>
      <c r="BG994" s="3"/>
      <c r="BH994" s="3"/>
      <c r="BI994" s="3"/>
      <c r="BJ994" s="3">
        <v>21.7</v>
      </c>
      <c r="BK994" s="126">
        <v>10094</v>
      </c>
      <c r="BL994" s="126">
        <v>56166</v>
      </c>
      <c r="BM994" s="126">
        <v>55186</v>
      </c>
      <c r="BN994" s="126">
        <v>44284</v>
      </c>
      <c r="BO994" s="59">
        <v>0</v>
      </c>
      <c r="BP994" s="59">
        <v>0.31069999999999998</v>
      </c>
      <c r="BQ994" s="59">
        <v>0.2288</v>
      </c>
      <c r="BR994" s="59">
        <v>0</v>
      </c>
      <c r="BS994" s="59">
        <v>0</v>
      </c>
      <c r="BT994" s="49">
        <v>14</v>
      </c>
      <c r="BU994" s="59">
        <f t="shared" si="72"/>
        <v>0.53949999999999998</v>
      </c>
      <c r="BV994" s="59">
        <v>2.6700000000000002E-2</v>
      </c>
      <c r="BW994" s="59">
        <v>0</v>
      </c>
      <c r="BX994" s="59">
        <v>2.6700000000000002E-2</v>
      </c>
      <c r="BY994" s="59">
        <v>0</v>
      </c>
      <c r="BZ994" s="59">
        <v>0</v>
      </c>
      <c r="CA994" s="49">
        <v>12</v>
      </c>
      <c r="CB994" s="59">
        <f t="shared" si="73"/>
        <v>5.3400000000000003E-2</v>
      </c>
      <c r="CC994" s="59">
        <v>0.3538</v>
      </c>
      <c r="CD994" s="59">
        <v>0.32850000000000001</v>
      </c>
      <c r="CE994" s="59">
        <v>0.31780000000000003</v>
      </c>
      <c r="CF994" s="59">
        <v>0</v>
      </c>
      <c r="CG994" s="59">
        <v>0</v>
      </c>
      <c r="CH994" s="3">
        <v>12.2</v>
      </c>
      <c r="CI994" s="26" t="s">
        <v>122</v>
      </c>
      <c r="CJ994" s="18" t="s">
        <v>505</v>
      </c>
      <c r="CK994" s="20"/>
    </row>
    <row r="995" spans="1:99" x14ac:dyDescent="0.25">
      <c r="A995" s="18" t="s">
        <v>505</v>
      </c>
      <c r="B995" s="19" t="s">
        <v>120</v>
      </c>
      <c r="C995" s="26" t="s">
        <v>123</v>
      </c>
      <c r="D995" s="6">
        <v>42</v>
      </c>
      <c r="E995" s="40" t="s">
        <v>83</v>
      </c>
      <c r="F995" s="6">
        <v>42</v>
      </c>
      <c r="N995" s="119">
        <v>4.57018498367791E-2</v>
      </c>
      <c r="O995" s="119">
        <v>4.57018498367791E-2</v>
      </c>
      <c r="P995" s="116" t="s">
        <v>83</v>
      </c>
      <c r="Q995" s="116" t="s">
        <v>83</v>
      </c>
      <c r="R995" s="119">
        <v>2.27272727272727E-2</v>
      </c>
      <c r="S995" s="119">
        <v>1.4705882352941201E-2</v>
      </c>
      <c r="T995" s="119">
        <v>4.7008547008547001E-2</v>
      </c>
      <c r="U995" s="119">
        <v>7.4468085106383003E-2</v>
      </c>
      <c r="V995" s="119">
        <v>5.22088353413655E-2</v>
      </c>
      <c r="W995" s="6">
        <v>790</v>
      </c>
      <c r="X995" s="40">
        <f t="shared" si="70"/>
        <v>790</v>
      </c>
      <c r="Y995" s="40">
        <f t="shared" si="71"/>
        <v>790</v>
      </c>
      <c r="Z995" s="59">
        <v>0.47970000000000002</v>
      </c>
      <c r="AA995" s="59">
        <v>0.52029999999999998</v>
      </c>
      <c r="AB995" s="61">
        <v>2.5316455696202532E-3</v>
      </c>
      <c r="AC995" s="61">
        <v>7.5949367088607592E-3</v>
      </c>
      <c r="AD995" s="61">
        <v>0.58860759493670889</v>
      </c>
      <c r="AE995" s="61">
        <v>0.15569620253164557</v>
      </c>
      <c r="AF995" s="61">
        <v>0</v>
      </c>
      <c r="AG995" s="61">
        <v>0.21518987341772153</v>
      </c>
      <c r="AH995" s="61">
        <v>3.0379746835443037E-2</v>
      </c>
      <c r="AI995" s="61">
        <v>0.78481012658227844</v>
      </c>
      <c r="AJ995" s="59">
        <v>0.77969999999999995</v>
      </c>
      <c r="AK995" s="59">
        <v>6.2E-2</v>
      </c>
      <c r="AL995" s="3">
        <v>0</v>
      </c>
      <c r="AM995" s="3">
        <v>0</v>
      </c>
      <c r="AN995" s="3">
        <v>42</v>
      </c>
      <c r="AO995" s="3">
        <v>167</v>
      </c>
      <c r="AP995" s="3">
        <v>200</v>
      </c>
      <c r="AQ995" s="3">
        <v>154</v>
      </c>
      <c r="AR995" s="3">
        <v>227</v>
      </c>
      <c r="AS995" s="59">
        <v>0.20095693779904306</v>
      </c>
      <c r="AT995" s="3">
        <v>9</v>
      </c>
      <c r="AU995" s="3">
        <v>6</v>
      </c>
      <c r="AV995" s="49">
        <v>69.4638694638695</v>
      </c>
      <c r="AW995" s="49">
        <v>17.7156177156177</v>
      </c>
      <c r="AX995" s="49">
        <v>11.188811188811201</v>
      </c>
      <c r="AY995" s="67">
        <v>1.63170163170163</v>
      </c>
      <c r="AZ995" s="63">
        <v>6.6885964912280702E-2</v>
      </c>
      <c r="BA995" s="63">
        <v>0.11074561403508772</v>
      </c>
      <c r="BB995" s="78">
        <v>89.629463596745893</v>
      </c>
      <c r="BC995" s="49">
        <v>51.196670135275802</v>
      </c>
      <c r="BD995" s="3"/>
      <c r="BE995" s="3"/>
      <c r="BF995" s="3"/>
      <c r="BG995" s="3"/>
      <c r="BH995" s="3"/>
      <c r="BI995" s="3"/>
      <c r="BJ995" s="3">
        <v>16.899999999999999</v>
      </c>
      <c r="BK995" s="126">
        <v>10916</v>
      </c>
      <c r="BL995" s="126">
        <v>55447</v>
      </c>
      <c r="BM995" s="126">
        <v>53205</v>
      </c>
      <c r="BN995" s="126">
        <v>44744</v>
      </c>
      <c r="BO995" s="59">
        <v>0</v>
      </c>
      <c r="BP995" s="59">
        <v>0.37319999999999998</v>
      </c>
      <c r="BQ995" s="59">
        <v>0.15490000000000001</v>
      </c>
      <c r="BR995" s="59">
        <v>0</v>
      </c>
      <c r="BS995" s="59">
        <v>0</v>
      </c>
      <c r="BT995" s="49">
        <v>12.9</v>
      </c>
      <c r="BU995" s="59">
        <f t="shared" si="72"/>
        <v>0.52810000000000001</v>
      </c>
      <c r="BV995" s="59">
        <v>4.8099999999999997E-2</v>
      </c>
      <c r="BW995" s="59">
        <v>0</v>
      </c>
      <c r="BX995" s="59">
        <v>3.61E-2</v>
      </c>
      <c r="BY995" s="59">
        <v>0</v>
      </c>
      <c r="BZ995" s="59">
        <v>0</v>
      </c>
      <c r="CA995" s="3">
        <v>16.7</v>
      </c>
      <c r="CB995" s="59">
        <f t="shared" si="73"/>
        <v>8.4199999999999997E-2</v>
      </c>
      <c r="CC995" s="59">
        <v>0.36830000000000002</v>
      </c>
      <c r="CD995" s="59">
        <v>0.38059999999999999</v>
      </c>
      <c r="CE995" s="59">
        <v>0.25109999999999999</v>
      </c>
      <c r="CF995" s="59">
        <v>0</v>
      </c>
      <c r="CG995" s="59">
        <v>0</v>
      </c>
      <c r="CH995" s="3">
        <v>12.4</v>
      </c>
      <c r="CI995" s="26" t="s">
        <v>123</v>
      </c>
      <c r="CJ995" s="18" t="s">
        <v>505</v>
      </c>
      <c r="CK995" s="20"/>
    </row>
    <row r="996" spans="1:99" x14ac:dyDescent="0.25">
      <c r="A996" s="18" t="s">
        <v>505</v>
      </c>
      <c r="B996" s="19" t="s">
        <v>120</v>
      </c>
      <c r="C996" s="26" t="s">
        <v>124</v>
      </c>
      <c r="D996" s="6">
        <v>26</v>
      </c>
      <c r="E996" s="40" t="s">
        <v>83</v>
      </c>
      <c r="F996" s="6">
        <v>26</v>
      </c>
      <c r="N996" s="119">
        <v>1.91740412979351E-2</v>
      </c>
      <c r="O996" s="119">
        <v>1.91740412979351E-2</v>
      </c>
      <c r="P996" s="116" t="s">
        <v>83</v>
      </c>
      <c r="Q996" s="116" t="s">
        <v>83</v>
      </c>
      <c r="R996" s="119">
        <v>7.69230769230769E-2</v>
      </c>
      <c r="S996" s="119">
        <v>5.2219321148825101E-3</v>
      </c>
      <c r="T996" s="119">
        <v>2.3188405797101502E-2</v>
      </c>
      <c r="U996" s="119">
        <v>2.2801302931596101E-2</v>
      </c>
      <c r="V996" s="119">
        <v>2.5974025974026E-2</v>
      </c>
      <c r="W996" s="6">
        <v>1267</v>
      </c>
      <c r="X996" s="40">
        <f t="shared" si="70"/>
        <v>1267</v>
      </c>
      <c r="Y996" s="40">
        <f t="shared" si="71"/>
        <v>1267</v>
      </c>
      <c r="Z996" s="59">
        <v>0.45619999999999999</v>
      </c>
      <c r="AA996" s="59">
        <v>0.54379999999999995</v>
      </c>
      <c r="AB996" s="61">
        <v>3.9463299131807421E-3</v>
      </c>
      <c r="AC996" s="61">
        <v>7.1033938437253356E-3</v>
      </c>
      <c r="AD996" s="61">
        <v>0.15706393054459353</v>
      </c>
      <c r="AE996" s="61">
        <v>5.6827150749802685E-2</v>
      </c>
      <c r="AF996" s="61">
        <v>3.1570639305445935E-3</v>
      </c>
      <c r="AG996" s="61">
        <v>0.74348855564325178</v>
      </c>
      <c r="AH996" s="61">
        <v>2.8413575374901343E-2</v>
      </c>
      <c r="AI996" s="61">
        <v>0.25651144435674822</v>
      </c>
      <c r="AJ996" s="59">
        <v>0.46489999999999998</v>
      </c>
      <c r="AK996" s="59">
        <v>9.4999999999999998E-3</v>
      </c>
      <c r="AL996" s="3">
        <v>0</v>
      </c>
      <c r="AM996" s="3">
        <v>0</v>
      </c>
      <c r="AN996" s="3">
        <v>12</v>
      </c>
      <c r="AO996" s="3">
        <v>351</v>
      </c>
      <c r="AP996" s="3">
        <v>319</v>
      </c>
      <c r="AQ996" s="3">
        <v>291</v>
      </c>
      <c r="AR996" s="3">
        <v>294</v>
      </c>
      <c r="AS996" s="59">
        <v>3.3057851239669422E-2</v>
      </c>
      <c r="AT996" s="3">
        <v>9</v>
      </c>
      <c r="AU996" s="3">
        <v>6</v>
      </c>
      <c r="AV996" s="49">
        <v>48.6111111111111</v>
      </c>
      <c r="AW996" s="49">
        <v>21.825396825396801</v>
      </c>
      <c r="AX996" s="49">
        <v>25</v>
      </c>
      <c r="AY996" s="67">
        <v>4.5634920634920597</v>
      </c>
      <c r="AZ996" s="63">
        <v>0.18446601941747573</v>
      </c>
      <c r="BA996" s="63">
        <v>8.2150858849887973E-2</v>
      </c>
      <c r="BB996" s="77">
        <v>91.872194228126403</v>
      </c>
      <c r="BC996" s="49">
        <v>46.394756008740003</v>
      </c>
      <c r="BD996" s="3"/>
      <c r="BE996" s="3"/>
      <c r="BF996" s="3"/>
      <c r="BG996" s="3"/>
      <c r="BH996" s="3"/>
      <c r="BI996" s="3"/>
      <c r="BJ996" s="3">
        <v>20</v>
      </c>
      <c r="BK996" s="126">
        <v>10136</v>
      </c>
      <c r="BL996" s="126">
        <v>56056</v>
      </c>
      <c r="BM996" s="126">
        <v>58290</v>
      </c>
      <c r="BN996" s="126">
        <v>45571</v>
      </c>
      <c r="BO996" s="59">
        <v>0</v>
      </c>
      <c r="BP996" s="59">
        <v>0.30209999999999998</v>
      </c>
      <c r="BQ996" s="59">
        <v>0.25879999999999997</v>
      </c>
      <c r="BR996" s="59">
        <v>0</v>
      </c>
      <c r="BS996" s="59">
        <v>0</v>
      </c>
      <c r="BT996" s="3">
        <v>14.2</v>
      </c>
      <c r="BU996" s="59">
        <f t="shared" si="72"/>
        <v>0.56089999999999995</v>
      </c>
      <c r="BV996" s="59">
        <v>3.2500000000000001E-2</v>
      </c>
      <c r="BW996" s="59">
        <v>0</v>
      </c>
      <c r="BX996" s="59">
        <v>2.4299999999999999E-2</v>
      </c>
      <c r="BY996" s="59">
        <v>0</v>
      </c>
      <c r="BZ996" s="59">
        <v>0</v>
      </c>
      <c r="CA996" s="3">
        <v>26.7</v>
      </c>
      <c r="CB996" s="59">
        <f t="shared" si="73"/>
        <v>5.6800000000000003E-2</v>
      </c>
      <c r="CC996" s="59">
        <v>0.3579</v>
      </c>
      <c r="CD996" s="59">
        <v>0.30209999999999998</v>
      </c>
      <c r="CE996" s="59">
        <v>0.33989999999999998</v>
      </c>
      <c r="CF996" s="59">
        <v>0</v>
      </c>
      <c r="CG996" s="59">
        <v>0</v>
      </c>
      <c r="CH996" s="3">
        <v>13.4</v>
      </c>
      <c r="CI996" s="26" t="s">
        <v>124</v>
      </c>
      <c r="CJ996" s="18" t="s">
        <v>505</v>
      </c>
      <c r="CK996" s="20"/>
    </row>
    <row r="997" spans="1:99" x14ac:dyDescent="0.25">
      <c r="A997" s="18" t="s">
        <v>505</v>
      </c>
      <c r="B997" s="19" t="s">
        <v>120</v>
      </c>
      <c r="C997" s="26" t="s">
        <v>125</v>
      </c>
      <c r="D997" s="6">
        <v>20</v>
      </c>
      <c r="E997" s="40" t="s">
        <v>83</v>
      </c>
      <c r="F997" s="6">
        <v>20</v>
      </c>
      <c r="N997" s="119">
        <v>1.43472022955524E-2</v>
      </c>
      <c r="O997" s="119">
        <v>1.43472022955524E-2</v>
      </c>
      <c r="P997" s="116" t="s">
        <v>83</v>
      </c>
      <c r="Q997" s="116" t="s">
        <v>83</v>
      </c>
      <c r="R997" s="119">
        <v>0</v>
      </c>
      <c r="S997" s="119">
        <v>0</v>
      </c>
      <c r="T997" s="119">
        <v>2.81329923273657E-2</v>
      </c>
      <c r="U997" s="119">
        <v>1.21951219512195E-2</v>
      </c>
      <c r="V997" s="119">
        <v>1.5923566878980899E-2</v>
      </c>
      <c r="W997" s="6">
        <v>1296</v>
      </c>
      <c r="X997" s="40">
        <f t="shared" si="70"/>
        <v>1296</v>
      </c>
      <c r="Y997" s="40">
        <f t="shared" si="71"/>
        <v>1296</v>
      </c>
      <c r="Z997" s="59">
        <v>0.47839999999999999</v>
      </c>
      <c r="AA997" s="59">
        <v>0.52159999999999995</v>
      </c>
      <c r="AB997" s="61">
        <v>3.8580246913580245E-3</v>
      </c>
      <c r="AC997" s="61">
        <v>2.0833333333333332E-2</v>
      </c>
      <c r="AD997" s="61">
        <v>0.24305555555555555</v>
      </c>
      <c r="AE997" s="61">
        <v>6.8672839506172839E-2</v>
      </c>
      <c r="AF997" s="61">
        <v>7.716049382716049E-4</v>
      </c>
      <c r="AG997" s="61">
        <v>0.61188271604938271</v>
      </c>
      <c r="AH997" s="61">
        <v>5.0925925925925923E-2</v>
      </c>
      <c r="AI997" s="61">
        <v>0.38811728395061729</v>
      </c>
      <c r="AJ997" s="59">
        <v>0.41820000000000002</v>
      </c>
      <c r="AK997" s="59">
        <v>1.0800000000000001E-2</v>
      </c>
      <c r="AL997" s="3">
        <v>0</v>
      </c>
      <c r="AM997" s="3">
        <v>0</v>
      </c>
      <c r="AN997" s="3">
        <v>17</v>
      </c>
      <c r="AO997" s="3">
        <v>314</v>
      </c>
      <c r="AP997" s="3">
        <v>355</v>
      </c>
      <c r="AQ997" s="3">
        <v>307</v>
      </c>
      <c r="AR997" s="3">
        <v>303</v>
      </c>
      <c r="AS997" s="59">
        <v>5.1359516616314202E-2</v>
      </c>
      <c r="AT997" s="3">
        <v>9</v>
      </c>
      <c r="AU997" s="3">
        <v>6</v>
      </c>
      <c r="AV997" s="49">
        <v>49.152542372881399</v>
      </c>
      <c r="AW997" s="49">
        <v>23.728813559322003</v>
      </c>
      <c r="AX997" s="49">
        <v>25.047080979284399</v>
      </c>
      <c r="AY997" s="67">
        <v>2.07156308851224</v>
      </c>
      <c r="AZ997" s="63">
        <v>0.21557317952415284</v>
      </c>
      <c r="BA997" s="63">
        <v>7.0656092285508287E-2</v>
      </c>
      <c r="BB997" s="78">
        <v>91.689935412503601</v>
      </c>
      <c r="BC997" s="49">
        <v>57.616361071932303</v>
      </c>
      <c r="BD997" s="3"/>
      <c r="BE997" s="3"/>
      <c r="BF997" s="3"/>
      <c r="BG997" s="3"/>
      <c r="BH997" s="3"/>
      <c r="BI997" s="3"/>
      <c r="BJ997" s="3">
        <v>20.8</v>
      </c>
      <c r="BK997" s="126">
        <v>9787</v>
      </c>
      <c r="BL997" s="126">
        <v>54245</v>
      </c>
      <c r="BM997" s="126">
        <v>59901</v>
      </c>
      <c r="BN997" s="126">
        <v>44963</v>
      </c>
      <c r="BO997" s="59">
        <v>0</v>
      </c>
      <c r="BP997" s="59">
        <v>0.37359999999999999</v>
      </c>
      <c r="BQ997" s="59">
        <v>0.20849999999999999</v>
      </c>
      <c r="BR997" s="59">
        <v>0</v>
      </c>
      <c r="BS997" s="59">
        <v>0</v>
      </c>
      <c r="BT997" s="3">
        <v>11.7</v>
      </c>
      <c r="BU997" s="59">
        <f t="shared" si="72"/>
        <v>0.58209999999999995</v>
      </c>
      <c r="BV997" s="59">
        <v>2.46E-2</v>
      </c>
      <c r="BW997" s="59">
        <v>0</v>
      </c>
      <c r="BX997" s="59">
        <v>2.46E-2</v>
      </c>
      <c r="BY997" s="59">
        <v>0</v>
      </c>
      <c r="BZ997" s="59">
        <v>0</v>
      </c>
      <c r="CA997" s="3">
        <v>18.3</v>
      </c>
      <c r="CB997" s="59">
        <f t="shared" si="73"/>
        <v>4.9200000000000001E-2</v>
      </c>
      <c r="CC997" s="59">
        <v>0.31530000000000002</v>
      </c>
      <c r="CD997" s="59">
        <v>0.40229999999999999</v>
      </c>
      <c r="CE997" s="59">
        <v>0.28239999999999998</v>
      </c>
      <c r="CF997" s="59">
        <v>0</v>
      </c>
      <c r="CG997" s="59">
        <v>0</v>
      </c>
      <c r="CH997" s="3">
        <v>11.2</v>
      </c>
      <c r="CI997" s="26" t="s">
        <v>125</v>
      </c>
      <c r="CJ997" s="18" t="s">
        <v>505</v>
      </c>
      <c r="CK997" s="20"/>
    </row>
    <row r="998" spans="1:99" x14ac:dyDescent="0.25">
      <c r="A998" s="18" t="s">
        <v>505</v>
      </c>
      <c r="B998" s="19" t="s">
        <v>120</v>
      </c>
      <c r="C998" s="26" t="s">
        <v>126</v>
      </c>
      <c r="D998" s="6">
        <v>5</v>
      </c>
      <c r="E998" s="6">
        <v>0</v>
      </c>
      <c r="F998" s="6">
        <v>5</v>
      </c>
      <c r="N998" s="119">
        <v>2.4271844660194199E-2</v>
      </c>
      <c r="O998" s="119">
        <v>3.3333333333333298E-2</v>
      </c>
      <c r="P998" s="119">
        <v>0</v>
      </c>
      <c r="Q998" s="119">
        <v>0</v>
      </c>
      <c r="R998" s="119">
        <v>0</v>
      </c>
      <c r="S998" s="119">
        <v>3.5714285714285698E-2</v>
      </c>
      <c r="T998" s="119">
        <v>2.6315789473684199E-2</v>
      </c>
      <c r="U998" s="119">
        <v>2.4390243902439001E-2</v>
      </c>
      <c r="V998" s="119">
        <v>5.8823529411764698E-2</v>
      </c>
      <c r="W998" s="6">
        <v>215</v>
      </c>
      <c r="X998" s="40">
        <f t="shared" si="70"/>
        <v>136</v>
      </c>
      <c r="Y998" s="40">
        <f t="shared" si="71"/>
        <v>190</v>
      </c>
      <c r="Z998" s="59">
        <v>0.47910000000000003</v>
      </c>
      <c r="AA998" s="59">
        <v>0.52090000000000003</v>
      </c>
      <c r="AB998" s="61">
        <v>0</v>
      </c>
      <c r="AC998" s="61">
        <v>0</v>
      </c>
      <c r="AD998" s="61">
        <v>0.58139534883720934</v>
      </c>
      <c r="AE998" s="61">
        <v>9.3023255813953487E-3</v>
      </c>
      <c r="AF998" s="61">
        <v>4.6511627906976744E-3</v>
      </c>
      <c r="AG998" s="61">
        <v>0.4</v>
      </c>
      <c r="AH998" s="61">
        <v>4.6511627906976744E-3</v>
      </c>
      <c r="AI998" s="61">
        <v>0.6</v>
      </c>
      <c r="AJ998" s="59">
        <v>0.81399999999999995</v>
      </c>
      <c r="AK998" s="59">
        <v>4.7000000000000002E-3</v>
      </c>
      <c r="AL998" s="3">
        <v>29</v>
      </c>
      <c r="AM998" s="3">
        <v>25</v>
      </c>
      <c r="AN998" s="3">
        <v>8</v>
      </c>
      <c r="AO998" s="3">
        <v>25</v>
      </c>
      <c r="AP998" s="3">
        <v>34</v>
      </c>
      <c r="AQ998" s="3">
        <v>36</v>
      </c>
      <c r="AR998" s="3">
        <v>33</v>
      </c>
      <c r="AS998" s="59">
        <v>0.24242424242424243</v>
      </c>
      <c r="AT998" s="3">
        <v>6</v>
      </c>
      <c r="AU998" s="3">
        <v>6</v>
      </c>
      <c r="AV998" s="49">
        <v>98.947368421052602</v>
      </c>
      <c r="AW998" s="49">
        <v>0.52631578947368407</v>
      </c>
      <c r="AX998" s="49">
        <v>0.52631578947368407</v>
      </c>
      <c r="AY998" s="67">
        <v>0</v>
      </c>
      <c r="AZ998" s="63">
        <v>0.27074235807860264</v>
      </c>
      <c r="BA998" s="63">
        <v>0.19213973799126638</v>
      </c>
      <c r="BB998" s="77">
        <v>89.786037580578807</v>
      </c>
      <c r="BC998" s="49">
        <v>67.659574468085097</v>
      </c>
      <c r="BD998" s="3"/>
      <c r="BE998" s="3"/>
      <c r="BF998" s="3"/>
      <c r="BG998" s="3"/>
      <c r="BH998" s="3"/>
      <c r="BI998" s="3"/>
      <c r="BJ998" s="3">
        <v>16.600000000000001</v>
      </c>
      <c r="BK998" s="126">
        <v>21817</v>
      </c>
      <c r="BL998" s="126">
        <v>55695</v>
      </c>
      <c r="BM998" s="126">
        <v>49795</v>
      </c>
      <c r="BN998" s="126">
        <v>43184</v>
      </c>
      <c r="BO998" s="59">
        <v>0</v>
      </c>
      <c r="BP998" s="59">
        <v>0.25950000000000001</v>
      </c>
      <c r="BQ998" s="59">
        <v>0.2137</v>
      </c>
      <c r="BR998" s="59">
        <v>0</v>
      </c>
      <c r="BS998" s="59">
        <v>0</v>
      </c>
      <c r="BT998" s="3">
        <v>13.5</v>
      </c>
      <c r="BU998" s="59">
        <f t="shared" si="72"/>
        <v>0.47320000000000001</v>
      </c>
      <c r="BV998" s="59">
        <v>5.5500000000000001E-2</v>
      </c>
      <c r="BW998" s="59">
        <v>0</v>
      </c>
      <c r="BX998" s="59">
        <v>3.6999999999999998E-2</v>
      </c>
      <c r="BY998" s="59">
        <v>0</v>
      </c>
      <c r="BZ998" s="59">
        <v>0</v>
      </c>
      <c r="CA998" s="3">
        <v>17.600000000000001</v>
      </c>
      <c r="CB998" s="59">
        <f t="shared" si="73"/>
        <v>9.2499999999999999E-2</v>
      </c>
      <c r="CC998" s="59">
        <v>0.42520000000000002</v>
      </c>
      <c r="CD998" s="59">
        <v>0.25950000000000001</v>
      </c>
      <c r="CE998" s="59">
        <v>0.31519999999999998</v>
      </c>
      <c r="CF998" s="59">
        <v>0</v>
      </c>
      <c r="CG998" s="59">
        <v>0</v>
      </c>
      <c r="CH998" s="3">
        <v>13.8</v>
      </c>
      <c r="CI998" s="26" t="s">
        <v>126</v>
      </c>
      <c r="CJ998" s="18" t="s">
        <v>505</v>
      </c>
      <c r="CK998" s="20"/>
    </row>
    <row r="999" spans="1:99" s="1" customFormat="1" ht="21" customHeight="1" x14ac:dyDescent="0.25">
      <c r="A999" s="21" t="s">
        <v>0</v>
      </c>
      <c r="B999" s="22" t="s">
        <v>1</v>
      </c>
      <c r="C999" s="22" t="s">
        <v>2</v>
      </c>
      <c r="D999" s="9" t="s">
        <v>3</v>
      </c>
      <c r="E999" s="9" t="s">
        <v>4</v>
      </c>
      <c r="F999" s="9" t="s">
        <v>5</v>
      </c>
      <c r="G999" s="167"/>
      <c r="H999" s="168"/>
      <c r="I999" s="168"/>
      <c r="J999" s="168"/>
      <c r="K999" s="168"/>
      <c r="L999" s="168"/>
      <c r="M999" s="168"/>
      <c r="N999" s="120" t="s">
        <v>6</v>
      </c>
      <c r="O999" s="120" t="s">
        <v>7</v>
      </c>
      <c r="P999" s="120" t="s">
        <v>8</v>
      </c>
      <c r="Q999" s="120" t="s">
        <v>9</v>
      </c>
      <c r="R999" s="120" t="s">
        <v>10</v>
      </c>
      <c r="S999" s="120" t="s">
        <v>11</v>
      </c>
      <c r="T999" s="120" t="s">
        <v>12</v>
      </c>
      <c r="U999" s="120" t="s">
        <v>13</v>
      </c>
      <c r="V999" s="120" t="s">
        <v>14</v>
      </c>
      <c r="W999" s="41" t="s">
        <v>15</v>
      </c>
      <c r="X999" s="41" t="s">
        <v>16</v>
      </c>
      <c r="Y999" s="41" t="s">
        <v>17</v>
      </c>
      <c r="Z999" s="107" t="s">
        <v>18</v>
      </c>
      <c r="AA999" s="107" t="s">
        <v>19</v>
      </c>
      <c r="AB999" s="95" t="s">
        <v>20</v>
      </c>
      <c r="AC999" s="95" t="s">
        <v>21</v>
      </c>
      <c r="AD999" s="95" t="s">
        <v>22</v>
      </c>
      <c r="AE999" s="95" t="s">
        <v>23</v>
      </c>
      <c r="AF999" s="95" t="s">
        <v>24</v>
      </c>
      <c r="AG999" s="95" t="s">
        <v>25</v>
      </c>
      <c r="AH999" s="95" t="s">
        <v>26</v>
      </c>
      <c r="AI999" s="95" t="s">
        <v>27</v>
      </c>
      <c r="AJ999" s="95" t="s">
        <v>28</v>
      </c>
      <c r="AK999" s="107" t="s">
        <v>29</v>
      </c>
      <c r="AL999" s="42" t="s">
        <v>30</v>
      </c>
      <c r="AM999" s="42" t="s">
        <v>31</v>
      </c>
      <c r="AN999" s="42" t="s">
        <v>32</v>
      </c>
      <c r="AO999" s="42" t="s">
        <v>33</v>
      </c>
      <c r="AP999" s="42" t="s">
        <v>34</v>
      </c>
      <c r="AQ999" s="42" t="s">
        <v>35</v>
      </c>
      <c r="AR999" s="42" t="s">
        <v>36</v>
      </c>
      <c r="AS999" s="100" t="s">
        <v>37</v>
      </c>
      <c r="AT999" s="41" t="s">
        <v>38</v>
      </c>
      <c r="AU999" s="23" t="s">
        <v>39</v>
      </c>
      <c r="AV999" s="51" t="s">
        <v>40</v>
      </c>
      <c r="AW999" s="51" t="s">
        <v>41</v>
      </c>
      <c r="AX999" s="51" t="s">
        <v>42</v>
      </c>
      <c r="AY999" s="66" t="s">
        <v>43</v>
      </c>
      <c r="AZ999" s="58" t="s">
        <v>44</v>
      </c>
      <c r="BA999" s="58" t="s">
        <v>45</v>
      </c>
      <c r="BB999" s="75" t="s">
        <v>46</v>
      </c>
      <c r="BC999" s="83" t="s">
        <v>47</v>
      </c>
      <c r="BD999" s="89" t="s">
        <v>48</v>
      </c>
      <c r="BE999" s="89" t="s">
        <v>49</v>
      </c>
      <c r="BF999" s="89" t="s">
        <v>50</v>
      </c>
      <c r="BG999" s="89" t="s">
        <v>51</v>
      </c>
      <c r="BH999" s="89" t="s">
        <v>52</v>
      </c>
      <c r="BI999" s="89" t="s">
        <v>53</v>
      </c>
      <c r="BJ999" s="86" t="s">
        <v>54</v>
      </c>
      <c r="BK999" s="123" t="s">
        <v>55</v>
      </c>
      <c r="BL999" s="123" t="s">
        <v>56</v>
      </c>
      <c r="BM999" s="123" t="s">
        <v>57</v>
      </c>
      <c r="BN999" s="123" t="s">
        <v>58</v>
      </c>
      <c r="BO999" s="131" t="s">
        <v>59</v>
      </c>
      <c r="BP999" s="131" t="s">
        <v>60</v>
      </c>
      <c r="BQ999" s="131" t="s">
        <v>61</v>
      </c>
      <c r="BR999" s="131" t="s">
        <v>62</v>
      </c>
      <c r="BS999" s="131" t="s">
        <v>63</v>
      </c>
      <c r="BT999" s="131" t="s">
        <v>64</v>
      </c>
      <c r="BU999" s="131" t="s">
        <v>65</v>
      </c>
      <c r="BV999" s="132" t="s">
        <v>66</v>
      </c>
      <c r="BW999" s="132" t="s">
        <v>67</v>
      </c>
      <c r="BX999" s="132" t="s">
        <v>68</v>
      </c>
      <c r="BY999" s="132" t="s">
        <v>69</v>
      </c>
      <c r="BZ999" s="132" t="s">
        <v>70</v>
      </c>
      <c r="CA999" s="132" t="s">
        <v>71</v>
      </c>
      <c r="CB999" s="132" t="s">
        <v>72</v>
      </c>
      <c r="CC999" s="123" t="s">
        <v>73</v>
      </c>
      <c r="CD999" s="123" t="s">
        <v>74</v>
      </c>
      <c r="CE999" s="123" t="s">
        <v>75</v>
      </c>
      <c r="CF999" s="123" t="s">
        <v>76</v>
      </c>
      <c r="CG999" s="123" t="s">
        <v>77</v>
      </c>
      <c r="CH999" s="123" t="s">
        <v>78</v>
      </c>
      <c r="CI999" s="22" t="s">
        <v>2</v>
      </c>
      <c r="CJ999" s="21" t="s">
        <v>0</v>
      </c>
      <c r="CK999" s="24" t="s">
        <v>79</v>
      </c>
      <c r="CL999"/>
      <c r="CM999"/>
      <c r="CN999"/>
      <c r="CO999"/>
      <c r="CP999"/>
      <c r="CQ999"/>
      <c r="CU999"/>
    </row>
    <row r="1000" spans="1:99" x14ac:dyDescent="0.25">
      <c r="A1000" s="18" t="s">
        <v>505</v>
      </c>
      <c r="B1000" s="19" t="s">
        <v>127</v>
      </c>
      <c r="C1000" s="26" t="s">
        <v>128</v>
      </c>
      <c r="D1000" s="6">
        <v>43</v>
      </c>
      <c r="E1000" s="40" t="s">
        <v>83</v>
      </c>
      <c r="F1000" s="6">
        <v>43</v>
      </c>
      <c r="N1000" s="119">
        <v>1.9761029411764702E-2</v>
      </c>
      <c r="O1000" s="119">
        <v>1.9761029411764702E-2</v>
      </c>
      <c r="P1000" s="116" t="s">
        <v>83</v>
      </c>
      <c r="Q1000" s="116" t="s">
        <v>83</v>
      </c>
      <c r="R1000" s="119">
        <v>0</v>
      </c>
      <c r="S1000" s="119">
        <v>2.6595744680851099E-2</v>
      </c>
      <c r="T1000" s="119">
        <v>2.4347826086956501E-2</v>
      </c>
      <c r="U1000" s="119">
        <v>1.2500000000000001E-2</v>
      </c>
      <c r="V1000" s="119">
        <v>1.4861995753715501E-2</v>
      </c>
      <c r="W1000" s="6">
        <v>2036</v>
      </c>
      <c r="X1000" s="40">
        <f t="shared" si="70"/>
        <v>2036</v>
      </c>
      <c r="Y1000" s="40">
        <f t="shared" si="71"/>
        <v>2036</v>
      </c>
      <c r="Z1000" s="59">
        <v>0.56430000000000002</v>
      </c>
      <c r="AA1000" s="59">
        <v>0.43569999999999998</v>
      </c>
      <c r="AB1000" s="61">
        <v>1.4734774066797642E-3</v>
      </c>
      <c r="AC1000" s="61">
        <v>1.031434184675835E-2</v>
      </c>
      <c r="AD1000" s="61">
        <v>0.47888015717092336</v>
      </c>
      <c r="AE1000" s="61">
        <v>4.4695481335952851E-2</v>
      </c>
      <c r="AF1000" s="61">
        <v>4.9115913555992138E-4</v>
      </c>
      <c r="AG1000" s="61">
        <v>0.44891944990176819</v>
      </c>
      <c r="AH1000" s="61">
        <v>1.5225933202357564E-2</v>
      </c>
      <c r="AI1000" s="61">
        <v>0.55108055009823187</v>
      </c>
      <c r="AJ1000" s="59">
        <v>0.49170000000000003</v>
      </c>
      <c r="AK1000" s="59">
        <v>1.5699999999999999E-2</v>
      </c>
      <c r="AL1000" s="3">
        <v>0</v>
      </c>
      <c r="AM1000" s="3">
        <v>0</v>
      </c>
      <c r="AN1000" s="3">
        <v>6</v>
      </c>
      <c r="AO1000" s="3">
        <v>513</v>
      </c>
      <c r="AP1000" s="3">
        <v>530</v>
      </c>
      <c r="AQ1000" s="3">
        <v>528</v>
      </c>
      <c r="AR1000" s="3">
        <v>459</v>
      </c>
      <c r="AS1000" s="59">
        <v>1.1560693641618497E-2</v>
      </c>
      <c r="AT1000" s="3">
        <v>9</v>
      </c>
      <c r="AU1000" s="3">
        <v>6</v>
      </c>
      <c r="AV1000" s="49">
        <v>55.591054313099001</v>
      </c>
      <c r="AW1000" s="49">
        <v>12.9925452609159</v>
      </c>
      <c r="AX1000" s="49">
        <v>25.026624068157599</v>
      </c>
      <c r="AY1000" s="67">
        <v>6.38977635782748</v>
      </c>
      <c r="AZ1000" s="63">
        <v>0.19832791453785414</v>
      </c>
      <c r="BA1000" s="63">
        <v>0.13237343241987923</v>
      </c>
      <c r="BB1000" s="77">
        <v>93.519206345402694</v>
      </c>
      <c r="BC1000" s="49">
        <v>63.238007380073803</v>
      </c>
      <c r="BD1000" s="3"/>
      <c r="BE1000" s="3"/>
      <c r="BF1000" s="3"/>
      <c r="BG1000" s="3"/>
      <c r="BH1000" s="3"/>
      <c r="BI1000" s="3"/>
      <c r="BJ1000" s="88">
        <v>21.8</v>
      </c>
      <c r="BK1000" s="126">
        <v>10081</v>
      </c>
      <c r="BL1000" s="126">
        <v>55540</v>
      </c>
      <c r="BM1000" s="126">
        <v>59768</v>
      </c>
      <c r="BN1000" s="126">
        <v>50800</v>
      </c>
      <c r="BO1000" s="59">
        <v>6.6E-3</v>
      </c>
      <c r="BP1000" s="63">
        <v>0.33700000000000002</v>
      </c>
      <c r="BQ1000" s="63">
        <v>0.28749999999999998</v>
      </c>
      <c r="BR1000" s="63">
        <v>0</v>
      </c>
      <c r="BS1000" s="63">
        <v>6.6E-3</v>
      </c>
      <c r="BT1000" s="88">
        <v>15.1</v>
      </c>
      <c r="BU1000" s="59">
        <f t="shared" si="72"/>
        <v>0.63770000000000004</v>
      </c>
      <c r="BV1000" s="59">
        <v>5.2699999999999997E-2</v>
      </c>
      <c r="BW1000" s="63">
        <v>0</v>
      </c>
      <c r="BX1000" s="63">
        <v>3.9600000000000003E-2</v>
      </c>
      <c r="BY1000" s="63">
        <v>0</v>
      </c>
      <c r="BZ1000" s="63">
        <v>0</v>
      </c>
      <c r="CA1000" s="88">
        <v>23.4</v>
      </c>
      <c r="CB1000" s="59">
        <f t="shared" si="73"/>
        <v>9.2299999999999993E-2</v>
      </c>
      <c r="CC1000" s="59">
        <v>0.2457</v>
      </c>
      <c r="CD1000" s="63">
        <v>0.37880000000000003</v>
      </c>
      <c r="CE1000" s="63">
        <v>0.36880000000000002</v>
      </c>
      <c r="CF1000" s="63">
        <v>0</v>
      </c>
      <c r="CG1000" s="63">
        <v>6.6E-3</v>
      </c>
      <c r="CH1000" s="88">
        <v>15.8</v>
      </c>
      <c r="CI1000" s="26" t="s">
        <v>128</v>
      </c>
      <c r="CJ1000" s="18" t="s">
        <v>505</v>
      </c>
      <c r="CK1000" s="20"/>
    </row>
    <row r="1001" spans="1:99" x14ac:dyDescent="0.25">
      <c r="A1001" s="18" t="s">
        <v>505</v>
      </c>
      <c r="B1001" s="19" t="s">
        <v>127</v>
      </c>
      <c r="C1001" s="26" t="s">
        <v>129</v>
      </c>
      <c r="D1001" s="6">
        <v>1</v>
      </c>
      <c r="E1001" s="40" t="s">
        <v>83</v>
      </c>
      <c r="F1001" s="6">
        <v>1</v>
      </c>
      <c r="N1001" s="119">
        <v>9.3984962406015E-4</v>
      </c>
      <c r="O1001" s="119">
        <v>9.3984962406015E-4</v>
      </c>
      <c r="P1001" s="116" t="s">
        <v>83</v>
      </c>
      <c r="Q1001" s="116" t="s">
        <v>83</v>
      </c>
      <c r="R1001" s="116" t="s">
        <v>83</v>
      </c>
      <c r="S1001" s="119">
        <v>0</v>
      </c>
      <c r="T1001" s="119">
        <v>0</v>
      </c>
      <c r="U1001" s="119">
        <v>0</v>
      </c>
      <c r="V1001" s="119">
        <v>4.0485829959514196E-3</v>
      </c>
      <c r="W1001" s="6">
        <v>1054</v>
      </c>
      <c r="X1001" s="40">
        <f t="shared" si="70"/>
        <v>1054</v>
      </c>
      <c r="Y1001" s="40">
        <f t="shared" si="71"/>
        <v>1054</v>
      </c>
      <c r="Z1001" s="59">
        <v>0.59299999999999997</v>
      </c>
      <c r="AA1001" s="59">
        <v>0.40699999999999997</v>
      </c>
      <c r="AB1001" s="61">
        <v>4.7438330170777986E-3</v>
      </c>
      <c r="AC1001" s="61">
        <v>8.0645161290322578E-2</v>
      </c>
      <c r="AD1001" s="61">
        <v>0.20588235294117646</v>
      </c>
      <c r="AE1001" s="61">
        <v>3.2258064516129031E-2</v>
      </c>
      <c r="AF1001" s="61">
        <v>9.4876660341555979E-4</v>
      </c>
      <c r="AG1001" s="61">
        <v>0.64895635673624286</v>
      </c>
      <c r="AH1001" s="61">
        <v>2.6565464895635674E-2</v>
      </c>
      <c r="AI1001" s="61">
        <v>0.35104364326375709</v>
      </c>
      <c r="AJ1001" s="59">
        <v>0.24479999999999999</v>
      </c>
      <c r="AK1001" s="59">
        <v>8.9999999999999998E-4</v>
      </c>
      <c r="AL1001" s="3">
        <v>0</v>
      </c>
      <c r="AM1001" s="3">
        <v>0</v>
      </c>
      <c r="AN1001" s="3">
        <v>0</v>
      </c>
      <c r="AO1001" s="3">
        <v>306</v>
      </c>
      <c r="AP1001" s="3">
        <v>258</v>
      </c>
      <c r="AQ1001" s="3">
        <v>246</v>
      </c>
      <c r="AR1001" s="3">
        <v>244</v>
      </c>
      <c r="AS1001" s="59">
        <v>0</v>
      </c>
      <c r="AT1001" s="3">
        <v>9</v>
      </c>
      <c r="AU1001" s="3">
        <v>7</v>
      </c>
      <c r="AV1001" s="49">
        <v>68.727272727272705</v>
      </c>
      <c r="AW1001" s="49">
        <v>15.454545454545501</v>
      </c>
      <c r="AX1001" s="49">
        <v>15.090909090909099</v>
      </c>
      <c r="AY1001" s="67">
        <v>0.72727272727272696</v>
      </c>
      <c r="AZ1001" s="63">
        <v>8.4666039510818431E-3</v>
      </c>
      <c r="BA1001" s="63">
        <v>2.1636876763875823E-2</v>
      </c>
      <c r="BB1001" s="78">
        <v>96.077070602938406</v>
      </c>
      <c r="BC1001" s="49">
        <v>49.154135338345903</v>
      </c>
      <c r="BD1001" s="3"/>
      <c r="BE1001" s="3"/>
      <c r="BF1001" s="3"/>
      <c r="BG1001" s="3"/>
      <c r="BH1001" s="3"/>
      <c r="BI1001" s="3"/>
      <c r="BJ1001" s="88">
        <v>27</v>
      </c>
      <c r="BK1001" s="126">
        <v>11128</v>
      </c>
      <c r="BL1001" s="126">
        <v>58067</v>
      </c>
      <c r="BM1001" s="126">
        <v>57763</v>
      </c>
      <c r="BN1001" s="126">
        <v>51542</v>
      </c>
      <c r="BO1001" s="59">
        <v>0</v>
      </c>
      <c r="BP1001" s="63">
        <v>0.2223</v>
      </c>
      <c r="BQ1001" s="63">
        <v>0.38690000000000002</v>
      </c>
      <c r="BR1001" s="63">
        <v>0</v>
      </c>
      <c r="BS1001" s="63">
        <v>2.29E-2</v>
      </c>
      <c r="BT1001" s="88">
        <v>19.100000000000001</v>
      </c>
      <c r="BU1001" s="59">
        <f t="shared" si="72"/>
        <v>0.6321</v>
      </c>
      <c r="BV1001" s="59">
        <v>4.58E-2</v>
      </c>
      <c r="BW1001" s="63">
        <v>1.14E-2</v>
      </c>
      <c r="BX1001" s="63">
        <v>4.58E-2</v>
      </c>
      <c r="BY1001" s="63">
        <v>0</v>
      </c>
      <c r="BZ1001" s="63">
        <v>0</v>
      </c>
      <c r="CA1001" s="88">
        <v>24.7</v>
      </c>
      <c r="CB1001" s="59">
        <f t="shared" si="73"/>
        <v>0.10300000000000001</v>
      </c>
      <c r="CC1001" s="59">
        <v>0.23039999999999999</v>
      </c>
      <c r="CD1001" s="63">
        <v>0.25359999999999999</v>
      </c>
      <c r="CE1001" s="63">
        <v>0.49309999999999998</v>
      </c>
      <c r="CF1001" s="63">
        <v>0</v>
      </c>
      <c r="CG1001" s="63">
        <v>2.29E-2</v>
      </c>
      <c r="CH1001" s="88">
        <v>18.399999999999999</v>
      </c>
      <c r="CI1001" s="26" t="s">
        <v>129</v>
      </c>
      <c r="CJ1001" s="18" t="s">
        <v>505</v>
      </c>
      <c r="CK1001" s="20"/>
    </row>
    <row r="1002" spans="1:99" x14ac:dyDescent="0.25">
      <c r="A1002" s="18" t="s">
        <v>505</v>
      </c>
      <c r="B1002" s="19" t="s">
        <v>127</v>
      </c>
      <c r="C1002" s="26" t="s">
        <v>130</v>
      </c>
      <c r="D1002" s="6">
        <v>20</v>
      </c>
      <c r="E1002" s="40" t="s">
        <v>83</v>
      </c>
      <c r="F1002" s="6">
        <v>20</v>
      </c>
      <c r="N1002" s="119">
        <v>1.1990407673860899E-2</v>
      </c>
      <c r="O1002" s="119">
        <v>1.1990407673860899E-2</v>
      </c>
      <c r="P1002" s="116" t="s">
        <v>83</v>
      </c>
      <c r="Q1002" s="116" t="s">
        <v>83</v>
      </c>
      <c r="R1002" s="119">
        <v>0</v>
      </c>
      <c r="S1002" s="119">
        <v>1.39442231075697E-2</v>
      </c>
      <c r="T1002" s="119">
        <v>6.8965517241379301E-3</v>
      </c>
      <c r="U1002" s="119">
        <v>1.69971671388102E-2</v>
      </c>
      <c r="V1002" s="119">
        <v>1.0582010582010601E-2</v>
      </c>
      <c r="W1002" s="6">
        <v>1583</v>
      </c>
      <c r="X1002" s="40">
        <f t="shared" si="70"/>
        <v>1583</v>
      </c>
      <c r="Y1002" s="40">
        <f t="shared" si="71"/>
        <v>1583</v>
      </c>
      <c r="Z1002" s="59">
        <v>0.50660000000000005</v>
      </c>
      <c r="AA1002" s="59">
        <v>0.49340000000000001</v>
      </c>
      <c r="AB1002" s="61">
        <v>2.5268477574226151E-3</v>
      </c>
      <c r="AC1002" s="61">
        <v>1.010739102969046E-2</v>
      </c>
      <c r="AD1002" s="61">
        <v>0.54895767530006312</v>
      </c>
      <c r="AE1002" s="61">
        <v>3.0322173089071383E-2</v>
      </c>
      <c r="AF1002" s="61">
        <v>0</v>
      </c>
      <c r="AG1002" s="61">
        <v>0.39166140240050534</v>
      </c>
      <c r="AH1002" s="61">
        <v>1.6424510423247E-2</v>
      </c>
      <c r="AI1002" s="61">
        <v>0.6083385975994946</v>
      </c>
      <c r="AJ1002" s="59">
        <v>0.50160000000000005</v>
      </c>
      <c r="AK1002" s="59">
        <v>7.6E-3</v>
      </c>
      <c r="AL1002" s="3">
        <v>0</v>
      </c>
      <c r="AM1002" s="3">
        <v>0</v>
      </c>
      <c r="AN1002" s="3">
        <v>1</v>
      </c>
      <c r="AO1002" s="3">
        <v>470</v>
      </c>
      <c r="AP1002" s="3">
        <v>412</v>
      </c>
      <c r="AQ1002" s="3">
        <v>345</v>
      </c>
      <c r="AR1002" s="3">
        <v>355</v>
      </c>
      <c r="AS1002" s="59">
        <v>2.1231422505307855E-3</v>
      </c>
      <c r="AT1002" s="3">
        <v>9</v>
      </c>
      <c r="AU1002" s="3">
        <v>6</v>
      </c>
      <c r="AV1002" s="49">
        <v>74.7795414462081</v>
      </c>
      <c r="AW1002" s="49">
        <v>6.3492063492063506</v>
      </c>
      <c r="AX1002" s="49">
        <v>14.638447971781298</v>
      </c>
      <c r="AY1002" s="67">
        <v>4.2328042328042299</v>
      </c>
      <c r="AZ1002" s="63">
        <v>9.5840867992766726E-2</v>
      </c>
      <c r="BA1002" s="63">
        <v>5.3044002411091022E-2</v>
      </c>
      <c r="BB1002" s="77">
        <v>94.793658041995897</v>
      </c>
      <c r="BC1002" s="49">
        <v>54.096385542168697</v>
      </c>
      <c r="BD1002" s="3"/>
      <c r="BE1002" s="3"/>
      <c r="BF1002" s="3"/>
      <c r="BG1002" s="3"/>
      <c r="BH1002" s="3"/>
      <c r="BI1002" s="3"/>
      <c r="BJ1002" s="88">
        <v>20.2</v>
      </c>
      <c r="BK1002" s="126">
        <v>10205</v>
      </c>
      <c r="BL1002" s="126">
        <v>53681</v>
      </c>
      <c r="BM1002" s="126">
        <v>59265</v>
      </c>
      <c r="BN1002" s="126">
        <v>45393</v>
      </c>
      <c r="BO1002" s="59">
        <v>1.5100000000000001E-2</v>
      </c>
      <c r="BP1002" s="63">
        <v>0.3458</v>
      </c>
      <c r="BQ1002" s="63">
        <v>0.1709</v>
      </c>
      <c r="BR1002" s="63">
        <v>0</v>
      </c>
      <c r="BS1002" s="63">
        <v>6.4000000000000003E-3</v>
      </c>
      <c r="BT1002" s="88">
        <v>11.8</v>
      </c>
      <c r="BU1002" s="59">
        <f t="shared" si="72"/>
        <v>0.53820000000000001</v>
      </c>
      <c r="BV1002" s="59">
        <v>2.2700000000000001E-2</v>
      </c>
      <c r="BW1002" s="63">
        <v>7.6E-3</v>
      </c>
      <c r="BX1002" s="63">
        <v>5.0599999999999999E-2</v>
      </c>
      <c r="BY1002" s="63">
        <v>0</v>
      </c>
      <c r="BZ1002" s="63">
        <v>0</v>
      </c>
      <c r="CA1002" s="88">
        <v>21.1</v>
      </c>
      <c r="CB1002" s="59">
        <f t="shared" si="73"/>
        <v>8.09E-2</v>
      </c>
      <c r="CC1002" s="59">
        <v>0.29909999999999998</v>
      </c>
      <c r="CD1002" s="63">
        <v>0.42249999999999999</v>
      </c>
      <c r="CE1002" s="63">
        <v>0.27200000000000002</v>
      </c>
      <c r="CF1002" s="63">
        <v>0</v>
      </c>
      <c r="CG1002" s="63">
        <v>6.4000000000000003E-3</v>
      </c>
      <c r="CH1002" s="88">
        <v>12.2</v>
      </c>
      <c r="CI1002" s="26" t="s">
        <v>130</v>
      </c>
      <c r="CJ1002" s="18" t="s">
        <v>505</v>
      </c>
      <c r="CK1002" s="20"/>
    </row>
    <row r="1003" spans="1:99" x14ac:dyDescent="0.25">
      <c r="A1003" s="18" t="s">
        <v>505</v>
      </c>
      <c r="B1003" s="19" t="s">
        <v>127</v>
      </c>
      <c r="C1003" s="26" t="s">
        <v>132</v>
      </c>
      <c r="D1003" s="6">
        <v>14</v>
      </c>
      <c r="E1003" s="6">
        <v>0</v>
      </c>
      <c r="F1003" s="6">
        <v>14</v>
      </c>
      <c r="N1003" s="119">
        <v>1.7156862745097999E-2</v>
      </c>
      <c r="O1003" s="119">
        <v>2.68199233716475E-2</v>
      </c>
      <c r="P1003" s="119">
        <v>0</v>
      </c>
      <c r="Q1003" s="119">
        <v>0</v>
      </c>
      <c r="R1003" s="119">
        <v>0</v>
      </c>
      <c r="S1003" s="119">
        <v>3.8167938931297697E-2</v>
      </c>
      <c r="T1003" s="119">
        <v>1.5267175572519101E-2</v>
      </c>
      <c r="U1003" s="119">
        <v>2.6315789473684199E-2</v>
      </c>
      <c r="V1003" s="119">
        <v>3.2258064516128997E-2</v>
      </c>
      <c r="W1003" s="6">
        <v>690</v>
      </c>
      <c r="X1003" s="40">
        <f t="shared" si="70"/>
        <v>453</v>
      </c>
      <c r="Y1003" s="40">
        <f t="shared" si="71"/>
        <v>690</v>
      </c>
      <c r="Z1003" s="59">
        <v>0.49709999999999999</v>
      </c>
      <c r="AA1003" s="59">
        <v>0.50290000000000001</v>
      </c>
      <c r="AB1003" s="61">
        <v>0</v>
      </c>
      <c r="AC1003" s="61">
        <v>0</v>
      </c>
      <c r="AD1003" s="61">
        <v>0.9869565217391304</v>
      </c>
      <c r="AE1003" s="61">
        <v>0</v>
      </c>
      <c r="AF1003" s="61">
        <v>0</v>
      </c>
      <c r="AG1003" s="61">
        <v>1.0144927536231883E-2</v>
      </c>
      <c r="AH1003" s="61">
        <v>2.8985507246376812E-3</v>
      </c>
      <c r="AI1003" s="61">
        <v>0.98985507246376814</v>
      </c>
      <c r="AJ1003" s="59">
        <v>0.9304</v>
      </c>
      <c r="AK1003" s="59">
        <v>1.4E-3</v>
      </c>
      <c r="AL1003" s="3">
        <v>118</v>
      </c>
      <c r="AM1003" s="3">
        <v>119</v>
      </c>
      <c r="AN1003" s="3">
        <v>21</v>
      </c>
      <c r="AO1003" s="3">
        <v>106</v>
      </c>
      <c r="AP1003" s="3">
        <v>109</v>
      </c>
      <c r="AQ1003" s="3">
        <v>105</v>
      </c>
      <c r="AR1003" s="3">
        <v>112</v>
      </c>
      <c r="AS1003" s="59">
        <v>0.16535433070866143</v>
      </c>
      <c r="AT1003" s="3">
        <v>7</v>
      </c>
      <c r="AU1003" s="3">
        <v>6</v>
      </c>
      <c r="AV1003" s="49">
        <v>79.723502304147502</v>
      </c>
      <c r="AW1003" s="49">
        <v>14.285714285714299</v>
      </c>
      <c r="AX1003" s="49">
        <v>5.2995391705069101</v>
      </c>
      <c r="AY1003" s="67">
        <v>0.69124423963133597</v>
      </c>
      <c r="AZ1003" s="63">
        <v>0.13580246913580246</v>
      </c>
      <c r="BA1003" s="63">
        <v>0.17530864197530865</v>
      </c>
      <c r="BB1003" s="78">
        <v>92.512014489115202</v>
      </c>
      <c r="BC1003" s="49">
        <v>57.997557997557998</v>
      </c>
      <c r="BD1003" s="3"/>
      <c r="BE1003" s="3"/>
      <c r="BF1003" s="3"/>
      <c r="BG1003" s="3"/>
      <c r="BH1003" s="3"/>
      <c r="BI1003" s="3"/>
      <c r="BJ1003" s="88">
        <v>15.5</v>
      </c>
      <c r="BK1003" s="126">
        <v>12810</v>
      </c>
      <c r="BL1003" s="126">
        <v>54822</v>
      </c>
      <c r="BM1003" s="126">
        <v>59767</v>
      </c>
      <c r="BN1003" s="126">
        <v>45557</v>
      </c>
      <c r="BO1003" s="59">
        <v>1.3100000000000001E-2</v>
      </c>
      <c r="BP1003" s="63">
        <v>0.25540000000000002</v>
      </c>
      <c r="BQ1003" s="63">
        <v>0.21179999999999999</v>
      </c>
      <c r="BR1003" s="63">
        <v>0</v>
      </c>
      <c r="BS1003" s="63">
        <v>1.83E-2</v>
      </c>
      <c r="BT1003" s="88">
        <v>12.1</v>
      </c>
      <c r="BU1003" s="59">
        <f t="shared" si="72"/>
        <v>0.49859999999999999</v>
      </c>
      <c r="BV1003" s="59">
        <v>3.7499999999999999E-2</v>
      </c>
      <c r="BW1003" s="63">
        <v>1.3100000000000001E-2</v>
      </c>
      <c r="BX1003" s="63">
        <v>5.2200000000000003E-2</v>
      </c>
      <c r="BY1003" s="63">
        <v>0</v>
      </c>
      <c r="BZ1003" s="63">
        <v>0</v>
      </c>
      <c r="CA1003" s="88">
        <v>20.100000000000001</v>
      </c>
      <c r="CB1003" s="59">
        <f t="shared" si="73"/>
        <v>0.1028</v>
      </c>
      <c r="CC1003" s="59">
        <v>0.3392</v>
      </c>
      <c r="CD1003" s="63">
        <v>0.31840000000000002</v>
      </c>
      <c r="CE1003" s="63">
        <v>0.311</v>
      </c>
      <c r="CF1003" s="63">
        <v>1.3100000000000001E-2</v>
      </c>
      <c r="CG1003" s="63">
        <v>1.84E-2</v>
      </c>
      <c r="CH1003" s="88">
        <v>13.4</v>
      </c>
      <c r="CI1003" s="26" t="s">
        <v>132</v>
      </c>
      <c r="CJ1003" s="18" t="s">
        <v>505</v>
      </c>
      <c r="CK1003" s="20"/>
    </row>
    <row r="1004" spans="1:99" x14ac:dyDescent="0.25">
      <c r="A1004" s="18" t="s">
        <v>505</v>
      </c>
      <c r="B1004" s="19" t="s">
        <v>127</v>
      </c>
      <c r="C1004" s="26" t="s">
        <v>133</v>
      </c>
      <c r="D1004" s="6">
        <v>34</v>
      </c>
      <c r="E1004" s="6">
        <v>0</v>
      </c>
      <c r="F1004" s="6">
        <v>34</v>
      </c>
      <c r="N1004" s="119">
        <v>2.5203854707190498E-2</v>
      </c>
      <c r="O1004" s="119">
        <v>3.4587995930823998E-2</v>
      </c>
      <c r="P1004" s="119">
        <v>0</v>
      </c>
      <c r="Q1004" s="119">
        <v>0</v>
      </c>
      <c r="R1004" s="119">
        <v>0</v>
      </c>
      <c r="S1004" s="119">
        <v>1.9543973941368101E-2</v>
      </c>
      <c r="T1004" s="119">
        <v>4.0983606557376998E-2</v>
      </c>
      <c r="U1004" s="119">
        <v>1.9230769230769201E-2</v>
      </c>
      <c r="V1004" s="119">
        <v>6.3348416289592799E-2</v>
      </c>
      <c r="W1004" s="6">
        <v>1174</v>
      </c>
      <c r="X1004" s="40">
        <f t="shared" si="70"/>
        <v>865</v>
      </c>
      <c r="Y1004" s="40">
        <f t="shared" si="71"/>
        <v>1174</v>
      </c>
      <c r="Z1004" s="59">
        <v>0.46929999999999999</v>
      </c>
      <c r="AA1004" s="59">
        <v>0.53069999999999995</v>
      </c>
      <c r="AB1004" s="61">
        <v>2.5553662691652468E-3</v>
      </c>
      <c r="AC1004" s="61">
        <v>8.5178875638841568E-4</v>
      </c>
      <c r="AD1004" s="61">
        <v>0.85519591141396933</v>
      </c>
      <c r="AE1004" s="61">
        <v>5.9625212947189095E-2</v>
      </c>
      <c r="AF1004" s="61">
        <v>0</v>
      </c>
      <c r="AG1004" s="61">
        <v>7.4957410562180582E-2</v>
      </c>
      <c r="AH1004" s="61">
        <v>6.8143100511073255E-3</v>
      </c>
      <c r="AI1004" s="61">
        <v>0.92504258943781947</v>
      </c>
      <c r="AJ1004" s="59">
        <v>0.82879999999999998</v>
      </c>
      <c r="AK1004" s="59">
        <v>2.9000000000000001E-2</v>
      </c>
      <c r="AL1004" s="3">
        <v>158</v>
      </c>
      <c r="AM1004" s="3">
        <v>151</v>
      </c>
      <c r="AN1004" s="3">
        <v>2</v>
      </c>
      <c r="AO1004" s="3">
        <v>262</v>
      </c>
      <c r="AP1004" s="3">
        <v>203</v>
      </c>
      <c r="AQ1004" s="3">
        <v>199</v>
      </c>
      <c r="AR1004" s="3">
        <v>199</v>
      </c>
      <c r="AS1004" s="59">
        <v>7.575757575757576E-3</v>
      </c>
      <c r="AT1004" s="3">
        <v>7</v>
      </c>
      <c r="AU1004" s="3">
        <v>6</v>
      </c>
      <c r="AV1004" s="49">
        <v>54.601226993865005</v>
      </c>
      <c r="AW1004" s="49">
        <v>17.586912065439702</v>
      </c>
      <c r="AX1004" s="49">
        <v>17.791411042944798</v>
      </c>
      <c r="AY1004" s="67">
        <v>10.020449897750499</v>
      </c>
      <c r="AZ1004" s="63">
        <v>0.28646616541353381</v>
      </c>
      <c r="BA1004" s="63">
        <v>0.1293233082706767</v>
      </c>
      <c r="BB1004" s="77">
        <v>91.865315852205001</v>
      </c>
      <c r="BC1004" s="49">
        <v>72.077438570364905</v>
      </c>
      <c r="BD1004" s="3"/>
      <c r="BE1004" s="3"/>
      <c r="BF1004" s="3"/>
      <c r="BG1004" s="3"/>
      <c r="BH1004" s="3"/>
      <c r="BI1004" s="3"/>
      <c r="BJ1004" s="88">
        <v>16.399999999999999</v>
      </c>
      <c r="BK1004" s="126">
        <v>12072</v>
      </c>
      <c r="BL1004" s="126">
        <v>57444</v>
      </c>
      <c r="BM1004" s="126">
        <v>59830</v>
      </c>
      <c r="BN1004" s="126">
        <v>44696</v>
      </c>
      <c r="BO1004" s="59">
        <v>2.3099999999999999E-2</v>
      </c>
      <c r="BP1004" s="63">
        <v>0.26700000000000002</v>
      </c>
      <c r="BQ1004" s="63">
        <v>0.13800000000000001</v>
      </c>
      <c r="BR1004" s="63">
        <v>0</v>
      </c>
      <c r="BS1004" s="63">
        <v>5.1999999999999998E-3</v>
      </c>
      <c r="BT1004" s="88">
        <v>18.100000000000001</v>
      </c>
      <c r="BU1004" s="59">
        <f t="shared" si="72"/>
        <v>0.43330000000000002</v>
      </c>
      <c r="BV1004" s="59">
        <v>3.85E-2</v>
      </c>
      <c r="BW1004" s="63">
        <v>0</v>
      </c>
      <c r="BX1004" s="63">
        <v>4.4900000000000002E-2</v>
      </c>
      <c r="BY1004" s="63">
        <v>0</v>
      </c>
      <c r="BZ1004" s="63">
        <v>0</v>
      </c>
      <c r="CA1004" s="88">
        <v>20.399999999999999</v>
      </c>
      <c r="CB1004" s="59">
        <f t="shared" si="73"/>
        <v>8.3400000000000002E-2</v>
      </c>
      <c r="CC1004" s="59">
        <v>0.42420000000000002</v>
      </c>
      <c r="CD1004" s="63">
        <v>0.33579999999999999</v>
      </c>
      <c r="CE1004" s="63">
        <v>0.23480000000000001</v>
      </c>
      <c r="CF1004" s="63">
        <v>0</v>
      </c>
      <c r="CG1004" s="63">
        <v>5.1999999999999998E-3</v>
      </c>
      <c r="CH1004" s="88">
        <v>15.9</v>
      </c>
      <c r="CI1004" s="26" t="s">
        <v>133</v>
      </c>
      <c r="CJ1004" s="18" t="s">
        <v>505</v>
      </c>
      <c r="CK1004" s="20"/>
    </row>
    <row r="1005" spans="1:99" x14ac:dyDescent="0.25">
      <c r="A1005" s="18" t="s">
        <v>505</v>
      </c>
      <c r="B1005" s="19" t="s">
        <v>127</v>
      </c>
      <c r="C1005" s="26" t="s">
        <v>134</v>
      </c>
      <c r="D1005" s="6">
        <v>3</v>
      </c>
      <c r="E1005" s="40" t="s">
        <v>83</v>
      </c>
      <c r="F1005" s="6">
        <v>3</v>
      </c>
      <c r="N1005" s="119">
        <v>6.9124423963133601E-3</v>
      </c>
      <c r="O1005" s="119">
        <v>6.9124423963133601E-3</v>
      </c>
      <c r="P1005" s="116" t="s">
        <v>83</v>
      </c>
      <c r="Q1005" s="116" t="s">
        <v>83</v>
      </c>
      <c r="R1005" s="119">
        <v>0</v>
      </c>
      <c r="S1005" s="119">
        <v>0</v>
      </c>
      <c r="T1005" s="119">
        <v>8.7719298245613996E-3</v>
      </c>
      <c r="U1005" s="119">
        <v>1.8181818181818198E-2</v>
      </c>
      <c r="V1005" s="119">
        <v>0</v>
      </c>
      <c r="W1005" s="6">
        <v>397</v>
      </c>
      <c r="X1005" s="40">
        <f t="shared" si="70"/>
        <v>397</v>
      </c>
      <c r="Y1005" s="40">
        <f t="shared" si="71"/>
        <v>397</v>
      </c>
      <c r="Z1005" s="59">
        <v>0.47860000000000003</v>
      </c>
      <c r="AA1005" s="59">
        <v>0.52139999999999997</v>
      </c>
      <c r="AB1005" s="61">
        <v>5.0377833753148613E-3</v>
      </c>
      <c r="AC1005" s="61">
        <v>2.5188916876574307E-3</v>
      </c>
      <c r="AD1005" s="61">
        <v>0.39294710327455917</v>
      </c>
      <c r="AE1005" s="61">
        <v>3.5264483627204031E-2</v>
      </c>
      <c r="AF1005" s="61">
        <v>0</v>
      </c>
      <c r="AG1005" s="61">
        <v>0.54156171284634758</v>
      </c>
      <c r="AH1005" s="61">
        <v>2.2670025188916875E-2</v>
      </c>
      <c r="AI1005" s="61">
        <v>0.45843828715365237</v>
      </c>
      <c r="AJ1005" s="59">
        <v>0.75060000000000004</v>
      </c>
      <c r="AK1005" s="59">
        <v>7.6E-3</v>
      </c>
      <c r="AL1005" s="3">
        <v>0</v>
      </c>
      <c r="AM1005" s="3">
        <v>0</v>
      </c>
      <c r="AN1005" s="3">
        <v>1</v>
      </c>
      <c r="AO1005" s="3">
        <v>98</v>
      </c>
      <c r="AP1005" s="3">
        <v>113</v>
      </c>
      <c r="AQ1005" s="3">
        <v>93</v>
      </c>
      <c r="AR1005" s="3">
        <v>92</v>
      </c>
      <c r="AS1005" s="59">
        <v>1.0101010101010102E-2</v>
      </c>
      <c r="AT1005" s="3">
        <v>9</v>
      </c>
      <c r="AU1005" s="3">
        <v>6</v>
      </c>
      <c r="AV1005" s="49">
        <v>80.427046263345204</v>
      </c>
      <c r="AW1005" s="49">
        <v>16.725978647686802</v>
      </c>
      <c r="AX1005" s="49">
        <v>2.8469750889679699</v>
      </c>
      <c r="AY1005" s="67">
        <v>0</v>
      </c>
      <c r="AZ1005" s="63">
        <v>0.11981566820276497</v>
      </c>
      <c r="BA1005" s="63">
        <v>0.1313364055299539</v>
      </c>
      <c r="BB1005" s="78">
        <v>90.339512893091594</v>
      </c>
      <c r="BC1005" s="49">
        <v>76.430205949656795</v>
      </c>
      <c r="BD1005" s="3"/>
      <c r="BE1005" s="3"/>
      <c r="BF1005" s="3"/>
      <c r="BG1005" s="3"/>
      <c r="BH1005" s="3"/>
      <c r="BI1005" s="3"/>
      <c r="BJ1005" s="88">
        <v>18.899999999999999</v>
      </c>
      <c r="BK1005" s="126">
        <v>14690</v>
      </c>
      <c r="BL1005" s="126">
        <v>53929</v>
      </c>
      <c r="BM1005" s="126">
        <v>70274</v>
      </c>
      <c r="BN1005" s="126">
        <v>48709</v>
      </c>
      <c r="BO1005" s="59">
        <v>3.6999999999999998E-2</v>
      </c>
      <c r="BP1005" s="63">
        <v>0.3422</v>
      </c>
      <c r="BQ1005" s="63">
        <v>0.1202</v>
      </c>
      <c r="BR1005" s="63">
        <v>0</v>
      </c>
      <c r="BS1005" s="63">
        <v>0</v>
      </c>
      <c r="BT1005" s="88">
        <v>11.9</v>
      </c>
      <c r="BU1005" s="59">
        <f t="shared" si="72"/>
        <v>0.49939999999999996</v>
      </c>
      <c r="BV1005" s="59">
        <v>4.4200000000000003E-2</v>
      </c>
      <c r="BW1005" s="63">
        <v>0</v>
      </c>
      <c r="BX1005" s="63">
        <v>5.6800000000000003E-2</v>
      </c>
      <c r="BY1005" s="63">
        <v>0</v>
      </c>
      <c r="BZ1005" s="63">
        <v>0</v>
      </c>
      <c r="CA1005" s="88">
        <v>18.8</v>
      </c>
      <c r="CB1005" s="59">
        <f t="shared" si="73"/>
        <v>0.10100000000000001</v>
      </c>
      <c r="CC1005" s="59">
        <v>0.37209999999999999</v>
      </c>
      <c r="CD1005" s="63">
        <v>0.4</v>
      </c>
      <c r="CE1005" s="63">
        <v>0.22789999999999999</v>
      </c>
      <c r="CF1005" s="63">
        <v>0</v>
      </c>
      <c r="CG1005" s="63">
        <v>0</v>
      </c>
      <c r="CH1005" s="88">
        <v>13.7</v>
      </c>
      <c r="CI1005" s="26" t="s">
        <v>134</v>
      </c>
      <c r="CJ1005" s="18" t="s">
        <v>505</v>
      </c>
      <c r="CK1005" s="20"/>
    </row>
    <row r="1006" spans="1:99" x14ac:dyDescent="0.25">
      <c r="A1006" s="18" t="s">
        <v>505</v>
      </c>
      <c r="B1006" s="19" t="s">
        <v>127</v>
      </c>
      <c r="C1006" s="26" t="s">
        <v>135</v>
      </c>
      <c r="D1006" s="6">
        <v>15</v>
      </c>
      <c r="E1006" s="40" t="s">
        <v>83</v>
      </c>
      <c r="F1006" s="6">
        <v>15</v>
      </c>
      <c r="N1006" s="119">
        <v>1.34408602150538E-2</v>
      </c>
      <c r="O1006" s="119">
        <v>1.34408602150538E-2</v>
      </c>
      <c r="P1006" s="116" t="s">
        <v>83</v>
      </c>
      <c r="Q1006" s="116" t="s">
        <v>83</v>
      </c>
      <c r="R1006" s="119">
        <v>0</v>
      </c>
      <c r="S1006" s="119">
        <v>1.8315018315018299E-2</v>
      </c>
      <c r="T1006" s="119">
        <v>6.7567567567567597E-3</v>
      </c>
      <c r="U1006" s="119">
        <v>7.9051383399209498E-3</v>
      </c>
      <c r="V1006" s="119">
        <v>2.4590163934426201E-2</v>
      </c>
      <c r="W1006" s="6">
        <v>1028</v>
      </c>
      <c r="X1006" s="40">
        <f t="shared" si="70"/>
        <v>1028</v>
      </c>
      <c r="Y1006" s="40">
        <f t="shared" si="71"/>
        <v>1028</v>
      </c>
      <c r="Z1006" s="59">
        <v>0.4874</v>
      </c>
      <c r="AA1006" s="59">
        <v>0.51259999999999994</v>
      </c>
      <c r="AB1006" s="61">
        <v>1.9455252918287938E-3</v>
      </c>
      <c r="AC1006" s="61">
        <v>5.8365758754863814E-3</v>
      </c>
      <c r="AD1006" s="61">
        <v>0.38229571984435795</v>
      </c>
      <c r="AE1006" s="61">
        <v>3.8910505836575876E-2</v>
      </c>
      <c r="AF1006" s="61">
        <v>0</v>
      </c>
      <c r="AG1006" s="61">
        <v>0.55933852140077822</v>
      </c>
      <c r="AH1006" s="61">
        <v>1.1673151750972763E-2</v>
      </c>
      <c r="AI1006" s="61">
        <v>0.44066147859922178</v>
      </c>
      <c r="AJ1006" s="59">
        <v>0.6089</v>
      </c>
      <c r="AK1006" s="59">
        <v>8.8000000000000005E-3</v>
      </c>
      <c r="AL1006" s="3">
        <v>0</v>
      </c>
      <c r="AM1006" s="3">
        <v>0</v>
      </c>
      <c r="AN1006" s="3">
        <v>48</v>
      </c>
      <c r="AO1006" s="3">
        <v>247</v>
      </c>
      <c r="AP1006" s="3">
        <v>268</v>
      </c>
      <c r="AQ1006" s="3">
        <v>228</v>
      </c>
      <c r="AR1006" s="3">
        <v>237</v>
      </c>
      <c r="AS1006" s="59">
        <v>0.16271186440677965</v>
      </c>
      <c r="AT1006" s="3">
        <v>9</v>
      </c>
      <c r="AU1006" s="3">
        <v>6</v>
      </c>
      <c r="AV1006" s="49">
        <v>62.126865671641795</v>
      </c>
      <c r="AW1006" s="49">
        <v>12.8731343283582</v>
      </c>
      <c r="AX1006" s="49">
        <v>23.134328358209</v>
      </c>
      <c r="AY1006" s="67">
        <v>1.8656716417910402</v>
      </c>
      <c r="AZ1006" s="63">
        <v>0.12894499549143373</v>
      </c>
      <c r="BA1006" s="63">
        <v>0.10279531109107304</v>
      </c>
      <c r="BB1006" s="77">
        <v>92.530877624083701</v>
      </c>
      <c r="BC1006" s="49">
        <v>68.1899641577061</v>
      </c>
      <c r="BD1006" s="3"/>
      <c r="BE1006" s="3"/>
      <c r="BF1006" s="3"/>
      <c r="BG1006" s="3"/>
      <c r="BH1006" s="3"/>
      <c r="BI1006" s="3"/>
      <c r="BJ1006" s="88">
        <v>18.600000000000001</v>
      </c>
      <c r="BK1006" s="126">
        <v>11368</v>
      </c>
      <c r="BL1006" s="126">
        <v>53787</v>
      </c>
      <c r="BM1006" s="126">
        <v>53945</v>
      </c>
      <c r="BN1006" s="126">
        <v>44751</v>
      </c>
      <c r="BO1006" s="59">
        <v>8.6E-3</v>
      </c>
      <c r="BP1006" s="63">
        <v>0.34420000000000001</v>
      </c>
      <c r="BQ1006" s="63">
        <v>0.18099999999999999</v>
      </c>
      <c r="BR1006" s="63">
        <v>0</v>
      </c>
      <c r="BS1006" s="63">
        <v>0</v>
      </c>
      <c r="BT1006" s="88">
        <v>11.2</v>
      </c>
      <c r="BU1006" s="59">
        <f t="shared" si="72"/>
        <v>0.53380000000000005</v>
      </c>
      <c r="BV1006" s="59">
        <v>5.0700000000000002E-2</v>
      </c>
      <c r="BW1006" s="63">
        <v>0</v>
      </c>
      <c r="BX1006" s="63">
        <v>4.1399999999999999E-2</v>
      </c>
      <c r="BY1006" s="63">
        <v>0</v>
      </c>
      <c r="BZ1006" s="63">
        <v>0</v>
      </c>
      <c r="CA1006" s="88">
        <v>18.5</v>
      </c>
      <c r="CB1006" s="59">
        <f t="shared" si="73"/>
        <v>9.2100000000000001E-2</v>
      </c>
      <c r="CC1006" s="59">
        <v>0.32450000000000001</v>
      </c>
      <c r="CD1006" s="63">
        <v>0.4098</v>
      </c>
      <c r="CE1006" s="63">
        <v>0.26569999999999999</v>
      </c>
      <c r="CF1006" s="63">
        <v>0</v>
      </c>
      <c r="CG1006" s="63">
        <v>0</v>
      </c>
      <c r="CH1006" s="88">
        <v>11.8</v>
      </c>
      <c r="CI1006" s="26" t="s">
        <v>135</v>
      </c>
      <c r="CJ1006" s="18" t="s">
        <v>505</v>
      </c>
      <c r="CK1006" s="20"/>
    </row>
    <row r="1007" spans="1:99" x14ac:dyDescent="0.25">
      <c r="A1007" s="18" t="s">
        <v>505</v>
      </c>
      <c r="B1007" s="19" t="s">
        <v>127</v>
      </c>
      <c r="C1007" s="26" t="s">
        <v>136</v>
      </c>
      <c r="D1007" s="6">
        <v>51</v>
      </c>
      <c r="E1007" s="40" t="s">
        <v>83</v>
      </c>
      <c r="F1007" s="6">
        <v>51</v>
      </c>
      <c r="N1007" s="119">
        <v>2.82548476454294E-2</v>
      </c>
      <c r="O1007" s="119">
        <v>2.82548476454294E-2</v>
      </c>
      <c r="P1007" s="116" t="s">
        <v>83</v>
      </c>
      <c r="Q1007" s="116" t="s">
        <v>83</v>
      </c>
      <c r="R1007" s="119">
        <v>0</v>
      </c>
      <c r="S1007" s="119">
        <v>1.3245033112582801E-2</v>
      </c>
      <c r="T1007" s="119">
        <v>3.0549898167006099E-2</v>
      </c>
      <c r="U1007" s="119">
        <v>3.2863849765258198E-2</v>
      </c>
      <c r="V1007" s="119">
        <v>3.7296037296037303E-2</v>
      </c>
      <c r="W1007" s="6">
        <v>1662</v>
      </c>
      <c r="X1007" s="40">
        <f t="shared" si="70"/>
        <v>1662</v>
      </c>
      <c r="Y1007" s="40">
        <f t="shared" si="71"/>
        <v>1662</v>
      </c>
      <c r="Z1007" s="59">
        <v>0.50900000000000001</v>
      </c>
      <c r="AA1007" s="59">
        <v>0.49099999999999999</v>
      </c>
      <c r="AB1007" s="61">
        <v>3.6101083032490976E-3</v>
      </c>
      <c r="AC1007" s="61">
        <v>6.0168471720818293E-3</v>
      </c>
      <c r="AD1007" s="61">
        <v>0.73285198555956677</v>
      </c>
      <c r="AE1007" s="61">
        <v>2.8880866425992781E-2</v>
      </c>
      <c r="AF1007" s="61">
        <v>6.0168471720818293E-4</v>
      </c>
      <c r="AG1007" s="61">
        <v>0.21299638989169675</v>
      </c>
      <c r="AH1007" s="61">
        <v>1.5042117930204572E-2</v>
      </c>
      <c r="AI1007" s="61">
        <v>0.78700361010830322</v>
      </c>
      <c r="AJ1007" s="59">
        <v>0.73350000000000004</v>
      </c>
      <c r="AK1007" s="59">
        <v>1.0800000000000001E-2</v>
      </c>
      <c r="AL1007" s="3">
        <v>0</v>
      </c>
      <c r="AM1007" s="3">
        <v>0</v>
      </c>
      <c r="AN1007" s="3">
        <v>1</v>
      </c>
      <c r="AO1007" s="3">
        <v>421</v>
      </c>
      <c r="AP1007" s="3">
        <v>443</v>
      </c>
      <c r="AQ1007" s="3">
        <v>392</v>
      </c>
      <c r="AR1007" s="3">
        <v>405</v>
      </c>
      <c r="AS1007" s="59">
        <v>2.3696682464454978E-3</v>
      </c>
      <c r="AT1007" s="3">
        <v>9</v>
      </c>
      <c r="AU1007" s="3">
        <v>6</v>
      </c>
      <c r="AV1007" s="49">
        <v>36.276391554702499</v>
      </c>
      <c r="AW1007" s="49">
        <v>13.435700575815702</v>
      </c>
      <c r="AX1007" s="49">
        <v>32.8214971209213</v>
      </c>
      <c r="AY1007" s="67">
        <v>17.466410748560502</v>
      </c>
      <c r="AZ1007" s="63">
        <v>0.15112359550561799</v>
      </c>
      <c r="BA1007" s="63">
        <v>0.12022471910112359</v>
      </c>
      <c r="BB1007" s="78">
        <v>92.205658114849996</v>
      </c>
      <c r="BC1007" s="49">
        <v>70.947840717891197</v>
      </c>
      <c r="BD1007" s="3"/>
      <c r="BE1007" s="3"/>
      <c r="BF1007" s="3"/>
      <c r="BG1007" s="3"/>
      <c r="BH1007" s="3"/>
      <c r="BI1007" s="3"/>
      <c r="BJ1007" s="88">
        <v>17.100000000000001</v>
      </c>
      <c r="BK1007" s="126">
        <v>9767</v>
      </c>
      <c r="BL1007" s="126">
        <v>53135</v>
      </c>
      <c r="BM1007" s="126">
        <v>62882</v>
      </c>
      <c r="BN1007" s="126">
        <v>47547</v>
      </c>
      <c r="BO1007" s="59">
        <v>1.6199999999999999E-2</v>
      </c>
      <c r="BP1007" s="63">
        <v>0.42180000000000001</v>
      </c>
      <c r="BQ1007" s="63">
        <v>0.15210000000000001</v>
      </c>
      <c r="BR1007" s="63">
        <v>0</v>
      </c>
      <c r="BS1007" s="63">
        <v>0</v>
      </c>
      <c r="BT1007" s="88">
        <v>11.5</v>
      </c>
      <c r="BU1007" s="59">
        <f t="shared" si="72"/>
        <v>0.59010000000000007</v>
      </c>
      <c r="BV1007" s="59">
        <v>3.7999999999999999E-2</v>
      </c>
      <c r="BW1007" s="63">
        <v>6.1999999999999998E-3</v>
      </c>
      <c r="BX1007" s="63">
        <v>4.0599999999999997E-2</v>
      </c>
      <c r="BY1007" s="63">
        <v>0</v>
      </c>
      <c r="BZ1007" s="63">
        <v>0</v>
      </c>
      <c r="CA1007" s="88">
        <v>21.9</v>
      </c>
      <c r="CB1007" s="59">
        <f t="shared" si="73"/>
        <v>8.4799999999999986E-2</v>
      </c>
      <c r="CC1007" s="59">
        <v>0.2732</v>
      </c>
      <c r="CD1007" s="63">
        <v>0.49230000000000002</v>
      </c>
      <c r="CE1007" s="63">
        <v>0.23449999999999999</v>
      </c>
      <c r="CF1007" s="63">
        <v>0</v>
      </c>
      <c r="CG1007" s="63">
        <v>0</v>
      </c>
      <c r="CH1007" s="88">
        <v>13.5</v>
      </c>
      <c r="CI1007" s="26" t="s">
        <v>136</v>
      </c>
      <c r="CJ1007" s="18" t="s">
        <v>505</v>
      </c>
      <c r="CK1007" s="20"/>
    </row>
    <row r="1008" spans="1:99" x14ac:dyDescent="0.25">
      <c r="A1008" s="18" t="s">
        <v>505</v>
      </c>
      <c r="B1008" s="19" t="s">
        <v>127</v>
      </c>
      <c r="C1008" s="26" t="s">
        <v>137</v>
      </c>
      <c r="D1008" s="6">
        <v>55</v>
      </c>
      <c r="E1008" s="40" t="s">
        <v>83</v>
      </c>
      <c r="F1008" s="6">
        <v>55</v>
      </c>
      <c r="N1008" s="119">
        <v>4.52674897119342E-2</v>
      </c>
      <c r="O1008" s="119">
        <v>4.52674897119342E-2</v>
      </c>
      <c r="P1008" s="116" t="s">
        <v>83</v>
      </c>
      <c r="Q1008" s="116" t="s">
        <v>83</v>
      </c>
      <c r="R1008" s="119">
        <v>0</v>
      </c>
      <c r="S1008" s="119">
        <v>3.92749244712991E-2</v>
      </c>
      <c r="T1008" s="119">
        <v>4.9019607843137303E-2</v>
      </c>
      <c r="U1008" s="119">
        <v>7.09219858156028E-2</v>
      </c>
      <c r="V1008" s="119">
        <v>2.41379310344828E-2</v>
      </c>
      <c r="W1008" s="6">
        <v>999</v>
      </c>
      <c r="X1008" s="40">
        <f t="shared" si="70"/>
        <v>999</v>
      </c>
      <c r="Y1008" s="40">
        <f t="shared" si="71"/>
        <v>999</v>
      </c>
      <c r="Z1008" s="59">
        <v>0.50549999999999995</v>
      </c>
      <c r="AA1008" s="59">
        <v>0.4945</v>
      </c>
      <c r="AB1008" s="61">
        <v>1.001001001001001E-3</v>
      </c>
      <c r="AC1008" s="61">
        <v>0</v>
      </c>
      <c r="AD1008" s="61">
        <v>0.98498498498498499</v>
      </c>
      <c r="AE1008" s="61">
        <v>5.005005005005005E-3</v>
      </c>
      <c r="AF1008" s="61">
        <v>0</v>
      </c>
      <c r="AG1008" s="61">
        <v>6.006006006006006E-3</v>
      </c>
      <c r="AH1008" s="61">
        <v>3.003003003003003E-3</v>
      </c>
      <c r="AI1008" s="61">
        <v>0.99399399399399402</v>
      </c>
      <c r="AJ1008" s="59">
        <v>0.94389999999999996</v>
      </c>
      <c r="AK1008" s="59">
        <v>3.0000000000000001E-3</v>
      </c>
      <c r="AL1008" s="3">
        <v>0</v>
      </c>
      <c r="AM1008" s="3">
        <v>0</v>
      </c>
      <c r="AN1008" s="3">
        <v>6</v>
      </c>
      <c r="AO1008" s="3">
        <v>254</v>
      </c>
      <c r="AP1008" s="3">
        <v>248</v>
      </c>
      <c r="AQ1008" s="3">
        <v>228</v>
      </c>
      <c r="AR1008" s="3">
        <v>263</v>
      </c>
      <c r="AS1008" s="59">
        <v>2.3076923076923078E-2</v>
      </c>
      <c r="AT1008" s="3">
        <v>9</v>
      </c>
      <c r="AU1008" s="3">
        <v>6</v>
      </c>
      <c r="AV1008" s="49">
        <v>67.720465890183007</v>
      </c>
      <c r="AW1008" s="49">
        <v>22.4625623960067</v>
      </c>
      <c r="AX1008" s="49">
        <v>8.4858569051580712</v>
      </c>
      <c r="AY1008" s="67">
        <v>1.33111480865225</v>
      </c>
      <c r="AZ1008" s="63">
        <v>0.10960067969413764</v>
      </c>
      <c r="BA1008" s="63">
        <v>7.2217502124044181E-2</v>
      </c>
      <c r="BB1008" s="77">
        <v>88.707132723447998</v>
      </c>
      <c r="BC1008" s="49">
        <v>69.4166666666667</v>
      </c>
      <c r="BD1008" s="3"/>
      <c r="BE1008" s="3"/>
      <c r="BF1008" s="3"/>
      <c r="BG1008" s="3"/>
      <c r="BH1008" s="3"/>
      <c r="BI1008" s="3"/>
      <c r="BJ1008" s="88">
        <v>15.2</v>
      </c>
      <c r="BK1008" s="126">
        <v>11762</v>
      </c>
      <c r="BL1008" s="126">
        <v>54005</v>
      </c>
      <c r="BM1008" s="126">
        <v>51237</v>
      </c>
      <c r="BN1008" s="126">
        <v>43745</v>
      </c>
      <c r="BO1008" s="59">
        <v>2.87E-2</v>
      </c>
      <c r="BP1008" s="63">
        <v>0.2707</v>
      </c>
      <c r="BQ1008" s="63">
        <v>0.17730000000000001</v>
      </c>
      <c r="BR1008" s="63">
        <v>9.5999999999999992E-3</v>
      </c>
      <c r="BS1008" s="63">
        <v>1.47E-2</v>
      </c>
      <c r="BT1008" s="87">
        <v>12</v>
      </c>
      <c r="BU1008" s="59">
        <f t="shared" si="72"/>
        <v>0.501</v>
      </c>
      <c r="BV1008" s="59">
        <v>2.8400000000000002E-2</v>
      </c>
      <c r="BW1008" s="63">
        <v>2.87E-2</v>
      </c>
      <c r="BX1008" s="63">
        <v>4.7800000000000002E-2</v>
      </c>
      <c r="BY1008" s="63">
        <v>0</v>
      </c>
      <c r="BZ1008" s="63">
        <v>0</v>
      </c>
      <c r="CA1008" s="88">
        <v>15.7</v>
      </c>
      <c r="CB1008" s="59">
        <f t="shared" si="73"/>
        <v>0.10489999999999999</v>
      </c>
      <c r="CC1008" s="59">
        <v>0.31840000000000002</v>
      </c>
      <c r="CD1008" s="63">
        <v>0.39860000000000001</v>
      </c>
      <c r="CE1008" s="63">
        <v>0.24970000000000001</v>
      </c>
      <c r="CF1008" s="63">
        <v>9.5999999999999992E-3</v>
      </c>
      <c r="CG1008" s="63">
        <v>2.3699999999999999E-2</v>
      </c>
      <c r="CH1008" s="88">
        <v>13.2</v>
      </c>
      <c r="CI1008" s="26" t="s">
        <v>137</v>
      </c>
      <c r="CJ1008" s="18" t="s">
        <v>505</v>
      </c>
      <c r="CK1008" s="20"/>
    </row>
    <row r="1009" spans="1:89" x14ac:dyDescent="0.25">
      <c r="A1009" s="18" t="s">
        <v>505</v>
      </c>
      <c r="B1009" s="19" t="s">
        <v>127</v>
      </c>
      <c r="C1009" s="26" t="s">
        <v>138</v>
      </c>
      <c r="D1009" s="6">
        <v>45</v>
      </c>
      <c r="E1009" s="40" t="s">
        <v>83</v>
      </c>
      <c r="F1009" s="6">
        <v>45</v>
      </c>
      <c r="N1009" s="119">
        <v>4.54086781029263E-2</v>
      </c>
      <c r="O1009" s="119">
        <v>4.54086781029263E-2</v>
      </c>
      <c r="P1009" s="116" t="s">
        <v>83</v>
      </c>
      <c r="Q1009" s="116" t="s">
        <v>83</v>
      </c>
      <c r="R1009" s="116" t="s">
        <v>83</v>
      </c>
      <c r="S1009" s="119">
        <v>2.80373831775701E-2</v>
      </c>
      <c r="T1009" s="119">
        <v>6.5134099616858204E-2</v>
      </c>
      <c r="U1009" s="119">
        <v>5.0761421319797002E-2</v>
      </c>
      <c r="V1009" s="119">
        <v>4.2452830188679201E-2</v>
      </c>
      <c r="W1009" s="6">
        <v>837</v>
      </c>
      <c r="X1009" s="40">
        <f t="shared" si="70"/>
        <v>837</v>
      </c>
      <c r="Y1009" s="40">
        <f t="shared" si="71"/>
        <v>837</v>
      </c>
      <c r="Z1009" s="59">
        <v>0.4456</v>
      </c>
      <c r="AA1009" s="59">
        <v>0.5544</v>
      </c>
      <c r="AB1009" s="61">
        <v>0</v>
      </c>
      <c r="AC1009" s="61">
        <v>0</v>
      </c>
      <c r="AD1009" s="61">
        <v>0.97729988052568695</v>
      </c>
      <c r="AE1009" s="61">
        <v>7.1684587813620072E-3</v>
      </c>
      <c r="AF1009" s="61">
        <v>1.1947431302270011E-3</v>
      </c>
      <c r="AG1009" s="61">
        <v>9.557945041816009E-3</v>
      </c>
      <c r="AH1009" s="61">
        <v>4.7789725209080045E-3</v>
      </c>
      <c r="AI1009" s="61">
        <v>0.99044205495818394</v>
      </c>
      <c r="AJ1009" s="59">
        <v>0.91520000000000001</v>
      </c>
      <c r="AK1009" s="59">
        <v>4.7999999999999996E-3</v>
      </c>
      <c r="AL1009" s="3">
        <v>0</v>
      </c>
      <c r="AM1009" s="3">
        <v>0</v>
      </c>
      <c r="AN1009" s="3">
        <v>0</v>
      </c>
      <c r="AO1009" s="3">
        <v>250</v>
      </c>
      <c r="AP1009" s="3">
        <v>224</v>
      </c>
      <c r="AQ1009" s="3">
        <v>172</v>
      </c>
      <c r="AR1009" s="3">
        <v>191</v>
      </c>
      <c r="AS1009" s="59">
        <v>0</v>
      </c>
      <c r="AT1009" s="3">
        <v>9</v>
      </c>
      <c r="AU1009" s="3">
        <v>6</v>
      </c>
      <c r="AV1009" s="49">
        <v>51.602564102564095</v>
      </c>
      <c r="AW1009" s="49">
        <v>15.384615384615399</v>
      </c>
      <c r="AX1009" s="49">
        <v>22.435897435897402</v>
      </c>
      <c r="AY1009" s="67">
        <v>10.5769230769231</v>
      </c>
      <c r="AZ1009" s="63">
        <v>0.16804979253112035</v>
      </c>
      <c r="BA1009" s="63">
        <v>0.10892116182572614</v>
      </c>
      <c r="BB1009" s="78">
        <v>88.110675291982602</v>
      </c>
      <c r="BC1009" s="49">
        <v>72.689938398357299</v>
      </c>
      <c r="BD1009" s="3"/>
      <c r="BE1009" s="3"/>
      <c r="BF1009" s="3"/>
      <c r="BG1009" s="3"/>
      <c r="BH1009" s="3"/>
      <c r="BI1009" s="3"/>
      <c r="BJ1009" s="88">
        <v>14.5</v>
      </c>
      <c r="BK1009" s="126">
        <v>13006</v>
      </c>
      <c r="BL1009" s="126">
        <v>57376</v>
      </c>
      <c r="BM1009" s="126">
        <v>53538</v>
      </c>
      <c r="BN1009" s="126">
        <v>45948</v>
      </c>
      <c r="BO1009" s="59">
        <v>1.26E-2</v>
      </c>
      <c r="BP1009" s="63">
        <v>0.1522</v>
      </c>
      <c r="BQ1009" s="63">
        <v>0.26</v>
      </c>
      <c r="BR1009" s="63">
        <v>1.0200000000000001E-2</v>
      </c>
      <c r="BS1009" s="63">
        <v>2.0299999999999999E-2</v>
      </c>
      <c r="BT1009" s="88">
        <v>15.8</v>
      </c>
      <c r="BU1009" s="59">
        <f t="shared" si="72"/>
        <v>0.45529999999999998</v>
      </c>
      <c r="BV1009" s="59">
        <v>4.0899999999999999E-2</v>
      </c>
      <c r="BW1009" s="63">
        <v>0</v>
      </c>
      <c r="BX1009" s="63">
        <v>3.0599999999999999E-2</v>
      </c>
      <c r="BY1009" s="63">
        <v>0</v>
      </c>
      <c r="BZ1009" s="63">
        <v>1.0200000000000001E-2</v>
      </c>
      <c r="CA1009" s="88">
        <v>19.5</v>
      </c>
      <c r="CB1009" s="59">
        <f t="shared" si="73"/>
        <v>8.1699999999999995E-2</v>
      </c>
      <c r="CC1009" s="59">
        <v>0.3679</v>
      </c>
      <c r="CD1009" s="63">
        <v>0.2248</v>
      </c>
      <c r="CE1009" s="63">
        <v>0.35630000000000001</v>
      </c>
      <c r="CF1009" s="63">
        <v>2.0500000000000001E-2</v>
      </c>
      <c r="CG1009" s="63">
        <v>3.0599999999999999E-2</v>
      </c>
      <c r="CH1009" s="88">
        <v>14.5</v>
      </c>
      <c r="CI1009" s="26" t="s">
        <v>138</v>
      </c>
      <c r="CJ1009" s="18" t="s">
        <v>505</v>
      </c>
      <c r="CK1009" s="20"/>
    </row>
    <row r="1010" spans="1:89" x14ac:dyDescent="0.25">
      <c r="A1010" s="18" t="s">
        <v>505</v>
      </c>
      <c r="B1010" s="19" t="s">
        <v>127</v>
      </c>
      <c r="C1010" s="26" t="s">
        <v>491</v>
      </c>
      <c r="D1010" s="6">
        <v>3</v>
      </c>
      <c r="E1010" s="6">
        <v>1</v>
      </c>
      <c r="F1010" s="6">
        <v>2</v>
      </c>
      <c r="N1010" s="119">
        <v>6.8807339449541297E-3</v>
      </c>
      <c r="O1010" s="119">
        <v>1.49253731343284E-2</v>
      </c>
      <c r="P1010" s="119">
        <v>0</v>
      </c>
      <c r="Q1010" s="119">
        <v>7.9365079365079395E-3</v>
      </c>
      <c r="R1010" s="116" t="s">
        <v>83</v>
      </c>
      <c r="S1010" s="119">
        <v>0</v>
      </c>
      <c r="T1010" s="119">
        <v>3.2786885245901599E-2</v>
      </c>
      <c r="U1010" s="116" t="s">
        <v>83</v>
      </c>
      <c r="V1010" s="116" t="s">
        <v>83</v>
      </c>
      <c r="W1010" s="6">
        <v>1293</v>
      </c>
      <c r="X1010" s="40">
        <f t="shared" si="70"/>
        <v>122</v>
      </c>
      <c r="Y1010" s="40">
        <f t="shared" si="71"/>
        <v>409</v>
      </c>
      <c r="Z1010" s="59">
        <v>0.49419999999999997</v>
      </c>
      <c r="AA1010" s="59">
        <v>0.50580000000000003</v>
      </c>
      <c r="AB1010" s="61">
        <v>7.7339520494972935E-4</v>
      </c>
      <c r="AC1010" s="61">
        <v>2.3201856148491878E-3</v>
      </c>
      <c r="AD1010" s="61">
        <v>0.76720804331013148</v>
      </c>
      <c r="AE1010" s="61">
        <v>3.9443155452436193E-2</v>
      </c>
      <c r="AF1010" s="61">
        <v>0</v>
      </c>
      <c r="AG1010" s="61">
        <v>0.16937354988399073</v>
      </c>
      <c r="AH1010" s="61">
        <v>2.0881670533642691E-2</v>
      </c>
      <c r="AI1010" s="61">
        <v>0.83062645011600933</v>
      </c>
      <c r="AJ1010" s="59">
        <v>0.76490000000000002</v>
      </c>
      <c r="AK1010" s="59">
        <v>1.3899999999999999E-2</v>
      </c>
      <c r="AL1010" s="3">
        <v>167</v>
      </c>
      <c r="AM1010" s="3">
        <v>120</v>
      </c>
      <c r="AN1010" s="3">
        <v>0</v>
      </c>
      <c r="AO1010" s="3">
        <v>67</v>
      </c>
      <c r="AP1010" s="3">
        <v>55</v>
      </c>
      <c r="AQ1010" s="3">
        <v>0</v>
      </c>
      <c r="AR1010" s="3">
        <v>0</v>
      </c>
      <c r="AS1010" s="59">
        <v>0</v>
      </c>
      <c r="AT1010" s="3">
        <v>1</v>
      </c>
      <c r="AU1010" s="3">
        <v>1</v>
      </c>
      <c r="AV1010" s="49">
        <v>47.599999999999994</v>
      </c>
      <c r="AW1010" s="49">
        <v>43.4</v>
      </c>
      <c r="AX1010" s="49">
        <v>7.3999999999999995</v>
      </c>
      <c r="AY1010" s="67">
        <v>1.6</v>
      </c>
      <c r="AZ1010" s="63">
        <v>4.3699927166788055E-2</v>
      </c>
      <c r="BA1010" s="63">
        <v>0.13546977421704298</v>
      </c>
      <c r="BB1010" s="77">
        <v>97.190980151504505</v>
      </c>
      <c r="BC1010" s="49">
        <v>30.981818181818198</v>
      </c>
      <c r="BD1010" s="3"/>
      <c r="BE1010" s="3"/>
      <c r="BF1010" s="3"/>
      <c r="BG1010" s="3"/>
      <c r="BH1010" s="3"/>
      <c r="BI1010" s="3"/>
      <c r="BJ1010" s="49"/>
      <c r="BK1010" s="49"/>
      <c r="BL1010" s="49"/>
      <c r="BM1010" s="49"/>
      <c r="BN1010" s="49"/>
      <c r="BO1010" s="59"/>
      <c r="BP1010" s="59"/>
      <c r="BQ1010" s="59"/>
      <c r="BR1010" s="59"/>
      <c r="BS1010" s="59"/>
      <c r="BT1010" s="49"/>
      <c r="BU1010" s="59"/>
      <c r="BV1010" s="59"/>
      <c r="BW1010" s="59"/>
      <c r="BX1010" s="59"/>
      <c r="BY1010" s="59"/>
      <c r="BZ1010" s="59"/>
      <c r="CA1010" s="49"/>
      <c r="CB1010" s="59"/>
      <c r="CC1010" s="59"/>
      <c r="CD1010" s="59"/>
      <c r="CE1010" s="59"/>
      <c r="CF1010" s="59"/>
      <c r="CG1010" s="59"/>
      <c r="CH1010" s="49"/>
      <c r="CI1010" s="26" t="s">
        <v>491</v>
      </c>
      <c r="CJ1010" s="18" t="s">
        <v>505</v>
      </c>
      <c r="CK1010" s="20" t="s">
        <v>506</v>
      </c>
    </row>
    <row r="1011" spans="1:89" x14ac:dyDescent="0.25">
      <c r="A1011" s="18" t="s">
        <v>505</v>
      </c>
      <c r="B1011" s="19" t="s">
        <v>139</v>
      </c>
      <c r="C1011" s="26" t="s">
        <v>140</v>
      </c>
      <c r="D1011" s="6">
        <v>26</v>
      </c>
      <c r="E1011" s="40" t="s">
        <v>83</v>
      </c>
      <c r="F1011" s="6">
        <v>26</v>
      </c>
      <c r="N1011" s="119">
        <v>1.2138188608776799E-2</v>
      </c>
      <c r="O1011" s="119">
        <v>1.2138188608776799E-2</v>
      </c>
      <c r="P1011" s="116" t="s">
        <v>83</v>
      </c>
      <c r="Q1011" s="116" t="s">
        <v>83</v>
      </c>
      <c r="R1011" s="119">
        <v>0</v>
      </c>
      <c r="S1011" s="119">
        <v>4.98338870431894E-3</v>
      </c>
      <c r="T1011" s="119">
        <v>1.31086142322097E-2</v>
      </c>
      <c r="U1011" s="119">
        <v>1.5717092337917501E-2</v>
      </c>
      <c r="V1011" s="119">
        <v>1.6460905349794198E-2</v>
      </c>
      <c r="W1011" s="6">
        <v>2032</v>
      </c>
      <c r="X1011" s="40">
        <f t="shared" si="70"/>
        <v>2032</v>
      </c>
      <c r="Y1011" s="40">
        <f t="shared" si="71"/>
        <v>2032</v>
      </c>
      <c r="Z1011" s="59">
        <v>0.49059999999999998</v>
      </c>
      <c r="AA1011" s="59">
        <v>0.50939999999999996</v>
      </c>
      <c r="AB1011" s="61">
        <v>2.952755905511811E-3</v>
      </c>
      <c r="AC1011" s="61">
        <v>4.8228346456692911E-2</v>
      </c>
      <c r="AD1011" s="61">
        <v>0.31496062992125984</v>
      </c>
      <c r="AE1011" s="61">
        <v>3.4448818897637797E-2</v>
      </c>
      <c r="AF1011" s="61">
        <v>9.8425196850393699E-4</v>
      </c>
      <c r="AG1011" s="61">
        <v>0.59202755905511806</v>
      </c>
      <c r="AH1011" s="61">
        <v>6.3976377952755905E-3</v>
      </c>
      <c r="AI1011" s="61">
        <v>0.40797244094488189</v>
      </c>
      <c r="AJ1011" s="59">
        <v>0.4365</v>
      </c>
      <c r="AK1011" s="59">
        <v>1.67E-2</v>
      </c>
      <c r="AL1011" s="3">
        <v>0</v>
      </c>
      <c r="AM1011" s="3">
        <v>0</v>
      </c>
      <c r="AN1011" s="3">
        <v>11</v>
      </c>
      <c r="AO1011" s="3">
        <v>567</v>
      </c>
      <c r="AP1011" s="3">
        <v>512</v>
      </c>
      <c r="AQ1011" s="3">
        <v>472</v>
      </c>
      <c r="AR1011" s="3">
        <v>470</v>
      </c>
      <c r="AS1011" s="59">
        <v>1.9031141868512111E-2</v>
      </c>
      <c r="AT1011" s="3">
        <v>9</v>
      </c>
      <c r="AU1011" s="3">
        <v>6</v>
      </c>
      <c r="AV1011" s="49">
        <v>52.5906735751295</v>
      </c>
      <c r="AW1011" s="49">
        <v>21.3730569948187</v>
      </c>
      <c r="AX1011" s="49">
        <v>23.575129533678801</v>
      </c>
      <c r="AY1011" s="67">
        <v>2.46113989637306</v>
      </c>
      <c r="AZ1011" s="63">
        <v>0.16009389671361501</v>
      </c>
      <c r="BA1011" s="63">
        <v>0.10281690140845071</v>
      </c>
      <c r="BB1011" s="77">
        <v>93.321555720156795</v>
      </c>
      <c r="BC1011" s="49">
        <v>56.792367105860997</v>
      </c>
      <c r="BD1011" s="3"/>
      <c r="BE1011" s="3"/>
      <c r="BF1011" s="3"/>
      <c r="BG1011" s="3"/>
      <c r="BH1011" s="3"/>
      <c r="BI1011" s="3"/>
      <c r="BJ1011" s="88">
        <v>21.4</v>
      </c>
      <c r="BK1011" s="126">
        <v>9842</v>
      </c>
      <c r="BL1011" s="126">
        <v>55154</v>
      </c>
      <c r="BM1011" s="126">
        <v>55252</v>
      </c>
      <c r="BN1011" s="126">
        <v>47400</v>
      </c>
      <c r="BO1011" s="59">
        <v>0</v>
      </c>
      <c r="BP1011" s="63">
        <v>0.2908</v>
      </c>
      <c r="BQ1011" s="63">
        <v>0.32</v>
      </c>
      <c r="BR1011" s="63">
        <v>1.66E-2</v>
      </c>
      <c r="BS1011" s="63">
        <v>0.01</v>
      </c>
      <c r="BT1011" s="88">
        <v>14.8</v>
      </c>
      <c r="BU1011" s="59">
        <f t="shared" si="72"/>
        <v>0.63739999999999997</v>
      </c>
      <c r="BV1011" s="59">
        <v>2.2499999999999999E-2</v>
      </c>
      <c r="BW1011" s="63">
        <v>1.5699999999999999E-2</v>
      </c>
      <c r="BX1011" s="63">
        <v>2.5999999999999999E-2</v>
      </c>
      <c r="BY1011" s="63">
        <v>5.5999999999999999E-3</v>
      </c>
      <c r="BZ1011" s="63">
        <v>0</v>
      </c>
      <c r="CA1011" s="88">
        <v>16.899999999999999</v>
      </c>
      <c r="CB1011" s="59">
        <f t="shared" si="73"/>
        <v>6.9799999999999987E-2</v>
      </c>
      <c r="CC1011" s="59">
        <v>0.22939999999999999</v>
      </c>
      <c r="CD1011" s="63">
        <v>0.34549999999999997</v>
      </c>
      <c r="CE1011" s="63">
        <v>0.39</v>
      </c>
      <c r="CF1011" s="63">
        <v>2.52E-2</v>
      </c>
      <c r="CG1011" s="63">
        <v>0.01</v>
      </c>
      <c r="CH1011" s="88">
        <v>13.2</v>
      </c>
      <c r="CI1011" s="26" t="s">
        <v>140</v>
      </c>
      <c r="CJ1011" s="18" t="s">
        <v>505</v>
      </c>
      <c r="CK1011" s="20"/>
    </row>
    <row r="1012" spans="1:89" x14ac:dyDescent="0.25">
      <c r="A1012" s="18" t="s">
        <v>505</v>
      </c>
      <c r="B1012" s="19" t="s">
        <v>139</v>
      </c>
      <c r="C1012" s="26" t="s">
        <v>141</v>
      </c>
      <c r="D1012" s="6">
        <v>0</v>
      </c>
      <c r="E1012" s="6">
        <v>0</v>
      </c>
      <c r="F1012" s="6">
        <v>0</v>
      </c>
      <c r="N1012" s="119">
        <v>0</v>
      </c>
      <c r="O1012" s="119">
        <v>0</v>
      </c>
      <c r="P1012" s="119">
        <v>0</v>
      </c>
      <c r="Q1012" s="119">
        <v>0</v>
      </c>
      <c r="R1012" s="119">
        <v>0</v>
      </c>
      <c r="S1012" s="119">
        <v>0</v>
      </c>
      <c r="T1012" s="119">
        <v>0</v>
      </c>
      <c r="U1012" s="119">
        <v>0</v>
      </c>
      <c r="V1012" s="119">
        <v>0</v>
      </c>
      <c r="W1012" s="6">
        <v>765</v>
      </c>
      <c r="X1012" s="40">
        <f t="shared" si="70"/>
        <v>215</v>
      </c>
      <c r="Y1012" s="40">
        <f t="shared" si="71"/>
        <v>323</v>
      </c>
      <c r="Z1012" s="59">
        <v>0.498</v>
      </c>
      <c r="AA1012" s="59">
        <v>0.502</v>
      </c>
      <c r="AB1012" s="61">
        <v>5.2287581699346402E-3</v>
      </c>
      <c r="AC1012" s="61">
        <v>5.2287581699346402E-3</v>
      </c>
      <c r="AD1012" s="61">
        <v>2.8758169934640521E-2</v>
      </c>
      <c r="AE1012" s="61">
        <v>5.0980392156862744E-2</v>
      </c>
      <c r="AF1012" s="61">
        <v>0</v>
      </c>
      <c r="AG1012" s="61">
        <v>0.8901960784313725</v>
      </c>
      <c r="AH1012" s="61">
        <v>1.9607843137254902E-2</v>
      </c>
      <c r="AI1012" s="61">
        <v>0.10980392156862745</v>
      </c>
      <c r="AJ1012" s="59">
        <v>0.49540000000000001</v>
      </c>
      <c r="AK1012" s="59">
        <v>2.0899999999999998E-2</v>
      </c>
      <c r="AL1012" s="3">
        <v>52</v>
      </c>
      <c r="AM1012" s="3">
        <v>56</v>
      </c>
      <c r="AN1012" s="3">
        <v>1</v>
      </c>
      <c r="AO1012" s="3">
        <v>47</v>
      </c>
      <c r="AP1012" s="3">
        <v>59</v>
      </c>
      <c r="AQ1012" s="3">
        <v>48</v>
      </c>
      <c r="AR1012" s="3">
        <v>60</v>
      </c>
      <c r="AS1012" s="59">
        <v>2.0833333333333332E-2</v>
      </c>
      <c r="AT1012" s="3">
        <v>1</v>
      </c>
      <c r="AU1012" s="3">
        <v>6</v>
      </c>
      <c r="AV1012" s="49">
        <v>70.212765957446805</v>
      </c>
      <c r="AW1012" s="49">
        <v>24.620060790273602</v>
      </c>
      <c r="AX1012" s="49">
        <v>3.9513677811550201</v>
      </c>
      <c r="AY1012" s="67">
        <v>1.21580547112462</v>
      </c>
      <c r="AZ1012" s="63">
        <v>9.1024020227560051E-2</v>
      </c>
      <c r="BA1012" s="63">
        <v>1.3906447534766119E-2</v>
      </c>
      <c r="BB1012" s="78">
        <v>94.257552176862603</v>
      </c>
      <c r="BC1012" s="49">
        <v>62.6666666666667</v>
      </c>
      <c r="BD1012" s="3"/>
      <c r="BE1012" s="3"/>
      <c r="BF1012" s="3"/>
      <c r="BG1012" s="3"/>
      <c r="BH1012" s="3"/>
      <c r="BI1012" s="3"/>
      <c r="BJ1012" s="88">
        <v>19.2</v>
      </c>
      <c r="BK1012" s="126">
        <v>11664</v>
      </c>
      <c r="BL1012" s="126">
        <v>56003</v>
      </c>
      <c r="BM1012" s="126">
        <v>48809</v>
      </c>
      <c r="BN1012" s="126">
        <v>44912</v>
      </c>
      <c r="BO1012" s="59">
        <v>0</v>
      </c>
      <c r="BP1012" s="63">
        <v>0.33510000000000001</v>
      </c>
      <c r="BQ1012" s="63">
        <v>0.2152</v>
      </c>
      <c r="BR1012" s="63">
        <v>1.04E-2</v>
      </c>
      <c r="BS1012" s="63">
        <v>0</v>
      </c>
      <c r="BT1012" s="88">
        <v>16.8</v>
      </c>
      <c r="BU1012" s="59">
        <f t="shared" si="72"/>
        <v>0.56069999999999998</v>
      </c>
      <c r="BV1012" s="59">
        <v>4.19E-2</v>
      </c>
      <c r="BW1012" s="63">
        <v>0</v>
      </c>
      <c r="BX1012" s="63">
        <v>3.2500000000000001E-2</v>
      </c>
      <c r="BY1012" s="63">
        <v>0</v>
      </c>
      <c r="BZ1012" s="63">
        <v>0</v>
      </c>
      <c r="CA1012" s="88">
        <v>15.3</v>
      </c>
      <c r="CB1012" s="59">
        <f t="shared" si="73"/>
        <v>7.4399999999999994E-2</v>
      </c>
      <c r="CC1012" s="59">
        <v>0.35699999999999998</v>
      </c>
      <c r="CD1012" s="63">
        <v>0.35049999999999998</v>
      </c>
      <c r="CE1012" s="63">
        <v>0.2802</v>
      </c>
      <c r="CF1012" s="63">
        <v>1.24E-2</v>
      </c>
      <c r="CG1012" s="63">
        <v>0</v>
      </c>
      <c r="CH1012" s="88">
        <v>14.8</v>
      </c>
      <c r="CI1012" s="26" t="s">
        <v>141</v>
      </c>
      <c r="CJ1012" s="18" t="s">
        <v>505</v>
      </c>
      <c r="CK1012" s="20"/>
    </row>
    <row r="1013" spans="1:89" x14ac:dyDescent="0.25">
      <c r="A1013" s="18" t="s">
        <v>505</v>
      </c>
      <c r="B1013" s="19" t="s">
        <v>139</v>
      </c>
      <c r="C1013" s="26" t="s">
        <v>142</v>
      </c>
      <c r="D1013" s="6">
        <v>1</v>
      </c>
      <c r="E1013" s="40" t="s">
        <v>83</v>
      </c>
      <c r="F1013" s="6">
        <v>1</v>
      </c>
      <c r="N1013" s="119">
        <v>2.4937655860349101E-3</v>
      </c>
      <c r="O1013" s="119">
        <v>2.4937655860349101E-3</v>
      </c>
      <c r="P1013" s="116" t="s">
        <v>83</v>
      </c>
      <c r="Q1013" s="116" t="s">
        <v>83</v>
      </c>
      <c r="R1013" s="116" t="s">
        <v>83</v>
      </c>
      <c r="S1013" s="119">
        <v>0</v>
      </c>
      <c r="T1013" s="119">
        <v>1.05263157894737E-2</v>
      </c>
      <c r="U1013" s="119">
        <v>0</v>
      </c>
      <c r="V1013" s="119">
        <v>0</v>
      </c>
      <c r="W1013" s="6">
        <v>378</v>
      </c>
      <c r="X1013" s="40">
        <f t="shared" si="70"/>
        <v>378</v>
      </c>
      <c r="Y1013" s="40">
        <f t="shared" si="71"/>
        <v>378</v>
      </c>
      <c r="Z1013" s="59">
        <v>0.43919999999999998</v>
      </c>
      <c r="AA1013" s="59">
        <v>0.56079999999999997</v>
      </c>
      <c r="AB1013" s="61">
        <v>0</v>
      </c>
      <c r="AC1013" s="61">
        <v>7.9365079365079361E-3</v>
      </c>
      <c r="AD1013" s="61">
        <v>0.13227513227513227</v>
      </c>
      <c r="AE1013" s="61">
        <v>5.2910052910052907E-3</v>
      </c>
      <c r="AF1013" s="61">
        <v>0</v>
      </c>
      <c r="AG1013" s="61">
        <v>0.84656084656084651</v>
      </c>
      <c r="AH1013" s="61">
        <v>7.9365079365079361E-3</v>
      </c>
      <c r="AI1013" s="61">
        <v>0.15343915343915343</v>
      </c>
      <c r="AJ1013" s="59">
        <v>0.51590000000000003</v>
      </c>
      <c r="AK1013" s="59">
        <v>0</v>
      </c>
      <c r="AL1013" s="3">
        <v>0</v>
      </c>
      <c r="AM1013" s="3">
        <v>0</v>
      </c>
      <c r="AN1013" s="3">
        <v>0</v>
      </c>
      <c r="AO1013" s="3">
        <v>103</v>
      </c>
      <c r="AP1013" s="3">
        <v>88</v>
      </c>
      <c r="AQ1013" s="3">
        <v>93</v>
      </c>
      <c r="AR1013" s="3">
        <v>94</v>
      </c>
      <c r="AS1013" s="59">
        <v>0</v>
      </c>
      <c r="AT1013" s="3">
        <v>9</v>
      </c>
      <c r="AU1013" s="3">
        <v>6</v>
      </c>
      <c r="AV1013" s="49">
        <v>77.040816326530603</v>
      </c>
      <c r="AW1013" s="49">
        <v>19.387755102040799</v>
      </c>
      <c r="AX1013" s="49">
        <v>3.5714285714285698</v>
      </c>
      <c r="AY1013" s="67">
        <v>0</v>
      </c>
      <c r="AZ1013" s="63">
        <v>0.29925187032418954</v>
      </c>
      <c r="BA1013" s="63">
        <v>0.15461346633416459</v>
      </c>
      <c r="BB1013" s="77">
        <v>91.818778621065107</v>
      </c>
      <c r="BC1013" s="49">
        <v>67.481662591686998</v>
      </c>
      <c r="BD1013" s="3"/>
      <c r="BE1013" s="3"/>
      <c r="BF1013" s="3"/>
      <c r="BG1013" s="3"/>
      <c r="BH1013" s="3"/>
      <c r="BI1013" s="3"/>
      <c r="BJ1013" s="88">
        <v>18.8</v>
      </c>
      <c r="BK1013" s="126">
        <v>12438</v>
      </c>
      <c r="BL1013" s="126">
        <v>55676</v>
      </c>
      <c r="BM1013" s="126">
        <v>42747</v>
      </c>
      <c r="BN1013" s="126">
        <v>50053</v>
      </c>
      <c r="BO1013" s="59">
        <v>2.23E-2</v>
      </c>
      <c r="BP1013" s="63">
        <v>0.43359999999999999</v>
      </c>
      <c r="BQ1013" s="63">
        <v>0.1825</v>
      </c>
      <c r="BR1013" s="63">
        <v>0</v>
      </c>
      <c r="BS1013" s="63">
        <v>0</v>
      </c>
      <c r="BT1013" s="87">
        <v>13</v>
      </c>
      <c r="BU1013" s="59">
        <f t="shared" si="72"/>
        <v>0.63839999999999997</v>
      </c>
      <c r="BV1013" s="59">
        <v>8.8200000000000001E-2</v>
      </c>
      <c r="BW1013" s="63">
        <v>0</v>
      </c>
      <c r="BX1013" s="63">
        <v>4.4499999999999998E-2</v>
      </c>
      <c r="BY1013" s="63">
        <v>0</v>
      </c>
      <c r="BZ1013" s="63">
        <v>0</v>
      </c>
      <c r="CA1013" s="88">
        <v>12.2</v>
      </c>
      <c r="CB1013" s="59">
        <f t="shared" si="73"/>
        <v>0.13269999999999998</v>
      </c>
      <c r="CC1013" s="59">
        <v>0.27879999999999999</v>
      </c>
      <c r="CD1013" s="63">
        <v>0.44840000000000002</v>
      </c>
      <c r="CE1013" s="63">
        <v>0.27289999999999998</v>
      </c>
      <c r="CF1013" s="63">
        <v>0</v>
      </c>
      <c r="CG1013" s="63">
        <v>0</v>
      </c>
      <c r="CH1013" s="87">
        <v>12</v>
      </c>
      <c r="CI1013" s="26" t="s">
        <v>142</v>
      </c>
      <c r="CJ1013" s="18" t="s">
        <v>505</v>
      </c>
      <c r="CK1013" s="20"/>
    </row>
    <row r="1014" spans="1:89" x14ac:dyDescent="0.25">
      <c r="A1014" s="18" t="s">
        <v>505</v>
      </c>
      <c r="B1014" s="19" t="s">
        <v>139</v>
      </c>
      <c r="C1014" s="26" t="s">
        <v>143</v>
      </c>
      <c r="D1014" s="6">
        <v>8</v>
      </c>
      <c r="E1014" s="40" t="s">
        <v>83</v>
      </c>
      <c r="F1014" s="6">
        <v>8</v>
      </c>
      <c r="N1014" s="119">
        <v>6.1068702290076301E-3</v>
      </c>
      <c r="O1014" s="119">
        <v>6.1068702290076301E-3</v>
      </c>
      <c r="P1014" s="116" t="s">
        <v>83</v>
      </c>
      <c r="Q1014" s="116" t="s">
        <v>83</v>
      </c>
      <c r="R1014" s="119">
        <v>0</v>
      </c>
      <c r="S1014" s="119">
        <v>8.1743869209809292E-3</v>
      </c>
      <c r="T1014" s="119">
        <v>6.0975609756097598E-3</v>
      </c>
      <c r="U1014" s="119">
        <v>3.26797385620915E-3</v>
      </c>
      <c r="V1014" s="119">
        <v>6.8027210884353704E-3</v>
      </c>
      <c r="W1014" s="6">
        <v>1244</v>
      </c>
      <c r="X1014" s="40">
        <f t="shared" si="70"/>
        <v>1244</v>
      </c>
      <c r="Y1014" s="40">
        <f t="shared" si="71"/>
        <v>1244</v>
      </c>
      <c r="Z1014" s="59">
        <v>0.4904</v>
      </c>
      <c r="AA1014" s="59">
        <v>0.50960000000000005</v>
      </c>
      <c r="AB1014" s="61">
        <v>4.8231511254019296E-3</v>
      </c>
      <c r="AC1014" s="61">
        <v>1.1254019292604502E-2</v>
      </c>
      <c r="AD1014" s="61">
        <v>0.10289389067524116</v>
      </c>
      <c r="AE1014" s="61">
        <v>3.1350482315112539E-2</v>
      </c>
      <c r="AF1014" s="61">
        <v>8.0385852090032153E-4</v>
      </c>
      <c r="AG1014" s="61">
        <v>0.83601286173633438</v>
      </c>
      <c r="AH1014" s="61">
        <v>1.2861736334405145E-2</v>
      </c>
      <c r="AI1014" s="61">
        <v>0.16398713826366559</v>
      </c>
      <c r="AJ1014" s="59">
        <v>0.38500000000000001</v>
      </c>
      <c r="AK1014" s="59">
        <v>4.7999999999999996E-3</v>
      </c>
      <c r="AL1014" s="3">
        <v>0</v>
      </c>
      <c r="AM1014" s="3">
        <v>0</v>
      </c>
      <c r="AN1014" s="3">
        <v>14</v>
      </c>
      <c r="AO1014" s="3">
        <v>352</v>
      </c>
      <c r="AP1014" s="3">
        <v>301</v>
      </c>
      <c r="AQ1014" s="3">
        <v>287</v>
      </c>
      <c r="AR1014" s="3">
        <v>290</v>
      </c>
      <c r="AS1014" s="59">
        <v>3.825136612021858E-2</v>
      </c>
      <c r="AT1014" s="3">
        <v>9</v>
      </c>
      <c r="AU1014" s="3">
        <v>6</v>
      </c>
      <c r="AV1014" s="49">
        <v>62.730627306273099</v>
      </c>
      <c r="AW1014" s="49">
        <v>27.675276752767502</v>
      </c>
      <c r="AX1014" s="49">
        <v>9.0405904059040605</v>
      </c>
      <c r="AY1014" s="67">
        <v>0.55350553505535105</v>
      </c>
      <c r="AZ1014" s="63">
        <v>0.18898240244835501</v>
      </c>
      <c r="BA1014" s="63">
        <v>7.1920428462127012E-2</v>
      </c>
      <c r="BB1014" s="78">
        <v>93.145355542254904</v>
      </c>
      <c r="BC1014" s="49">
        <v>53.765060240963898</v>
      </c>
      <c r="BD1014" s="3"/>
      <c r="BE1014" s="3"/>
      <c r="BF1014" s="3"/>
      <c r="BG1014" s="3"/>
      <c r="BH1014" s="3"/>
      <c r="BI1014" s="3"/>
      <c r="BJ1014" s="88">
        <v>21.3</v>
      </c>
      <c r="BK1014" s="126">
        <v>10242</v>
      </c>
      <c r="BL1014" s="126">
        <v>54908</v>
      </c>
      <c r="BM1014" s="126">
        <v>50551</v>
      </c>
      <c r="BN1014" s="126">
        <v>51885</v>
      </c>
      <c r="BO1014" s="59">
        <v>0</v>
      </c>
      <c r="BP1014" s="63">
        <v>0.43890000000000001</v>
      </c>
      <c r="BQ1014" s="63">
        <v>0.23649999999999999</v>
      </c>
      <c r="BR1014" s="63">
        <v>8.9999999999999993E-3</v>
      </c>
      <c r="BS1014" s="63">
        <v>2.0000000000000001E-4</v>
      </c>
      <c r="BT1014" s="87">
        <v>14.2</v>
      </c>
      <c r="BU1014" s="59">
        <f t="shared" si="72"/>
        <v>0.68459999999999999</v>
      </c>
      <c r="BV1014" s="59">
        <v>3.9300000000000002E-2</v>
      </c>
      <c r="BW1014" s="63">
        <v>0</v>
      </c>
      <c r="BX1014" s="63">
        <v>2.52E-2</v>
      </c>
      <c r="BY1014" s="63">
        <v>8.5000000000000006E-3</v>
      </c>
      <c r="BZ1014" s="63">
        <v>0</v>
      </c>
      <c r="CA1014" s="88">
        <v>12.7</v>
      </c>
      <c r="CB1014" s="59">
        <f t="shared" si="73"/>
        <v>7.3000000000000009E-2</v>
      </c>
      <c r="CC1014" s="59">
        <v>0.21029999999999999</v>
      </c>
      <c r="CD1014" s="63">
        <v>0.46970000000000001</v>
      </c>
      <c r="CE1014" s="63">
        <v>0.3004</v>
      </c>
      <c r="CF1014" s="63">
        <v>1.9400000000000001E-2</v>
      </c>
      <c r="CG1014" s="63">
        <v>2.0000000000000001E-4</v>
      </c>
      <c r="CH1014" s="87">
        <v>13.7</v>
      </c>
      <c r="CI1014" s="26" t="s">
        <v>143</v>
      </c>
      <c r="CJ1014" s="18" t="s">
        <v>505</v>
      </c>
      <c r="CK1014" s="20"/>
    </row>
    <row r="1015" spans="1:89" x14ac:dyDescent="0.25">
      <c r="A1015" s="18" t="s">
        <v>505</v>
      </c>
      <c r="B1015" s="19" t="s">
        <v>139</v>
      </c>
      <c r="C1015" s="26" t="s">
        <v>144</v>
      </c>
      <c r="D1015" s="6">
        <v>3</v>
      </c>
      <c r="E1015" s="6">
        <v>0</v>
      </c>
      <c r="F1015" s="6">
        <v>3</v>
      </c>
      <c r="N1015" s="119">
        <v>2.9354207436399198E-3</v>
      </c>
      <c r="O1015" s="119">
        <v>4.5662100456621002E-3</v>
      </c>
      <c r="P1015" s="119">
        <v>0</v>
      </c>
      <c r="Q1015" s="119">
        <v>0</v>
      </c>
      <c r="R1015" s="119">
        <v>0</v>
      </c>
      <c r="S1015" s="119">
        <v>4.97512437810945E-3</v>
      </c>
      <c r="T1015" s="119">
        <v>1.3157894736842099E-2</v>
      </c>
      <c r="U1015" s="119">
        <v>0</v>
      </c>
      <c r="V1015" s="119">
        <v>0</v>
      </c>
      <c r="W1015" s="6">
        <v>1075</v>
      </c>
      <c r="X1015" s="40">
        <f t="shared" si="70"/>
        <v>588</v>
      </c>
      <c r="Y1015" s="40">
        <f t="shared" si="71"/>
        <v>905</v>
      </c>
      <c r="Z1015" s="59">
        <v>0.48649999999999999</v>
      </c>
      <c r="AA1015" s="59">
        <v>0.51349999999999996</v>
      </c>
      <c r="AB1015" s="61">
        <v>1.8604651162790699E-3</v>
      </c>
      <c r="AC1015" s="61">
        <v>5.5813953488372094E-3</v>
      </c>
      <c r="AD1015" s="61">
        <v>0.3116279069767442</v>
      </c>
      <c r="AE1015" s="61">
        <v>3.4418604651162789E-2</v>
      </c>
      <c r="AF1015" s="61">
        <v>2.7906976744186047E-3</v>
      </c>
      <c r="AG1015" s="61">
        <v>0.62883720930232556</v>
      </c>
      <c r="AH1015" s="61">
        <v>1.4883720930232559E-2</v>
      </c>
      <c r="AI1015" s="61">
        <v>0.37116279069767444</v>
      </c>
      <c r="AJ1015" s="59">
        <v>0.64839999999999998</v>
      </c>
      <c r="AK1015" s="59">
        <v>1.5800000000000002E-2</v>
      </c>
      <c r="AL1015" s="3">
        <v>159</v>
      </c>
      <c r="AM1015" s="3">
        <v>158</v>
      </c>
      <c r="AN1015" s="3">
        <v>3</v>
      </c>
      <c r="AO1015" s="3">
        <v>158</v>
      </c>
      <c r="AP1015" s="3">
        <v>134</v>
      </c>
      <c r="AQ1015" s="3">
        <v>137</v>
      </c>
      <c r="AR1015" s="3">
        <v>156</v>
      </c>
      <c r="AS1015" s="59">
        <v>1.8633540372670808E-2</v>
      </c>
      <c r="AT1015" s="3">
        <v>6</v>
      </c>
      <c r="AU1015" s="3">
        <v>6</v>
      </c>
      <c r="AV1015" s="49">
        <v>67.094017094017104</v>
      </c>
      <c r="AW1015" s="49">
        <v>22.649572649572701</v>
      </c>
      <c r="AX1015" s="49">
        <v>8.5470085470085504</v>
      </c>
      <c r="AY1015" s="67">
        <v>1.70940170940171</v>
      </c>
      <c r="AZ1015" s="63">
        <v>0.24459234608985025</v>
      </c>
      <c r="BA1015" s="63">
        <v>0.13227953410981697</v>
      </c>
      <c r="BB1015" s="77">
        <v>92.500467445932102</v>
      </c>
      <c r="BC1015" s="49">
        <v>66.639072847682101</v>
      </c>
      <c r="BD1015" s="3"/>
      <c r="BE1015" s="3"/>
      <c r="BF1015" s="3"/>
      <c r="BG1015" s="3"/>
      <c r="BH1015" s="3"/>
      <c r="BI1015" s="3"/>
      <c r="BJ1015" s="88">
        <v>18.600000000000001</v>
      </c>
      <c r="BK1015" s="126">
        <v>11263</v>
      </c>
      <c r="BL1015" s="126">
        <v>53254</v>
      </c>
      <c r="BM1015" s="126">
        <v>52098</v>
      </c>
      <c r="BN1015" s="126">
        <v>43666</v>
      </c>
      <c r="BO1015" s="59">
        <v>0</v>
      </c>
      <c r="BP1015" s="63">
        <v>0.38429999999999997</v>
      </c>
      <c r="BQ1015" s="63">
        <v>0.16900000000000001</v>
      </c>
      <c r="BR1015" s="63">
        <v>8.0000000000000002E-3</v>
      </c>
      <c r="BS1015" s="63">
        <v>8.0000000000000002E-3</v>
      </c>
      <c r="BT1015" s="87">
        <v>10.1</v>
      </c>
      <c r="BU1015" s="59">
        <f t="shared" si="72"/>
        <v>0.56930000000000003</v>
      </c>
      <c r="BV1015" s="59">
        <v>3.9699999999999999E-2</v>
      </c>
      <c r="BW1015" s="63">
        <v>0</v>
      </c>
      <c r="BX1015" s="63">
        <v>3.9800000000000002E-2</v>
      </c>
      <c r="BY1015" s="63">
        <v>0</v>
      </c>
      <c r="BZ1015" s="63">
        <v>0</v>
      </c>
      <c r="CA1015" s="87">
        <v>20</v>
      </c>
      <c r="CB1015" s="59">
        <f t="shared" si="73"/>
        <v>7.9500000000000001E-2</v>
      </c>
      <c r="CC1015" s="59">
        <v>0.3332</v>
      </c>
      <c r="CD1015" s="63">
        <v>0.40600000000000003</v>
      </c>
      <c r="CE1015" s="63">
        <v>0.24479999999999999</v>
      </c>
      <c r="CF1015" s="63">
        <v>8.0000000000000002E-3</v>
      </c>
      <c r="CG1015" s="63">
        <v>8.0000000000000002E-3</v>
      </c>
      <c r="CH1015" s="87">
        <v>11.7</v>
      </c>
      <c r="CI1015" s="26" t="s">
        <v>144</v>
      </c>
      <c r="CJ1015" s="18" t="s">
        <v>505</v>
      </c>
      <c r="CK1015" s="20"/>
    </row>
    <row r="1016" spans="1:89" x14ac:dyDescent="0.25">
      <c r="A1016" s="18" t="s">
        <v>505</v>
      </c>
      <c r="B1016" s="19" t="s">
        <v>139</v>
      </c>
      <c r="C1016" s="26" t="s">
        <v>145</v>
      </c>
      <c r="D1016" s="6">
        <v>51</v>
      </c>
      <c r="E1016" s="40" t="s">
        <v>83</v>
      </c>
      <c r="F1016" s="6">
        <v>51</v>
      </c>
      <c r="N1016" s="119">
        <v>3.89312977099237E-2</v>
      </c>
      <c r="O1016" s="119">
        <v>3.89312977099237E-2</v>
      </c>
      <c r="P1016" s="116" t="s">
        <v>83</v>
      </c>
      <c r="Q1016" s="116" t="s">
        <v>83</v>
      </c>
      <c r="R1016" s="119">
        <v>0.04</v>
      </c>
      <c r="S1016" s="119">
        <v>4.4973544973544999E-2</v>
      </c>
      <c r="T1016" s="119">
        <v>5.1359516616314202E-2</v>
      </c>
      <c r="U1016" s="119">
        <v>3.7931034482758599E-2</v>
      </c>
      <c r="V1016" s="119">
        <v>1.7482517482517501E-2</v>
      </c>
      <c r="W1016" s="6">
        <v>1107</v>
      </c>
      <c r="X1016" s="40">
        <f t="shared" si="70"/>
        <v>1107</v>
      </c>
      <c r="Y1016" s="40">
        <f t="shared" si="71"/>
        <v>1107</v>
      </c>
      <c r="Z1016" s="59">
        <v>0.50139999999999996</v>
      </c>
      <c r="AA1016" s="59">
        <v>0.49859999999999999</v>
      </c>
      <c r="AB1016" s="61">
        <v>9.0334236675700087E-4</v>
      </c>
      <c r="AC1016" s="61">
        <v>5.4200542005420054E-3</v>
      </c>
      <c r="AD1016" s="61">
        <v>0.8644986449864499</v>
      </c>
      <c r="AE1016" s="61">
        <v>3.5230352303523033E-2</v>
      </c>
      <c r="AF1016" s="61">
        <v>0</v>
      </c>
      <c r="AG1016" s="61">
        <v>8.2204155374887081E-2</v>
      </c>
      <c r="AH1016" s="61">
        <v>1.1743450767841012E-2</v>
      </c>
      <c r="AI1016" s="61">
        <v>0.91779584462511288</v>
      </c>
      <c r="AJ1016" s="59">
        <v>0.81389999999999996</v>
      </c>
      <c r="AK1016" s="59">
        <v>2.53E-2</v>
      </c>
      <c r="AL1016" s="3">
        <v>0</v>
      </c>
      <c r="AM1016" s="3">
        <v>0</v>
      </c>
      <c r="AN1016" s="3">
        <v>24</v>
      </c>
      <c r="AO1016" s="3">
        <v>280</v>
      </c>
      <c r="AP1016" s="3">
        <v>291</v>
      </c>
      <c r="AQ1016" s="3">
        <v>243</v>
      </c>
      <c r="AR1016" s="3">
        <v>269</v>
      </c>
      <c r="AS1016" s="59">
        <v>7.8947368421052627E-2</v>
      </c>
      <c r="AT1016" s="3">
        <v>9</v>
      </c>
      <c r="AU1016" s="3">
        <v>6</v>
      </c>
      <c r="AV1016" s="49">
        <v>84.090909090909108</v>
      </c>
      <c r="AW1016" s="49">
        <v>13.352272727272698</v>
      </c>
      <c r="AX1016" s="49">
        <v>2.2727272727272698</v>
      </c>
      <c r="AY1016" s="67">
        <v>0.28409090909090901</v>
      </c>
      <c r="AZ1016" s="63">
        <v>0.21394984326018809</v>
      </c>
      <c r="BA1016" s="63">
        <v>0.27429467084639497</v>
      </c>
      <c r="BB1016" s="78">
        <v>86.875327747219004</v>
      </c>
      <c r="BC1016" s="49">
        <v>81.965944272445796</v>
      </c>
      <c r="BD1016" s="3"/>
      <c r="BE1016" s="3"/>
      <c r="BF1016" s="3"/>
      <c r="BG1016" s="3"/>
      <c r="BH1016" s="3"/>
      <c r="BI1016" s="3"/>
      <c r="BJ1016" s="88">
        <v>16.8</v>
      </c>
      <c r="BK1016" s="126">
        <v>15824</v>
      </c>
      <c r="BL1016" s="126">
        <v>55854</v>
      </c>
      <c r="BM1016" s="126">
        <v>61433</v>
      </c>
      <c r="BN1016" s="126">
        <v>46423</v>
      </c>
      <c r="BO1016" s="59">
        <v>4.9500000000000002E-2</v>
      </c>
      <c r="BP1016" s="63">
        <v>0.24940000000000001</v>
      </c>
      <c r="BQ1016" s="63">
        <v>0.26050000000000001</v>
      </c>
      <c r="BR1016" s="63">
        <v>5.4999999999999997E-3</v>
      </c>
      <c r="BS1016" s="63">
        <v>2.1499999999999998E-2</v>
      </c>
      <c r="BT1016" s="87">
        <v>12.1</v>
      </c>
      <c r="BU1016" s="59">
        <f t="shared" si="72"/>
        <v>0.58639999999999992</v>
      </c>
      <c r="BV1016" s="59">
        <v>2.81E-2</v>
      </c>
      <c r="BW1016" s="63">
        <v>1.46E-2</v>
      </c>
      <c r="BX1016" s="63">
        <v>1.6500000000000001E-2</v>
      </c>
      <c r="BY1016" s="63">
        <v>5.4999999999999997E-3</v>
      </c>
      <c r="BZ1016" s="63">
        <v>5.4999999999999997E-3</v>
      </c>
      <c r="CA1016" s="87">
        <v>16.600000000000001</v>
      </c>
      <c r="CB1016" s="59">
        <f t="shared" si="73"/>
        <v>7.0200000000000012E-2</v>
      </c>
      <c r="CC1016" s="59">
        <v>0.34139999999999998</v>
      </c>
      <c r="CD1016" s="63">
        <v>0.29099999999999998</v>
      </c>
      <c r="CE1016" s="63">
        <v>0.32069999999999999</v>
      </c>
      <c r="CF1016" s="63">
        <v>1.4500000000000001E-2</v>
      </c>
      <c r="CG1016" s="63">
        <v>3.2500000000000001E-2</v>
      </c>
      <c r="CH1016" s="87">
        <v>13.1</v>
      </c>
      <c r="CI1016" s="26" t="s">
        <v>145</v>
      </c>
      <c r="CJ1016" s="18" t="s">
        <v>505</v>
      </c>
      <c r="CK1016" s="20"/>
    </row>
    <row r="1017" spans="1:89" x14ac:dyDescent="0.25">
      <c r="A1017" s="18" t="s">
        <v>505</v>
      </c>
      <c r="B1017" s="19" t="s">
        <v>139</v>
      </c>
      <c r="C1017" s="26" t="s">
        <v>146</v>
      </c>
      <c r="D1017" s="6">
        <v>0</v>
      </c>
      <c r="E1017" s="6">
        <v>0</v>
      </c>
      <c r="F1017" s="6">
        <v>0</v>
      </c>
      <c r="N1017" s="119">
        <v>0</v>
      </c>
      <c r="O1017" s="119">
        <v>0</v>
      </c>
      <c r="P1017" s="119">
        <v>0</v>
      </c>
      <c r="Q1017" s="119">
        <v>0</v>
      </c>
      <c r="R1017" s="116" t="s">
        <v>83</v>
      </c>
      <c r="S1017" s="119">
        <v>0</v>
      </c>
      <c r="T1017" s="119">
        <v>0</v>
      </c>
      <c r="U1017" s="119">
        <v>0</v>
      </c>
      <c r="V1017" s="119">
        <v>0</v>
      </c>
      <c r="W1017" s="6">
        <v>339</v>
      </c>
      <c r="X1017" s="40">
        <f t="shared" si="70"/>
        <v>103</v>
      </c>
      <c r="Y1017" s="40">
        <f t="shared" si="71"/>
        <v>154</v>
      </c>
      <c r="Z1017" s="59">
        <v>0.50739999999999996</v>
      </c>
      <c r="AA1017" s="59">
        <v>0.49259999999999998</v>
      </c>
      <c r="AB1017" s="61">
        <v>8.8495575221238937E-3</v>
      </c>
      <c r="AC1017" s="61">
        <v>0</v>
      </c>
      <c r="AD1017" s="61">
        <v>1.1799410029498525E-2</v>
      </c>
      <c r="AE1017" s="61">
        <v>2.9498525073746312E-3</v>
      </c>
      <c r="AF1017" s="61">
        <v>0</v>
      </c>
      <c r="AG1017" s="61">
        <v>0.96165191740412981</v>
      </c>
      <c r="AH1017" s="61">
        <v>1.4749262536873156E-2</v>
      </c>
      <c r="AI1017" s="61">
        <v>3.8348082595870206E-2</v>
      </c>
      <c r="AJ1017" s="59">
        <v>0.59589999999999999</v>
      </c>
      <c r="AK1017" s="59">
        <v>0</v>
      </c>
      <c r="AL1017" s="3">
        <v>24</v>
      </c>
      <c r="AM1017" s="3">
        <v>27</v>
      </c>
      <c r="AN1017" s="3">
        <v>0</v>
      </c>
      <c r="AO1017" s="3">
        <v>28</v>
      </c>
      <c r="AP1017" s="3">
        <v>24</v>
      </c>
      <c r="AQ1017" s="3">
        <v>26</v>
      </c>
      <c r="AR1017" s="3">
        <v>25</v>
      </c>
      <c r="AS1017" s="59">
        <v>0</v>
      </c>
      <c r="AT1017" s="3">
        <v>1</v>
      </c>
      <c r="AU1017" s="3">
        <v>6</v>
      </c>
      <c r="AV1017" s="49">
        <v>84.302325581395394</v>
      </c>
      <c r="AW1017" s="49">
        <v>11.046511627907</v>
      </c>
      <c r="AX1017" s="49">
        <v>4.6511627906976702</v>
      </c>
      <c r="AY1017" s="67">
        <v>0</v>
      </c>
      <c r="AZ1017" s="63">
        <v>0.13101604278074866</v>
      </c>
      <c r="BA1017" s="63">
        <v>4.5454545454545456E-2</v>
      </c>
      <c r="BB1017" s="77">
        <v>94.062494413757307</v>
      </c>
      <c r="BC1017" s="49">
        <v>57.627118644067799</v>
      </c>
      <c r="BD1017" s="3"/>
      <c r="BE1017" s="3"/>
      <c r="BF1017" s="3"/>
      <c r="BG1017" s="3"/>
      <c r="BH1017" s="3"/>
      <c r="BI1017" s="3"/>
      <c r="BJ1017" s="88">
        <v>19</v>
      </c>
      <c r="BK1017" s="126">
        <v>15862</v>
      </c>
      <c r="BL1017" s="126">
        <v>54942</v>
      </c>
      <c r="BM1017" s="126">
        <v>52221</v>
      </c>
      <c r="BN1017" s="126">
        <v>45250</v>
      </c>
      <c r="BO1017" s="59">
        <v>1.5299999999999999E-2</v>
      </c>
      <c r="BP1017" s="63">
        <v>0.41549999999999998</v>
      </c>
      <c r="BQ1017" s="63">
        <v>0.1013</v>
      </c>
      <c r="BR1017" s="63">
        <v>2.9899999999999999E-2</v>
      </c>
      <c r="BS1017" s="63">
        <v>0</v>
      </c>
      <c r="BT1017" s="87">
        <v>14.7</v>
      </c>
      <c r="BU1017" s="59">
        <f t="shared" si="72"/>
        <v>0.56200000000000006</v>
      </c>
      <c r="BV1017" s="59">
        <v>3.0499999999999999E-2</v>
      </c>
      <c r="BW1017" s="63">
        <v>0</v>
      </c>
      <c r="BX1017" s="63">
        <v>3.0499999999999999E-2</v>
      </c>
      <c r="BY1017" s="63">
        <v>0</v>
      </c>
      <c r="BZ1017" s="63">
        <v>0</v>
      </c>
      <c r="CA1017" s="87">
        <v>12.5</v>
      </c>
      <c r="CB1017" s="59">
        <f t="shared" si="73"/>
        <v>6.0999999999999999E-2</v>
      </c>
      <c r="CC1017" s="59">
        <v>0.35820000000000002</v>
      </c>
      <c r="CD1017" s="63">
        <v>0.45550000000000002</v>
      </c>
      <c r="CE1017" s="63">
        <v>0.15559999999999999</v>
      </c>
      <c r="CF1017" s="63">
        <v>3.0599999999999999E-2</v>
      </c>
      <c r="CG1017" s="63">
        <v>0</v>
      </c>
      <c r="CH1017" s="87">
        <v>12.7</v>
      </c>
      <c r="CI1017" s="26" t="s">
        <v>146</v>
      </c>
      <c r="CJ1017" s="18" t="s">
        <v>505</v>
      </c>
      <c r="CK1017" s="20"/>
    </row>
    <row r="1018" spans="1:89" x14ac:dyDescent="0.25">
      <c r="A1018" s="18" t="s">
        <v>505</v>
      </c>
      <c r="B1018" s="19" t="s">
        <v>139</v>
      </c>
      <c r="C1018" s="26" t="s">
        <v>147</v>
      </c>
      <c r="D1018" s="6">
        <v>7</v>
      </c>
      <c r="E1018" s="40" t="s">
        <v>83</v>
      </c>
      <c r="F1018" s="6">
        <v>7</v>
      </c>
      <c r="N1018" s="119">
        <v>3.2332563510392601E-3</v>
      </c>
      <c r="O1018" s="119">
        <v>3.2332563510392601E-3</v>
      </c>
      <c r="P1018" s="116" t="s">
        <v>83</v>
      </c>
      <c r="Q1018" s="116" t="s">
        <v>83</v>
      </c>
      <c r="R1018" s="119">
        <v>0</v>
      </c>
      <c r="S1018" s="119">
        <v>3.27332242225859E-3</v>
      </c>
      <c r="T1018" s="119">
        <v>1.7636684303350999E-3</v>
      </c>
      <c r="U1018" s="119">
        <v>1.92678227360308E-3</v>
      </c>
      <c r="V1018" s="119">
        <v>6.8807339449541297E-3</v>
      </c>
      <c r="W1018" s="6">
        <v>2025</v>
      </c>
      <c r="X1018" s="40">
        <f t="shared" si="70"/>
        <v>2025</v>
      </c>
      <c r="Y1018" s="40">
        <f t="shared" si="71"/>
        <v>2025</v>
      </c>
      <c r="Z1018" s="59">
        <v>0.4854</v>
      </c>
      <c r="AA1018" s="59">
        <v>0.51459999999999995</v>
      </c>
      <c r="AB1018" s="61">
        <v>2.4691358024691358E-3</v>
      </c>
      <c r="AC1018" s="61">
        <v>9.3827160493827159E-3</v>
      </c>
      <c r="AD1018" s="61">
        <v>9.8765432098765427E-2</v>
      </c>
      <c r="AE1018" s="61">
        <v>4.1975308641975309E-2</v>
      </c>
      <c r="AF1018" s="61">
        <v>0</v>
      </c>
      <c r="AG1018" s="61">
        <v>0.83753086419753087</v>
      </c>
      <c r="AH1018" s="61">
        <v>9.876543209876543E-3</v>
      </c>
      <c r="AI1018" s="61">
        <v>0.16246913580246913</v>
      </c>
      <c r="AJ1018" s="59">
        <v>0.4859</v>
      </c>
      <c r="AK1018" s="59">
        <v>1.1900000000000001E-2</v>
      </c>
      <c r="AL1018" s="3">
        <v>0</v>
      </c>
      <c r="AM1018" s="3">
        <v>0</v>
      </c>
      <c r="AN1018" s="3">
        <v>35</v>
      </c>
      <c r="AO1018" s="3">
        <v>547</v>
      </c>
      <c r="AP1018" s="3">
        <v>520</v>
      </c>
      <c r="AQ1018" s="3">
        <v>497</v>
      </c>
      <c r="AR1018" s="3">
        <v>426</v>
      </c>
      <c r="AS1018" s="59">
        <v>6.0137457044673541E-2</v>
      </c>
      <c r="AT1018" s="3">
        <v>9</v>
      </c>
      <c r="AU1018" s="3">
        <v>6</v>
      </c>
      <c r="AV1018" s="49">
        <v>58.183990442054998</v>
      </c>
      <c r="AW1018" s="49">
        <v>30.346475507765803</v>
      </c>
      <c r="AX1018" s="49">
        <v>10.274790919952199</v>
      </c>
      <c r="AY1018" s="67">
        <v>1.194743130227</v>
      </c>
      <c r="AZ1018" s="63">
        <v>0.13447319778188541</v>
      </c>
      <c r="BA1018" s="63">
        <v>8.1792975970425133E-2</v>
      </c>
      <c r="BB1018" s="78">
        <v>91.721004021867401</v>
      </c>
      <c r="BC1018" s="49">
        <v>70.004593477262304</v>
      </c>
      <c r="BD1018" s="3"/>
      <c r="BE1018" s="3"/>
      <c r="BF1018" s="3"/>
      <c r="BG1018" s="3"/>
      <c r="BH1018" s="3"/>
      <c r="BI1018" s="3"/>
      <c r="BJ1018" s="88">
        <v>20.6</v>
      </c>
      <c r="BK1018" s="126">
        <v>11013</v>
      </c>
      <c r="BL1018" s="126">
        <v>55453</v>
      </c>
      <c r="BM1018" s="126">
        <v>51848</v>
      </c>
      <c r="BN1018" s="126">
        <v>47452</v>
      </c>
      <c r="BO1018" s="59">
        <v>1.84E-2</v>
      </c>
      <c r="BP1018" s="63">
        <v>0.36870000000000003</v>
      </c>
      <c r="BQ1018" s="63">
        <v>0.21679999999999999</v>
      </c>
      <c r="BR1018" s="63">
        <v>4.4999999999999997E-3</v>
      </c>
      <c r="BS1018" s="63">
        <v>7.7999999999999996E-3</v>
      </c>
      <c r="BT1018" s="87">
        <v>13.6</v>
      </c>
      <c r="BU1018" s="59">
        <f t="shared" si="72"/>
        <v>0.61619999999999997</v>
      </c>
      <c r="BV1018" s="59">
        <v>3.4700000000000002E-2</v>
      </c>
      <c r="BW1018" s="63">
        <v>4.4000000000000003E-3</v>
      </c>
      <c r="BX1018" s="63">
        <v>2.2200000000000001E-2</v>
      </c>
      <c r="BY1018" s="63">
        <v>4.7000000000000002E-3</v>
      </c>
      <c r="BZ1018" s="63">
        <v>0</v>
      </c>
      <c r="CA1018" s="87">
        <v>16.899999999999999</v>
      </c>
      <c r="CB1018" s="59">
        <f t="shared" si="73"/>
        <v>6.6000000000000003E-2</v>
      </c>
      <c r="CC1018" s="59">
        <v>0.31140000000000001</v>
      </c>
      <c r="CD1018" s="63">
        <v>0.39100000000000001</v>
      </c>
      <c r="CE1018" s="63">
        <v>0.27760000000000001</v>
      </c>
      <c r="CF1018" s="63">
        <v>1.2200000000000001E-2</v>
      </c>
      <c r="CG1018" s="63">
        <v>7.7999999999999996E-3</v>
      </c>
      <c r="CH1018" s="87">
        <v>13.1</v>
      </c>
      <c r="CI1018" s="26" t="s">
        <v>147</v>
      </c>
      <c r="CJ1018" s="18" t="s">
        <v>505</v>
      </c>
      <c r="CK1018" s="20"/>
    </row>
    <row r="1019" spans="1:89" x14ac:dyDescent="0.25">
      <c r="A1019" s="18" t="s">
        <v>505</v>
      </c>
      <c r="B1019" s="19" t="s">
        <v>139</v>
      </c>
      <c r="C1019" s="26" t="s">
        <v>148</v>
      </c>
      <c r="D1019" s="6">
        <v>0</v>
      </c>
      <c r="E1019" s="40" t="s">
        <v>83</v>
      </c>
      <c r="F1019" s="6">
        <v>0</v>
      </c>
      <c r="N1019" s="119">
        <v>0</v>
      </c>
      <c r="O1019" s="119">
        <v>0</v>
      </c>
      <c r="P1019" s="116" t="s">
        <v>83</v>
      </c>
      <c r="Q1019" s="116" t="s">
        <v>83</v>
      </c>
      <c r="R1019" s="119">
        <v>0</v>
      </c>
      <c r="S1019" s="119">
        <v>0</v>
      </c>
      <c r="T1019" s="119">
        <v>0</v>
      </c>
      <c r="U1019" s="119">
        <v>0</v>
      </c>
      <c r="V1019" s="119">
        <v>0</v>
      </c>
      <c r="W1019" s="6">
        <v>271</v>
      </c>
      <c r="X1019" s="40">
        <f t="shared" si="70"/>
        <v>271</v>
      </c>
      <c r="Y1019" s="40">
        <f t="shared" si="71"/>
        <v>271</v>
      </c>
      <c r="Z1019" s="59">
        <v>0.4723</v>
      </c>
      <c r="AA1019" s="59">
        <v>0.52769999999999995</v>
      </c>
      <c r="AB1019" s="61">
        <v>3.6900369003690036E-3</v>
      </c>
      <c r="AC1019" s="61">
        <v>7.3800738007380072E-3</v>
      </c>
      <c r="AD1019" s="61">
        <v>0.18819188191881919</v>
      </c>
      <c r="AE1019" s="61">
        <v>7.7490774907749083E-2</v>
      </c>
      <c r="AF1019" s="61">
        <v>0</v>
      </c>
      <c r="AG1019" s="61">
        <v>0.71217712177121772</v>
      </c>
      <c r="AH1019" s="61">
        <v>1.107011070110701E-2</v>
      </c>
      <c r="AI1019" s="61">
        <v>0.28782287822878228</v>
      </c>
      <c r="AJ1019" s="59">
        <v>0.58299999999999996</v>
      </c>
      <c r="AK1019" s="59">
        <v>2.58E-2</v>
      </c>
      <c r="AL1019" s="3">
        <v>0</v>
      </c>
      <c r="AM1019" s="3">
        <v>0</v>
      </c>
      <c r="AN1019" s="3">
        <v>2</v>
      </c>
      <c r="AO1019" s="3">
        <v>74</v>
      </c>
      <c r="AP1019" s="3">
        <v>76</v>
      </c>
      <c r="AQ1019" s="3">
        <v>57</v>
      </c>
      <c r="AR1019" s="3">
        <v>62</v>
      </c>
      <c r="AS1019" s="59">
        <v>2.6315789473684209E-2</v>
      </c>
      <c r="AT1019" s="3">
        <v>9</v>
      </c>
      <c r="AU1019" s="3">
        <v>6</v>
      </c>
      <c r="AV1019" s="49">
        <v>98.237885462555099</v>
      </c>
      <c r="AW1019" s="49">
        <v>1.3215859030837001</v>
      </c>
      <c r="AX1019" s="49">
        <v>0.44052863436123402</v>
      </c>
      <c r="AY1019" s="67">
        <v>0</v>
      </c>
      <c r="AZ1019" s="63">
        <v>0.17491749174917492</v>
      </c>
      <c r="BA1019" s="63">
        <v>0.13531353135313531</v>
      </c>
      <c r="BB1019" s="77">
        <v>89.543165630812496</v>
      </c>
      <c r="BC1019" s="49">
        <v>78.640776699029104</v>
      </c>
      <c r="BD1019" s="3"/>
      <c r="BE1019" s="3"/>
      <c r="BF1019" s="3"/>
      <c r="BG1019" s="3"/>
      <c r="BH1019" s="3"/>
      <c r="BI1019" s="3"/>
      <c r="BJ1019" s="88">
        <v>19.7</v>
      </c>
      <c r="BK1019" s="126">
        <v>15752</v>
      </c>
      <c r="BL1019" s="126">
        <v>57963</v>
      </c>
      <c r="BM1019" s="126">
        <v>52216</v>
      </c>
      <c r="BN1019" s="126">
        <v>47523</v>
      </c>
      <c r="BO1019" s="59">
        <v>0</v>
      </c>
      <c r="BP1019" s="63">
        <v>0.44009999999999999</v>
      </c>
      <c r="BQ1019" s="63">
        <v>9.5399999999999999E-2</v>
      </c>
      <c r="BR1019" s="63">
        <v>0</v>
      </c>
      <c r="BS1019" s="63">
        <v>0</v>
      </c>
      <c r="BT1019" s="87">
        <v>16.7</v>
      </c>
      <c r="BU1019" s="59">
        <f t="shared" si="72"/>
        <v>0.53549999999999998</v>
      </c>
      <c r="BV1019" s="59">
        <v>6.6299999999999998E-2</v>
      </c>
      <c r="BW1019" s="63">
        <v>0</v>
      </c>
      <c r="BX1019" s="63">
        <v>4.4200000000000003E-2</v>
      </c>
      <c r="BY1019" s="63">
        <v>0</v>
      </c>
      <c r="BZ1019" s="63">
        <v>0</v>
      </c>
      <c r="CA1019" s="87">
        <v>12.4</v>
      </c>
      <c r="CB1019" s="59">
        <f t="shared" si="73"/>
        <v>0.1105</v>
      </c>
      <c r="CC1019" s="59">
        <v>0.35460000000000003</v>
      </c>
      <c r="CD1019" s="63">
        <v>0.4783</v>
      </c>
      <c r="CE1019" s="63">
        <v>0.16270000000000001</v>
      </c>
      <c r="CF1019" s="63">
        <v>4.4000000000000003E-3</v>
      </c>
      <c r="CG1019" s="63">
        <v>0</v>
      </c>
      <c r="CH1019" s="87">
        <v>17.7</v>
      </c>
      <c r="CI1019" s="26" t="s">
        <v>148</v>
      </c>
      <c r="CJ1019" s="18" t="s">
        <v>505</v>
      </c>
      <c r="CK1019" s="20"/>
    </row>
    <row r="1020" spans="1:89" x14ac:dyDescent="0.25">
      <c r="A1020" s="18" t="s">
        <v>505</v>
      </c>
      <c r="B1020" s="19" t="s">
        <v>139</v>
      </c>
      <c r="C1020" s="26" t="s">
        <v>149</v>
      </c>
      <c r="D1020" s="6">
        <v>19</v>
      </c>
      <c r="E1020" s="40" t="s">
        <v>83</v>
      </c>
      <c r="F1020" s="6">
        <v>19</v>
      </c>
      <c r="N1020" s="119">
        <v>2.59562841530055E-2</v>
      </c>
      <c r="O1020" s="119">
        <v>2.59562841530055E-2</v>
      </c>
      <c r="P1020" s="116" t="s">
        <v>83</v>
      </c>
      <c r="Q1020" s="116" t="s">
        <v>83</v>
      </c>
      <c r="R1020" s="119">
        <v>0</v>
      </c>
      <c r="S1020" s="119">
        <v>3.00751879699248E-2</v>
      </c>
      <c r="T1020" s="119">
        <v>2.7932960893854698E-2</v>
      </c>
      <c r="U1020" s="119">
        <v>1.27388535031847E-2</v>
      </c>
      <c r="V1020" s="119">
        <v>3.2520325203252001E-2</v>
      </c>
      <c r="W1020" s="6">
        <v>610</v>
      </c>
      <c r="X1020" s="40">
        <f t="shared" si="70"/>
        <v>610</v>
      </c>
      <c r="Y1020" s="40">
        <f t="shared" si="71"/>
        <v>610</v>
      </c>
      <c r="Z1020" s="59">
        <v>0.51149999999999995</v>
      </c>
      <c r="AA1020" s="59">
        <v>0.48849999999999999</v>
      </c>
      <c r="AB1020" s="61">
        <v>0</v>
      </c>
      <c r="AC1020" s="61">
        <v>0</v>
      </c>
      <c r="AD1020" s="61">
        <v>0.97049180327868856</v>
      </c>
      <c r="AE1020" s="61">
        <v>1.8032786885245903E-2</v>
      </c>
      <c r="AF1020" s="61">
        <v>0</v>
      </c>
      <c r="AG1020" s="61">
        <v>9.8360655737704927E-3</v>
      </c>
      <c r="AH1020" s="61">
        <v>1.639344262295082E-3</v>
      </c>
      <c r="AI1020" s="61">
        <v>0.99016393442622952</v>
      </c>
      <c r="AJ1020" s="59">
        <v>0.85570000000000002</v>
      </c>
      <c r="AK1020" s="59">
        <v>3.3E-3</v>
      </c>
      <c r="AL1020" s="3">
        <v>0</v>
      </c>
      <c r="AM1020" s="3">
        <v>0</v>
      </c>
      <c r="AN1020" s="3">
        <v>7</v>
      </c>
      <c r="AO1020" s="3">
        <v>205</v>
      </c>
      <c r="AP1020" s="3">
        <v>148</v>
      </c>
      <c r="AQ1020" s="3">
        <v>135</v>
      </c>
      <c r="AR1020" s="3">
        <v>115</v>
      </c>
      <c r="AS1020" s="59">
        <v>3.3018867924528301E-2</v>
      </c>
      <c r="AT1020" s="3">
        <v>9</v>
      </c>
      <c r="AU1020" s="3">
        <v>6</v>
      </c>
      <c r="AV1020" s="49">
        <v>77.575757575757592</v>
      </c>
      <c r="AW1020" s="49">
        <v>17.8787878787879</v>
      </c>
      <c r="AX1020" s="49">
        <v>4.2424242424242395</v>
      </c>
      <c r="AY1020" s="67">
        <v>0.30303030303030298</v>
      </c>
      <c r="AZ1020" s="63">
        <v>0.24965325936199723</v>
      </c>
      <c r="BA1020" s="63">
        <v>0.23439667128987518</v>
      </c>
      <c r="BB1020" s="78">
        <v>88.057523764907998</v>
      </c>
      <c r="BC1020" s="49">
        <v>72.483221476510096</v>
      </c>
      <c r="BD1020" s="3"/>
      <c r="BE1020" s="3"/>
      <c r="BF1020" s="3"/>
      <c r="BG1020" s="3"/>
      <c r="BH1020" s="3"/>
      <c r="BI1020" s="3"/>
      <c r="BJ1020" s="88">
        <v>17.100000000000001</v>
      </c>
      <c r="BK1020" s="126">
        <v>13303</v>
      </c>
      <c r="BL1020" s="126">
        <v>53278</v>
      </c>
      <c r="BM1020" s="126">
        <v>53150</v>
      </c>
      <c r="BN1020" s="126">
        <v>45789</v>
      </c>
      <c r="BO1020" s="59">
        <v>8.8999999999999999E-3</v>
      </c>
      <c r="BP1020" s="63">
        <v>0.32190000000000002</v>
      </c>
      <c r="BQ1020" s="63">
        <v>0.21870000000000001</v>
      </c>
      <c r="BR1020" s="63">
        <v>0</v>
      </c>
      <c r="BS1020" s="63">
        <v>5.8999999999999999E-3</v>
      </c>
      <c r="BT1020" s="87">
        <v>12.6</v>
      </c>
      <c r="BU1020" s="59">
        <f t="shared" si="72"/>
        <v>0.55540000000000012</v>
      </c>
      <c r="BV1020" s="59">
        <v>4.9599999999999998E-2</v>
      </c>
      <c r="BW1020" s="63">
        <v>0</v>
      </c>
      <c r="BX1020" s="63">
        <v>4.4600000000000001E-2</v>
      </c>
      <c r="BY1020" s="63">
        <v>0</v>
      </c>
      <c r="BZ1020" s="63">
        <v>0</v>
      </c>
      <c r="CA1020" s="87">
        <v>18.5</v>
      </c>
      <c r="CB1020" s="59">
        <f t="shared" si="73"/>
        <v>9.4200000000000006E-2</v>
      </c>
      <c r="CC1020" s="59">
        <v>0.29509999999999997</v>
      </c>
      <c r="CD1020" s="63">
        <v>0.3735</v>
      </c>
      <c r="CE1020" s="63">
        <v>0.31169999999999998</v>
      </c>
      <c r="CF1020" s="63">
        <v>2.0999999999999999E-3</v>
      </c>
      <c r="CG1020" s="63">
        <v>1.7600000000000001E-2</v>
      </c>
      <c r="CH1020" s="87">
        <v>12.6</v>
      </c>
      <c r="CI1020" s="26" t="s">
        <v>149</v>
      </c>
      <c r="CJ1020" s="18" t="s">
        <v>505</v>
      </c>
      <c r="CK1020" s="20"/>
    </row>
    <row r="1021" spans="1:89" x14ac:dyDescent="0.25">
      <c r="A1021" s="18" t="s">
        <v>505</v>
      </c>
      <c r="B1021" s="19" t="s">
        <v>139</v>
      </c>
      <c r="C1021" s="26" t="s">
        <v>150</v>
      </c>
      <c r="D1021" s="6">
        <v>3</v>
      </c>
      <c r="E1021" s="40" t="s">
        <v>83</v>
      </c>
      <c r="F1021" s="6">
        <v>3</v>
      </c>
      <c r="N1021" s="119">
        <v>5.2816901408450703E-3</v>
      </c>
      <c r="O1021" s="119">
        <v>5.2816901408450703E-3</v>
      </c>
      <c r="P1021" s="116" t="s">
        <v>83</v>
      </c>
      <c r="Q1021" s="116" t="s">
        <v>83</v>
      </c>
      <c r="R1021" s="116" t="s">
        <v>83</v>
      </c>
      <c r="S1021" s="119">
        <v>1.26582278481013E-2</v>
      </c>
      <c r="T1021" s="119">
        <v>0</v>
      </c>
      <c r="U1021" s="119">
        <v>7.1942446043165497E-3</v>
      </c>
      <c r="V1021" s="119">
        <v>0</v>
      </c>
      <c r="W1021" s="6">
        <v>534</v>
      </c>
      <c r="X1021" s="40">
        <f t="shared" si="70"/>
        <v>534</v>
      </c>
      <c r="Y1021" s="40">
        <f t="shared" si="71"/>
        <v>534</v>
      </c>
      <c r="Z1021" s="59">
        <v>0.44940000000000002</v>
      </c>
      <c r="AA1021" s="59">
        <v>0.55059999999999998</v>
      </c>
      <c r="AB1021" s="61">
        <v>3.7453183520599251E-3</v>
      </c>
      <c r="AC1021" s="61">
        <v>7.4906367041198503E-3</v>
      </c>
      <c r="AD1021" s="61">
        <v>0.2640449438202247</v>
      </c>
      <c r="AE1021" s="61">
        <v>3.9325842696629212E-2</v>
      </c>
      <c r="AF1021" s="61">
        <v>0</v>
      </c>
      <c r="AG1021" s="61">
        <v>0.67602996254681647</v>
      </c>
      <c r="AH1021" s="61">
        <v>9.3632958801498131E-3</v>
      </c>
      <c r="AI1021" s="61">
        <v>0.32397003745318353</v>
      </c>
      <c r="AJ1021" s="59">
        <v>0.5524</v>
      </c>
      <c r="AK1021" s="59">
        <v>1.9E-3</v>
      </c>
      <c r="AL1021" s="3">
        <v>0</v>
      </c>
      <c r="AM1021" s="3">
        <v>0</v>
      </c>
      <c r="AN1021" s="3">
        <v>0</v>
      </c>
      <c r="AO1021" s="3">
        <v>144</v>
      </c>
      <c r="AP1021" s="3">
        <v>124</v>
      </c>
      <c r="AQ1021" s="3">
        <v>135</v>
      </c>
      <c r="AR1021" s="3">
        <v>131</v>
      </c>
      <c r="AS1021" s="59">
        <v>0</v>
      </c>
      <c r="AT1021" s="3">
        <v>9</v>
      </c>
      <c r="AU1021" s="3">
        <v>6</v>
      </c>
      <c r="AV1021" s="49">
        <v>81.515151515151501</v>
      </c>
      <c r="AW1021" s="49">
        <v>17.575757575757599</v>
      </c>
      <c r="AX1021" s="49">
        <v>0.90909090909090906</v>
      </c>
      <c r="AY1021" s="67">
        <v>0</v>
      </c>
      <c r="AZ1021" s="63">
        <v>0.21847246891651864</v>
      </c>
      <c r="BA1021" s="63">
        <v>0.1492007104795737</v>
      </c>
      <c r="BB1021" s="77">
        <v>92.985172832363403</v>
      </c>
      <c r="BC1021" s="49">
        <v>65.263157894736906</v>
      </c>
      <c r="BD1021" s="3"/>
      <c r="BE1021" s="3"/>
      <c r="BF1021" s="3"/>
      <c r="BG1021" s="3"/>
      <c r="BH1021" s="3"/>
      <c r="BI1021" s="3"/>
      <c r="BJ1021" s="88">
        <v>19.3</v>
      </c>
      <c r="BK1021" s="126">
        <v>12970</v>
      </c>
      <c r="BL1021" s="126">
        <v>56566</v>
      </c>
      <c r="BM1021" s="126">
        <v>49165</v>
      </c>
      <c r="BN1021" s="126">
        <v>49041</v>
      </c>
      <c r="BO1021" s="59">
        <v>5.8900000000000001E-2</v>
      </c>
      <c r="BP1021" s="63">
        <v>0.44340000000000002</v>
      </c>
      <c r="BQ1021" s="63">
        <v>0.1196</v>
      </c>
      <c r="BR1021" s="63">
        <v>1.3899999999999999E-2</v>
      </c>
      <c r="BS1021" s="63">
        <v>0</v>
      </c>
      <c r="BT1021" s="87">
        <v>13</v>
      </c>
      <c r="BU1021" s="59">
        <f t="shared" si="72"/>
        <v>0.63580000000000003</v>
      </c>
      <c r="BV1021" s="59">
        <v>5.0999999999999997E-2</v>
      </c>
      <c r="BW1021" s="63">
        <v>0</v>
      </c>
      <c r="BX1021" s="63">
        <v>2.8799999999999999E-2</v>
      </c>
      <c r="BY1021" s="63">
        <v>0</v>
      </c>
      <c r="BZ1021" s="63">
        <v>1.44E-2</v>
      </c>
      <c r="CA1021" s="87">
        <v>18.3</v>
      </c>
      <c r="CB1021" s="59">
        <f t="shared" si="73"/>
        <v>9.4199999999999992E-2</v>
      </c>
      <c r="CC1021" s="59">
        <v>0.33090000000000003</v>
      </c>
      <c r="CD1021" s="63">
        <v>0.4718</v>
      </c>
      <c r="CE1021" s="63">
        <v>0.16350000000000001</v>
      </c>
      <c r="CF1021" s="63">
        <v>1.9400000000000001E-2</v>
      </c>
      <c r="CG1021" s="63">
        <v>1.44E-2</v>
      </c>
      <c r="CH1021" s="87">
        <v>12.7</v>
      </c>
      <c r="CI1021" s="26" t="s">
        <v>150</v>
      </c>
      <c r="CJ1021" s="18" t="s">
        <v>505</v>
      </c>
      <c r="CK1021" s="20"/>
    </row>
    <row r="1022" spans="1:89" x14ac:dyDescent="0.25">
      <c r="A1022" s="18" t="s">
        <v>505</v>
      </c>
      <c r="B1022" s="19" t="s">
        <v>151</v>
      </c>
      <c r="C1022" s="26" t="s">
        <v>152</v>
      </c>
      <c r="D1022" s="6">
        <v>0</v>
      </c>
      <c r="E1022" s="40" t="s">
        <v>83</v>
      </c>
      <c r="F1022" s="6">
        <v>0</v>
      </c>
      <c r="N1022" s="119">
        <v>0</v>
      </c>
      <c r="O1022" s="119">
        <v>0</v>
      </c>
      <c r="P1022" s="116" t="s">
        <v>83</v>
      </c>
      <c r="Q1022" s="116" t="s">
        <v>83</v>
      </c>
      <c r="R1022" s="119">
        <v>0</v>
      </c>
      <c r="S1022" s="119">
        <v>0</v>
      </c>
      <c r="T1022" s="119">
        <v>0</v>
      </c>
      <c r="U1022" s="119">
        <v>0</v>
      </c>
      <c r="V1022" s="119">
        <v>0</v>
      </c>
      <c r="W1022" s="6">
        <v>445</v>
      </c>
      <c r="X1022" s="40">
        <f t="shared" si="70"/>
        <v>445</v>
      </c>
      <c r="Y1022" s="40">
        <f t="shared" si="71"/>
        <v>445</v>
      </c>
      <c r="Z1022" s="59">
        <v>0.51239999999999997</v>
      </c>
      <c r="AA1022" s="59">
        <v>0.48759999999999998</v>
      </c>
      <c r="AB1022" s="61">
        <v>0</v>
      </c>
      <c r="AC1022" s="61">
        <v>2.2471910112359553E-3</v>
      </c>
      <c r="AD1022" s="61">
        <v>0.19325842696629214</v>
      </c>
      <c r="AE1022" s="61">
        <v>2.4719101123595506E-2</v>
      </c>
      <c r="AF1022" s="61">
        <v>2.2471910112359553E-3</v>
      </c>
      <c r="AG1022" s="61">
        <v>0.7640449438202247</v>
      </c>
      <c r="AH1022" s="61">
        <v>1.3483146067415731E-2</v>
      </c>
      <c r="AI1022" s="61">
        <v>0.23595505617977527</v>
      </c>
      <c r="AJ1022" s="59">
        <v>0.68759999999999999</v>
      </c>
      <c r="AK1022" s="59">
        <v>4.4999999999999997E-3</v>
      </c>
      <c r="AL1022" s="3">
        <v>0</v>
      </c>
      <c r="AM1022" s="3">
        <v>0</v>
      </c>
      <c r="AN1022" s="3">
        <v>4</v>
      </c>
      <c r="AO1022" s="3">
        <v>116</v>
      </c>
      <c r="AP1022" s="3">
        <v>110</v>
      </c>
      <c r="AQ1022" s="3">
        <v>103</v>
      </c>
      <c r="AR1022" s="3">
        <v>112</v>
      </c>
      <c r="AS1022" s="59">
        <v>3.3333333333333333E-2</v>
      </c>
      <c r="AT1022" s="3">
        <v>9</v>
      </c>
      <c r="AU1022" s="3">
        <v>6</v>
      </c>
      <c r="AV1022" s="49">
        <v>81.543624161073808</v>
      </c>
      <c r="AW1022" s="49">
        <v>15.4362416107383</v>
      </c>
      <c r="AX1022" s="49">
        <v>1.0067114093959699</v>
      </c>
      <c r="AY1022" s="67">
        <v>2.0134228187919501</v>
      </c>
      <c r="AZ1022" s="63">
        <v>0.21218487394957983</v>
      </c>
      <c r="BA1022" s="63">
        <v>4.2016806722689074E-3</v>
      </c>
      <c r="BB1022" s="77">
        <v>94.105867593128806</v>
      </c>
      <c r="BC1022" s="49">
        <v>46.861924686192502</v>
      </c>
      <c r="BD1022" s="3"/>
      <c r="BE1022" s="3"/>
      <c r="BF1022" s="3"/>
      <c r="BG1022" s="3"/>
      <c r="BH1022" s="3"/>
      <c r="BI1022" s="3"/>
      <c r="BJ1022" s="88">
        <v>18.7</v>
      </c>
      <c r="BK1022" s="126">
        <v>12952</v>
      </c>
      <c r="BL1022" s="126">
        <v>45815</v>
      </c>
      <c r="BM1022" s="126">
        <v>44357</v>
      </c>
      <c r="BN1022" s="126">
        <v>39191</v>
      </c>
      <c r="BO1022" s="59">
        <v>0</v>
      </c>
      <c r="BP1022" s="63">
        <v>0.32340000000000002</v>
      </c>
      <c r="BQ1022" s="63">
        <v>0.28110000000000002</v>
      </c>
      <c r="BR1022" s="63">
        <v>0</v>
      </c>
      <c r="BS1022" s="63">
        <v>0</v>
      </c>
      <c r="BT1022" s="87">
        <v>14</v>
      </c>
      <c r="BU1022" s="59">
        <f t="shared" si="72"/>
        <v>0.60450000000000004</v>
      </c>
      <c r="BV1022" s="59">
        <v>3.2800000000000003E-2</v>
      </c>
      <c r="BW1022" s="63">
        <v>0</v>
      </c>
      <c r="BX1022" s="63">
        <v>3.2800000000000003E-2</v>
      </c>
      <c r="BY1022" s="63">
        <v>0</v>
      </c>
      <c r="BZ1022" s="63">
        <v>0</v>
      </c>
      <c r="CA1022" s="87">
        <v>18.5</v>
      </c>
      <c r="CB1022" s="59">
        <f t="shared" si="73"/>
        <v>6.5600000000000006E-2</v>
      </c>
      <c r="CC1022" s="59">
        <v>0.29509999999999997</v>
      </c>
      <c r="CD1022" s="63">
        <v>0.34429999999999999</v>
      </c>
      <c r="CE1022" s="63">
        <v>0.36070000000000002</v>
      </c>
      <c r="CF1022" s="63">
        <v>0</v>
      </c>
      <c r="CG1022" s="63">
        <v>0</v>
      </c>
      <c r="CH1022" s="87">
        <v>13.4</v>
      </c>
      <c r="CI1022" s="26" t="s">
        <v>152</v>
      </c>
      <c r="CJ1022" s="18" t="s">
        <v>505</v>
      </c>
      <c r="CK1022" s="20"/>
    </row>
    <row r="1023" spans="1:89" x14ac:dyDescent="0.25">
      <c r="A1023" s="18" t="s">
        <v>505</v>
      </c>
      <c r="B1023" s="19" t="s">
        <v>153</v>
      </c>
      <c r="C1023" s="26" t="s">
        <v>154</v>
      </c>
      <c r="D1023" s="6">
        <v>2</v>
      </c>
      <c r="E1023" s="6">
        <v>0</v>
      </c>
      <c r="F1023" s="6">
        <v>2</v>
      </c>
      <c r="N1023" s="119">
        <v>5.7142857142857099E-3</v>
      </c>
      <c r="O1023" s="119">
        <v>8.6206896551724102E-3</v>
      </c>
      <c r="P1023" s="119">
        <v>0</v>
      </c>
      <c r="Q1023" s="119">
        <v>0</v>
      </c>
      <c r="R1023" s="116" t="s">
        <v>83</v>
      </c>
      <c r="S1023" s="119">
        <v>0</v>
      </c>
      <c r="T1023" s="119">
        <v>1.85185185185185E-2</v>
      </c>
      <c r="U1023" s="119">
        <v>0</v>
      </c>
      <c r="V1023" s="119">
        <v>1.8181818181818198E-2</v>
      </c>
      <c r="W1023" s="6">
        <v>780</v>
      </c>
      <c r="X1023" s="40">
        <f t="shared" si="70"/>
        <v>219</v>
      </c>
      <c r="Y1023" s="40">
        <f t="shared" si="71"/>
        <v>330</v>
      </c>
      <c r="Z1023" s="59">
        <v>0.48970000000000002</v>
      </c>
      <c r="AA1023" s="59">
        <v>0.51029999999999998</v>
      </c>
      <c r="AB1023" s="61">
        <v>2.5641025641025641E-3</v>
      </c>
      <c r="AC1023" s="61">
        <v>6.41025641025641E-3</v>
      </c>
      <c r="AD1023" s="61">
        <v>1.0256410256410256E-2</v>
      </c>
      <c r="AE1023" s="61">
        <v>8.5897435897435898E-2</v>
      </c>
      <c r="AF1023" s="61">
        <v>0</v>
      </c>
      <c r="AG1023" s="61">
        <v>0.87692307692307692</v>
      </c>
      <c r="AH1023" s="61">
        <v>1.7948717948717947E-2</v>
      </c>
      <c r="AI1023" s="61">
        <v>0.12307692307692308</v>
      </c>
      <c r="AJ1023" s="59">
        <v>0.50509999999999999</v>
      </c>
      <c r="AK1023" s="59">
        <v>7.7000000000000002E-3</v>
      </c>
      <c r="AL1023" s="3">
        <v>55</v>
      </c>
      <c r="AM1023" s="3">
        <v>56</v>
      </c>
      <c r="AN1023" s="3">
        <v>0</v>
      </c>
      <c r="AO1023" s="3">
        <v>61</v>
      </c>
      <c r="AP1023" s="3">
        <v>51</v>
      </c>
      <c r="AQ1023" s="3">
        <v>55</v>
      </c>
      <c r="AR1023" s="3">
        <v>52</v>
      </c>
      <c r="AS1023" s="59">
        <v>0</v>
      </c>
      <c r="AT1023" s="3">
        <v>1</v>
      </c>
      <c r="AU1023" s="3">
        <v>6</v>
      </c>
      <c r="AV1023" s="49">
        <v>82.275711159737398</v>
      </c>
      <c r="AW1023" s="49">
        <v>17.286652078774601</v>
      </c>
      <c r="AX1023" s="49">
        <v>0.43763676148796499</v>
      </c>
      <c r="AY1023" s="67">
        <v>0</v>
      </c>
      <c r="AZ1023" s="63">
        <v>1.1904761904761904E-2</v>
      </c>
      <c r="BA1023" s="63">
        <v>1.3095238095238096E-2</v>
      </c>
      <c r="BB1023" s="78">
        <v>95.477715476164093</v>
      </c>
      <c r="BC1023" s="49">
        <v>52.386934673366802</v>
      </c>
      <c r="BD1023" s="3"/>
      <c r="BE1023" s="3"/>
      <c r="BF1023" s="3"/>
      <c r="BG1023" s="3"/>
      <c r="BH1023" s="3"/>
      <c r="BI1023" s="3"/>
      <c r="BJ1023" s="88">
        <v>19.399999999999999</v>
      </c>
      <c r="BK1023" s="126">
        <v>14676</v>
      </c>
      <c r="BL1023" s="126">
        <v>47009</v>
      </c>
      <c r="BM1023" s="126">
        <v>46939</v>
      </c>
      <c r="BN1023" s="126">
        <v>40603</v>
      </c>
      <c r="BO1023" s="59">
        <v>0</v>
      </c>
      <c r="BP1023" s="63">
        <v>0.42920000000000003</v>
      </c>
      <c r="BQ1023" s="63">
        <v>0.14779999999999999</v>
      </c>
      <c r="BR1023" s="63">
        <v>0</v>
      </c>
      <c r="BS1023" s="63">
        <v>0</v>
      </c>
      <c r="BT1023" s="87">
        <v>12.4</v>
      </c>
      <c r="BU1023" s="59">
        <f t="shared" si="72"/>
        <v>0.57699999999999996</v>
      </c>
      <c r="BV1023" s="59">
        <v>3.7400000000000003E-2</v>
      </c>
      <c r="BW1023" s="63">
        <v>0</v>
      </c>
      <c r="BX1023" s="63">
        <v>2.8000000000000001E-2</v>
      </c>
      <c r="BY1023" s="63">
        <v>0</v>
      </c>
      <c r="BZ1023" s="63">
        <v>9.4000000000000004E-3</v>
      </c>
      <c r="CA1023" s="87">
        <v>19</v>
      </c>
      <c r="CB1023" s="59">
        <f t="shared" si="73"/>
        <v>7.4800000000000005E-2</v>
      </c>
      <c r="CC1023" s="59">
        <v>0.32669999999999999</v>
      </c>
      <c r="CD1023" s="63">
        <v>0.45369999999999999</v>
      </c>
      <c r="CE1023" s="63">
        <v>0.21029999999999999</v>
      </c>
      <c r="CF1023" s="63">
        <v>0</v>
      </c>
      <c r="CG1023" s="63">
        <v>9.4000000000000004E-3</v>
      </c>
      <c r="CH1023" s="87">
        <v>13.2</v>
      </c>
      <c r="CI1023" s="26" t="s">
        <v>154</v>
      </c>
      <c r="CJ1023" s="18" t="s">
        <v>505</v>
      </c>
      <c r="CK1023" s="20"/>
    </row>
    <row r="1024" spans="1:89" x14ac:dyDescent="0.25">
      <c r="A1024" s="18" t="s">
        <v>505</v>
      </c>
      <c r="B1024" s="19" t="s">
        <v>153</v>
      </c>
      <c r="C1024" s="26" t="s">
        <v>155</v>
      </c>
      <c r="D1024" s="6">
        <v>2</v>
      </c>
      <c r="E1024" s="6">
        <v>0</v>
      </c>
      <c r="F1024" s="6">
        <v>2</v>
      </c>
      <c r="N1024" s="119">
        <v>1.9047619047619001E-2</v>
      </c>
      <c r="O1024" s="119">
        <v>2.8169014084507001E-2</v>
      </c>
      <c r="P1024" s="119">
        <v>0</v>
      </c>
      <c r="Q1024" s="119">
        <v>0</v>
      </c>
      <c r="R1024" s="116" t="s">
        <v>83</v>
      </c>
      <c r="S1024" s="119">
        <v>6.25E-2</v>
      </c>
      <c r="T1024" s="119">
        <v>5.2631578947368397E-2</v>
      </c>
      <c r="U1024" s="119">
        <v>0</v>
      </c>
      <c r="V1024" s="119">
        <v>0</v>
      </c>
      <c r="W1024" s="6">
        <v>239</v>
      </c>
      <c r="X1024" s="40">
        <f t="shared" si="70"/>
        <v>62</v>
      </c>
      <c r="Y1024" s="40">
        <f t="shared" si="71"/>
        <v>88</v>
      </c>
      <c r="Z1024" s="59">
        <v>0.39750000000000002</v>
      </c>
      <c r="AA1024" s="59">
        <v>0.60250000000000004</v>
      </c>
      <c r="AB1024" s="61">
        <v>0</v>
      </c>
      <c r="AC1024" s="61">
        <v>0</v>
      </c>
      <c r="AD1024" s="61">
        <v>0</v>
      </c>
      <c r="AE1024" s="61">
        <v>2.9288702928870293E-2</v>
      </c>
      <c r="AF1024" s="61">
        <v>0</v>
      </c>
      <c r="AG1024" s="61">
        <v>0.96652719665271969</v>
      </c>
      <c r="AH1024" s="61">
        <v>4.1841004184100415E-3</v>
      </c>
      <c r="AI1024" s="61">
        <v>3.3472803347280332E-2</v>
      </c>
      <c r="AJ1024" s="59">
        <v>0.51880000000000004</v>
      </c>
      <c r="AK1024" s="59">
        <v>8.3999999999999995E-3</v>
      </c>
      <c r="AL1024" s="3">
        <v>14</v>
      </c>
      <c r="AM1024" s="3">
        <v>12</v>
      </c>
      <c r="AN1024" s="3">
        <v>0</v>
      </c>
      <c r="AO1024" s="3">
        <v>13</v>
      </c>
      <c r="AP1024" s="3">
        <v>14</v>
      </c>
      <c r="AQ1024" s="3">
        <v>23</v>
      </c>
      <c r="AR1024" s="3">
        <v>12</v>
      </c>
      <c r="AS1024" s="59">
        <v>0</v>
      </c>
      <c r="AT1024" s="3">
        <v>1</v>
      </c>
      <c r="AU1024" s="3">
        <v>6</v>
      </c>
      <c r="AV1024" s="49">
        <v>95.402298850574695</v>
      </c>
      <c r="AW1024" s="49">
        <v>3.4482758620689702</v>
      </c>
      <c r="AX1024" s="49">
        <v>1.14942528735632</v>
      </c>
      <c r="AY1024" s="67">
        <v>0</v>
      </c>
      <c r="AZ1024" s="63">
        <v>4.8275862068965517E-2</v>
      </c>
      <c r="BA1024" s="63">
        <v>2.0689655172413793E-2</v>
      </c>
      <c r="BB1024" s="77">
        <v>93.595397330685401</v>
      </c>
      <c r="BC1024" s="49">
        <v>54.545454545454497</v>
      </c>
      <c r="BD1024" s="3"/>
      <c r="BE1024" s="3"/>
      <c r="BF1024" s="3"/>
      <c r="BG1024" s="3"/>
      <c r="BH1024" s="3"/>
      <c r="BI1024" s="3"/>
      <c r="BJ1024" s="87"/>
      <c r="BK1024" s="126">
        <v>19974</v>
      </c>
      <c r="BL1024" s="126">
        <v>47554</v>
      </c>
      <c r="BM1024" s="126">
        <v>43279</v>
      </c>
      <c r="BN1024" s="126">
        <v>39407</v>
      </c>
      <c r="BO1024" s="59">
        <v>0</v>
      </c>
      <c r="BP1024" s="63">
        <v>0.41670000000000001</v>
      </c>
      <c r="BQ1024" s="63">
        <v>0.12039999999999999</v>
      </c>
      <c r="BR1024" s="63">
        <v>0</v>
      </c>
      <c r="BS1024" s="63">
        <v>1.9300000000000001E-2</v>
      </c>
      <c r="BT1024" s="87">
        <v>15.7</v>
      </c>
      <c r="BU1024" s="59">
        <f t="shared" si="72"/>
        <v>0.55640000000000001</v>
      </c>
      <c r="BV1024" s="59">
        <v>3.7600000000000001E-2</v>
      </c>
      <c r="BW1024" s="63">
        <v>0</v>
      </c>
      <c r="BX1024" s="63">
        <v>3.8300000000000001E-2</v>
      </c>
      <c r="BY1024" s="63">
        <v>0</v>
      </c>
      <c r="BZ1024" s="63">
        <v>0</v>
      </c>
      <c r="CA1024" s="87">
        <v>11.4</v>
      </c>
      <c r="CB1024" s="59">
        <f t="shared" si="73"/>
        <v>7.5899999999999995E-2</v>
      </c>
      <c r="CC1024" s="59">
        <v>0.31950000000000001</v>
      </c>
      <c r="CD1024" s="63">
        <v>0.45879999999999999</v>
      </c>
      <c r="CE1024" s="63">
        <v>0.18310000000000001</v>
      </c>
      <c r="CF1024" s="63">
        <v>1.9300000000000001E-2</v>
      </c>
      <c r="CG1024" s="63">
        <v>1.9300000000000001E-2</v>
      </c>
      <c r="CH1024" s="87">
        <v>14</v>
      </c>
      <c r="CI1024" s="26" t="s">
        <v>155</v>
      </c>
      <c r="CJ1024" s="18" t="s">
        <v>505</v>
      </c>
      <c r="CK1024" s="20"/>
    </row>
    <row r="1025" spans="1:99" x14ac:dyDescent="0.25">
      <c r="A1025" s="18" t="s">
        <v>505</v>
      </c>
      <c r="B1025" s="19" t="s">
        <v>153</v>
      </c>
      <c r="C1025" s="26" t="s">
        <v>156</v>
      </c>
      <c r="D1025" s="6">
        <v>0</v>
      </c>
      <c r="E1025" s="6">
        <v>0</v>
      </c>
      <c r="F1025" s="6">
        <v>0</v>
      </c>
      <c r="N1025" s="119">
        <v>0</v>
      </c>
      <c r="O1025" s="119">
        <v>0</v>
      </c>
      <c r="P1025" s="119">
        <v>0</v>
      </c>
      <c r="Q1025" s="119">
        <v>0</v>
      </c>
      <c r="R1025" s="116" t="s">
        <v>83</v>
      </c>
      <c r="S1025" s="119">
        <v>0</v>
      </c>
      <c r="T1025" s="119">
        <v>0</v>
      </c>
      <c r="U1025" s="119">
        <v>0</v>
      </c>
      <c r="V1025" s="119">
        <v>0</v>
      </c>
      <c r="W1025" s="6">
        <v>99</v>
      </c>
      <c r="X1025" s="40">
        <f t="shared" si="70"/>
        <v>26</v>
      </c>
      <c r="Y1025" s="40">
        <f t="shared" si="71"/>
        <v>41</v>
      </c>
      <c r="Z1025" s="59">
        <v>0.51519999999999999</v>
      </c>
      <c r="AA1025" s="59">
        <v>0.48480000000000001</v>
      </c>
      <c r="AB1025" s="61">
        <v>0</v>
      </c>
      <c r="AC1025" s="61">
        <v>0</v>
      </c>
      <c r="AD1025" s="61">
        <v>1.0101010101010102E-2</v>
      </c>
      <c r="AE1025" s="61">
        <v>8.0808080808080815E-2</v>
      </c>
      <c r="AF1025" s="61">
        <v>0</v>
      </c>
      <c r="AG1025" s="61">
        <v>0.89898989898989901</v>
      </c>
      <c r="AH1025" s="61">
        <v>1.0101010101010102E-2</v>
      </c>
      <c r="AI1025" s="61">
        <v>0.10101010101010101</v>
      </c>
      <c r="AJ1025" s="59">
        <v>0.2828</v>
      </c>
      <c r="AK1025" s="59">
        <v>0</v>
      </c>
      <c r="AL1025" s="3">
        <v>8</v>
      </c>
      <c r="AM1025" s="3">
        <v>7</v>
      </c>
      <c r="AN1025" s="3">
        <v>0</v>
      </c>
      <c r="AO1025" s="3">
        <v>7</v>
      </c>
      <c r="AP1025" s="3">
        <v>3</v>
      </c>
      <c r="AQ1025" s="3">
        <v>8</v>
      </c>
      <c r="AR1025" s="3">
        <v>8</v>
      </c>
      <c r="AS1025" s="59">
        <v>0</v>
      </c>
      <c r="AT1025" s="3">
        <v>1</v>
      </c>
      <c r="AU1025" s="3">
        <v>6</v>
      </c>
      <c r="AV1025" s="49">
        <v>100</v>
      </c>
      <c r="AW1025" s="49">
        <v>0</v>
      </c>
      <c r="AX1025" s="49">
        <v>0</v>
      </c>
      <c r="AY1025" s="67">
        <v>0</v>
      </c>
      <c r="AZ1025" s="63">
        <v>5.128205128205128E-2</v>
      </c>
      <c r="BA1025" s="63">
        <v>0</v>
      </c>
      <c r="BB1025" s="78">
        <v>94.514618223105302</v>
      </c>
      <c r="BC1025" s="49">
        <v>43.965517241379303</v>
      </c>
      <c r="BD1025" s="3"/>
      <c r="BE1025" s="3"/>
      <c r="BF1025" s="3"/>
      <c r="BG1025" s="3"/>
      <c r="BH1025" s="3"/>
      <c r="BI1025" s="3"/>
      <c r="BJ1025" s="87"/>
      <c r="BK1025" s="126">
        <v>30424</v>
      </c>
      <c r="BL1025" s="126">
        <v>44791</v>
      </c>
      <c r="BM1025" s="126">
        <v>60376</v>
      </c>
      <c r="BN1025" s="126">
        <v>38926</v>
      </c>
      <c r="BO1025" s="59">
        <v>0</v>
      </c>
      <c r="BP1025" s="63">
        <v>0.39860000000000001</v>
      </c>
      <c r="BQ1025" s="63">
        <v>0.1176</v>
      </c>
      <c r="BR1025" s="63">
        <v>2.3800000000000002E-2</v>
      </c>
      <c r="BS1025" s="63">
        <v>0</v>
      </c>
      <c r="BT1025" s="87">
        <v>14.1</v>
      </c>
      <c r="BU1025" s="59">
        <f t="shared" si="72"/>
        <v>0.54</v>
      </c>
      <c r="BV1025" s="59">
        <v>2.5499999999999998E-2</v>
      </c>
      <c r="BW1025" s="63">
        <v>0</v>
      </c>
      <c r="BX1025" s="63">
        <v>5.3499999999999999E-2</v>
      </c>
      <c r="BY1025" s="63">
        <v>0</v>
      </c>
      <c r="BZ1025" s="63">
        <v>0</v>
      </c>
      <c r="CA1025" s="87">
        <v>32.1</v>
      </c>
      <c r="CB1025" s="59">
        <f t="shared" si="73"/>
        <v>7.9000000000000001E-2</v>
      </c>
      <c r="CC1025" s="59">
        <v>0.34520000000000001</v>
      </c>
      <c r="CD1025" s="63">
        <v>0.39860000000000001</v>
      </c>
      <c r="CE1025" s="63">
        <v>0.2293</v>
      </c>
      <c r="CF1025" s="63">
        <v>2.7E-2</v>
      </c>
      <c r="CG1025" s="63">
        <v>0</v>
      </c>
      <c r="CH1025" s="87">
        <v>13.5</v>
      </c>
      <c r="CI1025" s="26" t="s">
        <v>156</v>
      </c>
      <c r="CJ1025" s="18" t="s">
        <v>505</v>
      </c>
      <c r="CK1025" s="20"/>
    </row>
    <row r="1026" spans="1:99" x14ac:dyDescent="0.25">
      <c r="A1026" s="18" t="s">
        <v>505</v>
      </c>
      <c r="B1026" s="19" t="s">
        <v>153</v>
      </c>
      <c r="C1026" s="26" t="s">
        <v>157</v>
      </c>
      <c r="D1026" s="6">
        <v>1</v>
      </c>
      <c r="E1026" s="6">
        <v>0</v>
      </c>
      <c r="F1026" s="6">
        <v>1</v>
      </c>
      <c r="N1026" s="119">
        <v>7.7519379844961196E-3</v>
      </c>
      <c r="O1026" s="119">
        <v>1.16279069767442E-2</v>
      </c>
      <c r="P1026" s="119">
        <v>0</v>
      </c>
      <c r="Q1026" s="119">
        <v>0</v>
      </c>
      <c r="R1026" s="116" t="s">
        <v>83</v>
      </c>
      <c r="S1026" s="119">
        <v>0</v>
      </c>
      <c r="T1026" s="119">
        <v>0.05</v>
      </c>
      <c r="U1026" s="119">
        <v>0</v>
      </c>
      <c r="V1026" s="119">
        <v>0</v>
      </c>
      <c r="W1026" s="6">
        <v>245</v>
      </c>
      <c r="X1026" s="40">
        <f t="shared" ref="X1026:X1089" si="74">SUM(AN1026:AR1026)</f>
        <v>81</v>
      </c>
      <c r="Y1026" s="40">
        <f t="shared" ref="Y1026:Y1089" si="75">SUM(AL1026:AR1026)</f>
        <v>119</v>
      </c>
      <c r="Z1026" s="59">
        <v>0.54690000000000005</v>
      </c>
      <c r="AA1026" s="59">
        <v>0.4531</v>
      </c>
      <c r="AB1026" s="61">
        <v>4.0816326530612249E-3</v>
      </c>
      <c r="AC1026" s="61">
        <v>0</v>
      </c>
      <c r="AD1026" s="61">
        <v>2.0408163265306121E-2</v>
      </c>
      <c r="AE1026" s="61">
        <v>4.4897959183673466E-2</v>
      </c>
      <c r="AF1026" s="61">
        <v>0</v>
      </c>
      <c r="AG1026" s="61">
        <v>0.91020408163265309</v>
      </c>
      <c r="AH1026" s="61">
        <v>2.0408163265306121E-2</v>
      </c>
      <c r="AI1026" s="61">
        <v>8.9795918367346933E-2</v>
      </c>
      <c r="AJ1026" s="59">
        <v>0.52239999999999998</v>
      </c>
      <c r="AK1026" s="59">
        <v>2.0400000000000001E-2</v>
      </c>
      <c r="AL1026" s="3">
        <v>12</v>
      </c>
      <c r="AM1026" s="3">
        <v>26</v>
      </c>
      <c r="AN1026" s="3">
        <v>0</v>
      </c>
      <c r="AO1026" s="3">
        <v>12</v>
      </c>
      <c r="AP1026" s="3">
        <v>17</v>
      </c>
      <c r="AQ1026" s="3">
        <v>30</v>
      </c>
      <c r="AR1026" s="3">
        <v>22</v>
      </c>
      <c r="AS1026" s="59">
        <v>0</v>
      </c>
      <c r="AT1026" s="3">
        <v>1</v>
      </c>
      <c r="AU1026" s="3">
        <v>6</v>
      </c>
      <c r="AV1026" s="49">
        <v>95.161290322580612</v>
      </c>
      <c r="AW1026" s="49">
        <v>4.8387096774193497</v>
      </c>
      <c r="AX1026" s="49">
        <v>0</v>
      </c>
      <c r="AY1026" s="67">
        <v>0</v>
      </c>
      <c r="AZ1026" s="63">
        <v>4.5936395759717315E-2</v>
      </c>
      <c r="BA1026" s="63">
        <v>4.5936395759717315E-2</v>
      </c>
      <c r="BB1026" s="77">
        <v>93.6944620209634</v>
      </c>
      <c r="BC1026" s="49">
        <v>48.518518518518498</v>
      </c>
      <c r="BD1026" s="3"/>
      <c r="BE1026" s="3"/>
      <c r="BF1026" s="3"/>
      <c r="BG1026" s="3"/>
      <c r="BH1026" s="3"/>
      <c r="BI1026" s="3"/>
      <c r="BJ1026" s="88">
        <v>18.2</v>
      </c>
      <c r="BK1026" s="126">
        <v>21604</v>
      </c>
      <c r="BL1026" s="126">
        <v>48942</v>
      </c>
      <c r="BM1026" s="126">
        <v>46031</v>
      </c>
      <c r="BN1026" s="126">
        <v>37496</v>
      </c>
      <c r="BO1026" s="59">
        <v>0</v>
      </c>
      <c r="BP1026" s="63">
        <v>0.36070000000000002</v>
      </c>
      <c r="BQ1026" s="63">
        <v>0.1328</v>
      </c>
      <c r="BR1026" s="63">
        <v>0</v>
      </c>
      <c r="BS1026" s="63">
        <v>0</v>
      </c>
      <c r="BT1026" s="87">
        <v>16.3</v>
      </c>
      <c r="BU1026" s="59">
        <f t="shared" si="72"/>
        <v>0.49350000000000005</v>
      </c>
      <c r="BV1026" s="59">
        <v>3.1699999999999999E-2</v>
      </c>
      <c r="BW1026" s="63">
        <v>0</v>
      </c>
      <c r="BX1026" s="63">
        <v>3.1300000000000001E-2</v>
      </c>
      <c r="BY1026" s="63">
        <v>0</v>
      </c>
      <c r="BZ1026" s="63">
        <v>0</v>
      </c>
      <c r="CA1026" s="87">
        <v>15.1</v>
      </c>
      <c r="CB1026" s="59">
        <f t="shared" si="73"/>
        <v>6.3E-2</v>
      </c>
      <c r="CC1026" s="59">
        <v>0.38200000000000001</v>
      </c>
      <c r="CD1026" s="63">
        <v>0.438</v>
      </c>
      <c r="CE1026" s="63">
        <v>0.18</v>
      </c>
      <c r="CF1026" s="63">
        <v>0</v>
      </c>
      <c r="CG1026" s="63">
        <v>0</v>
      </c>
      <c r="CH1026" s="87">
        <v>15.7</v>
      </c>
      <c r="CI1026" s="26" t="s">
        <v>157</v>
      </c>
      <c r="CJ1026" s="18" t="s">
        <v>505</v>
      </c>
      <c r="CK1026" s="20"/>
    </row>
    <row r="1027" spans="1:99" x14ac:dyDescent="0.25">
      <c r="A1027" s="18" t="s">
        <v>505</v>
      </c>
      <c r="B1027" s="19" t="s">
        <v>158</v>
      </c>
      <c r="C1027" s="26" t="s">
        <v>159</v>
      </c>
      <c r="D1027" s="6">
        <v>3</v>
      </c>
      <c r="E1027" s="6">
        <v>0</v>
      </c>
      <c r="F1027" s="6">
        <v>3</v>
      </c>
      <c r="N1027" s="119">
        <v>1.3824884792626699E-2</v>
      </c>
      <c r="O1027" s="119">
        <v>1.7045454545454499E-2</v>
      </c>
      <c r="P1027" s="116" t="s">
        <v>83</v>
      </c>
      <c r="Q1027" s="119">
        <v>0</v>
      </c>
      <c r="R1027" s="116" t="s">
        <v>83</v>
      </c>
      <c r="S1027" s="119">
        <v>2.2222222222222199E-2</v>
      </c>
      <c r="T1027" s="119">
        <v>0</v>
      </c>
      <c r="U1027" s="119">
        <v>4.3478260869565202E-2</v>
      </c>
      <c r="V1027" s="119">
        <v>0</v>
      </c>
      <c r="W1027" s="6">
        <v>201</v>
      </c>
      <c r="X1027" s="40">
        <f t="shared" si="74"/>
        <v>162</v>
      </c>
      <c r="Y1027" s="40">
        <f t="shared" si="75"/>
        <v>201</v>
      </c>
      <c r="Z1027" s="59">
        <v>0.45269999999999999</v>
      </c>
      <c r="AA1027" s="59">
        <v>0.54730000000000001</v>
      </c>
      <c r="AB1027" s="61">
        <v>0</v>
      </c>
      <c r="AC1027" s="61">
        <v>0</v>
      </c>
      <c r="AD1027" s="61">
        <v>0.55223880597014929</v>
      </c>
      <c r="AE1027" s="61">
        <v>4.9751243781094526E-3</v>
      </c>
      <c r="AF1027" s="61">
        <v>0</v>
      </c>
      <c r="AG1027" s="61">
        <v>0.43781094527363185</v>
      </c>
      <c r="AH1027" s="61">
        <v>4.9751243781094526E-3</v>
      </c>
      <c r="AI1027" s="61">
        <v>0.56218905472636815</v>
      </c>
      <c r="AJ1027" s="59">
        <v>0.83579999999999999</v>
      </c>
      <c r="AK1027" s="59">
        <v>0</v>
      </c>
      <c r="AL1027" s="3">
        <v>0</v>
      </c>
      <c r="AM1027" s="3">
        <v>39</v>
      </c>
      <c r="AN1027" s="3">
        <v>0</v>
      </c>
      <c r="AO1027" s="3">
        <v>38</v>
      </c>
      <c r="AP1027" s="3">
        <v>45</v>
      </c>
      <c r="AQ1027" s="3">
        <v>39</v>
      </c>
      <c r="AR1027" s="3">
        <v>40</v>
      </c>
      <c r="AS1027" s="59">
        <v>0</v>
      </c>
      <c r="AT1027" s="3">
        <v>8</v>
      </c>
      <c r="AU1027" s="3">
        <v>6</v>
      </c>
      <c r="AV1027" s="49">
        <v>97.402597402597408</v>
      </c>
      <c r="AW1027" s="49">
        <v>2.5974025974026</v>
      </c>
      <c r="AX1027" s="49">
        <v>0</v>
      </c>
      <c r="AY1027" s="67">
        <v>0</v>
      </c>
      <c r="AZ1027" s="63">
        <v>0.16587677725118483</v>
      </c>
      <c r="BA1027" s="63">
        <v>0.17061611374407584</v>
      </c>
      <c r="BB1027" s="78">
        <v>89.519565478333902</v>
      </c>
      <c r="BC1027" s="49">
        <v>75.229357798165097</v>
      </c>
      <c r="BD1027" s="3"/>
      <c r="BE1027" s="3"/>
      <c r="BF1027" s="3"/>
      <c r="BG1027" s="3"/>
      <c r="BH1027" s="3"/>
      <c r="BI1027" s="3"/>
      <c r="BJ1027" s="88">
        <v>16</v>
      </c>
      <c r="BK1027" s="126">
        <v>12872</v>
      </c>
      <c r="BL1027" s="126">
        <v>38586</v>
      </c>
      <c r="BM1027" s="126">
        <v>41997</v>
      </c>
      <c r="BN1027" s="126">
        <v>29080</v>
      </c>
      <c r="BO1027" s="59">
        <v>0</v>
      </c>
      <c r="BP1027" s="63">
        <v>0.37159999999999999</v>
      </c>
      <c r="BQ1027" s="63">
        <v>0.1129</v>
      </c>
      <c r="BR1027" s="63">
        <v>0</v>
      </c>
      <c r="BS1027" s="63">
        <v>2.81E-2</v>
      </c>
      <c r="BT1027" s="87">
        <v>13.1</v>
      </c>
      <c r="BU1027" s="59">
        <f t="shared" ref="BU1027:BU1091" si="76">SUM(BO1027:BS1027)</f>
        <v>0.51259999999999994</v>
      </c>
      <c r="BV1027" s="59">
        <v>0</v>
      </c>
      <c r="BW1027" s="63">
        <v>1.9400000000000001E-2</v>
      </c>
      <c r="BX1027" s="63">
        <v>2.2599999999999999E-2</v>
      </c>
      <c r="BY1027" s="63">
        <v>0</v>
      </c>
      <c r="BZ1027" s="63">
        <v>0</v>
      </c>
      <c r="CA1027" s="87">
        <v>9.1999999999999993</v>
      </c>
      <c r="CB1027" s="59">
        <f t="shared" ref="CB1027:CB1091" si="77">SUM(BV1027:BZ1027)</f>
        <v>4.1999999999999996E-2</v>
      </c>
      <c r="CC1027" s="59">
        <v>0.39450000000000002</v>
      </c>
      <c r="CD1027" s="63">
        <v>0.44190000000000002</v>
      </c>
      <c r="CE1027" s="63">
        <v>0.13550000000000001</v>
      </c>
      <c r="CF1027" s="63">
        <v>0</v>
      </c>
      <c r="CG1027" s="63">
        <v>2.81E-2</v>
      </c>
      <c r="CH1027" s="87">
        <v>7.9</v>
      </c>
      <c r="CI1027" s="26" t="s">
        <v>159</v>
      </c>
      <c r="CJ1027" s="18" t="s">
        <v>505</v>
      </c>
      <c r="CK1027" s="20"/>
    </row>
    <row r="1028" spans="1:99" x14ac:dyDescent="0.25">
      <c r="A1028" s="18" t="s">
        <v>505</v>
      </c>
      <c r="B1028" s="19" t="s">
        <v>158</v>
      </c>
      <c r="C1028" s="26" t="s">
        <v>160</v>
      </c>
      <c r="D1028" s="6">
        <v>1</v>
      </c>
      <c r="E1028" s="6">
        <v>0</v>
      </c>
      <c r="F1028" s="6">
        <v>1</v>
      </c>
      <c r="N1028" s="119">
        <v>3.4482758620689703E-2</v>
      </c>
      <c r="O1028" s="119">
        <v>5.8823529411764698E-2</v>
      </c>
      <c r="P1028" s="119">
        <v>0</v>
      </c>
      <c r="Q1028" s="119">
        <v>0</v>
      </c>
      <c r="R1028" s="116" t="s">
        <v>83</v>
      </c>
      <c r="S1028" s="119">
        <v>0</v>
      </c>
      <c r="T1028" s="119">
        <v>0</v>
      </c>
      <c r="U1028" s="119">
        <v>0.5</v>
      </c>
      <c r="V1028" s="119">
        <v>0</v>
      </c>
      <c r="W1028" s="6">
        <v>75</v>
      </c>
      <c r="X1028" s="40">
        <f t="shared" si="74"/>
        <v>16</v>
      </c>
      <c r="Y1028" s="40">
        <f t="shared" si="75"/>
        <v>28</v>
      </c>
      <c r="Z1028" s="59">
        <v>0.4667</v>
      </c>
      <c r="AA1028" s="59">
        <v>0.5333</v>
      </c>
      <c r="AB1028" s="61">
        <v>0</v>
      </c>
      <c r="AC1028" s="61">
        <v>0</v>
      </c>
      <c r="AD1028" s="61">
        <v>2.6666666666666668E-2</v>
      </c>
      <c r="AE1028" s="61">
        <v>0</v>
      </c>
      <c r="AF1028" s="61">
        <v>0</v>
      </c>
      <c r="AG1028" s="61">
        <v>0.94666666666666666</v>
      </c>
      <c r="AH1028" s="61">
        <v>2.6666666666666668E-2</v>
      </c>
      <c r="AI1028" s="61">
        <v>5.3333333333333337E-2</v>
      </c>
      <c r="AJ1028" s="59">
        <v>0.70669999999999999</v>
      </c>
      <c r="AK1028" s="59">
        <v>0</v>
      </c>
      <c r="AL1028" s="3">
        <v>9</v>
      </c>
      <c r="AM1028" s="3">
        <v>3</v>
      </c>
      <c r="AN1028" s="3">
        <v>0</v>
      </c>
      <c r="AO1028" s="3">
        <v>7</v>
      </c>
      <c r="AP1028" s="3">
        <v>5</v>
      </c>
      <c r="AQ1028" s="3">
        <v>1</v>
      </c>
      <c r="AR1028" s="3">
        <v>3</v>
      </c>
      <c r="AS1028" s="59">
        <v>0</v>
      </c>
      <c r="AT1028" s="3">
        <v>1</v>
      </c>
      <c r="AU1028" s="3">
        <v>6</v>
      </c>
      <c r="AV1028" s="49">
        <v>98.6111111111111</v>
      </c>
      <c r="AW1028" s="49">
        <v>1.3888888888888899</v>
      </c>
      <c r="AX1028" s="49">
        <v>0</v>
      </c>
      <c r="AY1028" s="67">
        <v>0</v>
      </c>
      <c r="AZ1028" s="63">
        <v>1.282051282051282E-2</v>
      </c>
      <c r="BA1028" s="63">
        <v>1.282051282051282E-2</v>
      </c>
      <c r="BB1028" s="77">
        <v>92.220003328340795</v>
      </c>
      <c r="BC1028" s="49">
        <v>69.135802469135797</v>
      </c>
      <c r="BD1028" s="3"/>
      <c r="BE1028" s="3"/>
      <c r="BF1028" s="3"/>
      <c r="BG1028" s="3"/>
      <c r="BH1028" s="3"/>
      <c r="BI1028" s="3"/>
      <c r="BJ1028" s="87"/>
      <c r="BK1028" s="126">
        <v>17000</v>
      </c>
      <c r="BL1028" s="126">
        <v>43595</v>
      </c>
      <c r="BM1028" s="126">
        <v>0</v>
      </c>
      <c r="BN1028" s="126">
        <v>30943</v>
      </c>
      <c r="BO1028" s="59">
        <v>0</v>
      </c>
      <c r="BP1028" s="63">
        <v>0.4869</v>
      </c>
      <c r="BQ1028" s="63">
        <v>0.1043</v>
      </c>
      <c r="BR1028" s="63">
        <v>0</v>
      </c>
      <c r="BS1028" s="63">
        <v>0</v>
      </c>
      <c r="BT1028" s="87">
        <v>23.1</v>
      </c>
      <c r="BU1028" s="59">
        <f t="shared" si="76"/>
        <v>0.59119999999999995</v>
      </c>
      <c r="BV1028" s="59">
        <v>3.3300000000000003E-2</v>
      </c>
      <c r="BW1028" s="63">
        <v>0</v>
      </c>
      <c r="BX1028" s="63">
        <v>1.7399999999999999E-2</v>
      </c>
      <c r="BY1028" s="63">
        <v>0</v>
      </c>
      <c r="BZ1028" s="63">
        <v>0</v>
      </c>
      <c r="CA1028" s="87">
        <v>6.9</v>
      </c>
      <c r="CB1028" s="59">
        <f t="shared" si="77"/>
        <v>5.0700000000000002E-2</v>
      </c>
      <c r="CC1028" s="59">
        <v>0.39129999999999998</v>
      </c>
      <c r="CD1028" s="63">
        <v>0.4869</v>
      </c>
      <c r="CE1028" s="63">
        <v>0.1217</v>
      </c>
      <c r="CF1028" s="63">
        <v>0</v>
      </c>
      <c r="CG1028" s="63">
        <v>0</v>
      </c>
      <c r="CH1028" s="87">
        <v>14.4</v>
      </c>
      <c r="CI1028" s="26" t="s">
        <v>160</v>
      </c>
      <c r="CJ1028" s="18" t="s">
        <v>505</v>
      </c>
      <c r="CK1028" s="20"/>
    </row>
    <row r="1029" spans="1:99" x14ac:dyDescent="0.25">
      <c r="A1029" s="18" t="s">
        <v>505</v>
      </c>
      <c r="B1029" s="19" t="s">
        <v>158</v>
      </c>
      <c r="C1029" s="26" t="s">
        <v>161</v>
      </c>
      <c r="D1029" s="6">
        <v>0</v>
      </c>
      <c r="E1029" s="6">
        <v>0</v>
      </c>
      <c r="F1029" s="6">
        <v>0</v>
      </c>
      <c r="N1029" s="119">
        <v>0</v>
      </c>
      <c r="O1029" s="119">
        <v>0</v>
      </c>
      <c r="P1029" s="119">
        <v>0</v>
      </c>
      <c r="Q1029" s="119">
        <v>0</v>
      </c>
      <c r="R1029" s="116" t="s">
        <v>83</v>
      </c>
      <c r="S1029" s="119">
        <v>0</v>
      </c>
      <c r="T1029" s="119">
        <v>0</v>
      </c>
      <c r="U1029" s="119">
        <v>0</v>
      </c>
      <c r="V1029" s="119">
        <v>0</v>
      </c>
      <c r="W1029" s="6">
        <v>338</v>
      </c>
      <c r="X1029" s="40">
        <f t="shared" si="74"/>
        <v>95</v>
      </c>
      <c r="Y1029" s="40">
        <f t="shared" si="75"/>
        <v>154</v>
      </c>
      <c r="Z1029" s="59">
        <v>0.5</v>
      </c>
      <c r="AA1029" s="59">
        <v>0.5</v>
      </c>
      <c r="AB1029" s="61">
        <v>0</v>
      </c>
      <c r="AC1029" s="61">
        <v>8.8757396449704144E-3</v>
      </c>
      <c r="AD1029" s="61">
        <v>0.13313609467455623</v>
      </c>
      <c r="AE1029" s="61">
        <v>1.4792899408284023E-2</v>
      </c>
      <c r="AF1029" s="61">
        <v>0</v>
      </c>
      <c r="AG1029" s="61">
        <v>0.81360946745562135</v>
      </c>
      <c r="AH1029" s="61">
        <v>2.9585798816568046E-2</v>
      </c>
      <c r="AI1029" s="61">
        <v>0.18639053254437871</v>
      </c>
      <c r="AJ1029" s="59">
        <v>0.60360000000000003</v>
      </c>
      <c r="AK1029" s="59">
        <v>0</v>
      </c>
      <c r="AL1029" s="3">
        <v>32</v>
      </c>
      <c r="AM1029" s="3">
        <v>27</v>
      </c>
      <c r="AN1029" s="3">
        <v>0</v>
      </c>
      <c r="AO1029" s="3">
        <v>25</v>
      </c>
      <c r="AP1029" s="3">
        <v>26</v>
      </c>
      <c r="AQ1029" s="3">
        <v>25</v>
      </c>
      <c r="AR1029" s="3">
        <v>19</v>
      </c>
      <c r="AS1029" s="59">
        <v>0</v>
      </c>
      <c r="AT1029" s="3">
        <v>1</v>
      </c>
      <c r="AU1029" s="3">
        <v>6</v>
      </c>
      <c r="AV1029" s="49">
        <v>67.22689075630251</v>
      </c>
      <c r="AW1029" s="49">
        <v>12.605042016806699</v>
      </c>
      <c r="AX1029" s="49">
        <v>19.327731092437002</v>
      </c>
      <c r="AY1029" s="67">
        <v>0.84033613445378097</v>
      </c>
      <c r="AZ1029" s="63">
        <v>8.4507042253521118E-3</v>
      </c>
      <c r="BA1029" s="63">
        <v>8.4507042253521125E-2</v>
      </c>
      <c r="BB1029" s="78">
        <v>92.584532087690405</v>
      </c>
      <c r="BC1029" s="49">
        <v>69.672131147540995</v>
      </c>
      <c r="BD1029" s="3"/>
      <c r="BE1029" s="3"/>
      <c r="BF1029" s="3"/>
      <c r="BG1029" s="3"/>
      <c r="BH1029" s="3"/>
      <c r="BI1029" s="3"/>
      <c r="BJ1029" s="88">
        <v>19.399999999999999</v>
      </c>
      <c r="BK1029" s="126">
        <v>9830</v>
      </c>
      <c r="BL1029" s="126">
        <v>39862</v>
      </c>
      <c r="BM1029" s="126">
        <v>38758</v>
      </c>
      <c r="BN1029" s="126">
        <v>29745</v>
      </c>
      <c r="BO1029" s="59">
        <v>0</v>
      </c>
      <c r="BP1029" s="63">
        <v>0.29409999999999997</v>
      </c>
      <c r="BQ1029" s="63">
        <v>0.20979999999999999</v>
      </c>
      <c r="BR1029" s="63">
        <v>2.7799999999999998E-2</v>
      </c>
      <c r="BS1029" s="63">
        <v>0</v>
      </c>
      <c r="BT1029" s="87">
        <v>14.9</v>
      </c>
      <c r="BU1029" s="59">
        <f t="shared" si="76"/>
        <v>0.53170000000000006</v>
      </c>
      <c r="BV1029" s="59">
        <v>2.9700000000000001E-2</v>
      </c>
      <c r="BW1029" s="63">
        <v>0</v>
      </c>
      <c r="BX1029" s="63">
        <v>3.1399999999999997E-2</v>
      </c>
      <c r="BY1029" s="63">
        <v>0</v>
      </c>
      <c r="BZ1029" s="63">
        <v>0</v>
      </c>
      <c r="CA1029" s="87">
        <v>17</v>
      </c>
      <c r="CB1029" s="59">
        <f t="shared" si="77"/>
        <v>6.1100000000000002E-2</v>
      </c>
      <c r="CC1029" s="59">
        <v>0.43090000000000001</v>
      </c>
      <c r="CD1029" s="63">
        <v>0.29409999999999997</v>
      </c>
      <c r="CE1029" s="63">
        <v>0.2472</v>
      </c>
      <c r="CF1029" s="63">
        <v>2.7799999999999998E-2</v>
      </c>
      <c r="CG1029" s="63">
        <v>0</v>
      </c>
      <c r="CH1029" s="87">
        <v>9.3000000000000007</v>
      </c>
      <c r="CI1029" s="26" t="s">
        <v>161</v>
      </c>
      <c r="CJ1029" s="18" t="s">
        <v>505</v>
      </c>
      <c r="CK1029" s="20"/>
    </row>
    <row r="1030" spans="1:99" x14ac:dyDescent="0.25">
      <c r="A1030" s="18" t="s">
        <v>505</v>
      </c>
      <c r="B1030" s="19" t="s">
        <v>158</v>
      </c>
      <c r="C1030" s="26" t="s">
        <v>162</v>
      </c>
      <c r="D1030" s="6">
        <v>2</v>
      </c>
      <c r="E1030" s="6">
        <v>1</v>
      </c>
      <c r="F1030" s="6">
        <v>1</v>
      </c>
      <c r="N1030" s="119">
        <v>1.7094017094017099E-2</v>
      </c>
      <c r="O1030" s="119">
        <v>1.49253731343284E-2</v>
      </c>
      <c r="P1030" s="119">
        <v>3.2258064516128997E-2</v>
      </c>
      <c r="Q1030" s="119">
        <v>0</v>
      </c>
      <c r="R1030" s="116" t="s">
        <v>83</v>
      </c>
      <c r="S1030" s="119">
        <v>0</v>
      </c>
      <c r="T1030" s="119">
        <v>0</v>
      </c>
      <c r="U1030" s="119">
        <v>0</v>
      </c>
      <c r="V1030" s="119">
        <v>6.6666666666666693E-2</v>
      </c>
      <c r="W1030" s="6">
        <v>246</v>
      </c>
      <c r="X1030" s="40">
        <f t="shared" si="74"/>
        <v>61</v>
      </c>
      <c r="Y1030" s="40">
        <f t="shared" si="75"/>
        <v>104</v>
      </c>
      <c r="Z1030" s="59">
        <v>0.48780000000000001</v>
      </c>
      <c r="AA1030" s="59">
        <v>0.51219999999999999</v>
      </c>
      <c r="AB1030" s="61">
        <v>0</v>
      </c>
      <c r="AC1030" s="61">
        <v>0</v>
      </c>
      <c r="AD1030" s="61">
        <v>0.491869918699187</v>
      </c>
      <c r="AE1030" s="61">
        <v>2.8455284552845527E-2</v>
      </c>
      <c r="AF1030" s="61">
        <v>0</v>
      </c>
      <c r="AG1030" s="61">
        <v>0.47560975609756095</v>
      </c>
      <c r="AH1030" s="61">
        <v>4.0650406504065045E-3</v>
      </c>
      <c r="AI1030" s="61">
        <v>0.52439024390243905</v>
      </c>
      <c r="AJ1030" s="59">
        <v>0.85770000000000002</v>
      </c>
      <c r="AK1030" s="59">
        <v>0</v>
      </c>
      <c r="AL1030" s="3">
        <v>30</v>
      </c>
      <c r="AM1030" s="3">
        <v>13</v>
      </c>
      <c r="AN1030" s="3">
        <v>0</v>
      </c>
      <c r="AO1030" s="3">
        <v>16</v>
      </c>
      <c r="AP1030" s="3">
        <v>17</v>
      </c>
      <c r="AQ1030" s="3">
        <v>14</v>
      </c>
      <c r="AR1030" s="3">
        <v>14</v>
      </c>
      <c r="AS1030" s="59">
        <v>0</v>
      </c>
      <c r="AT1030" s="3">
        <v>1</v>
      </c>
      <c r="AU1030" s="3">
        <v>6</v>
      </c>
      <c r="AV1030" s="49">
        <v>94.890510948905103</v>
      </c>
      <c r="AW1030" s="49">
        <v>4.3795620437956195</v>
      </c>
      <c r="AX1030" s="49">
        <v>0.72992700729926996</v>
      </c>
      <c r="AY1030" s="67">
        <v>0</v>
      </c>
      <c r="AZ1030" s="63">
        <v>3.6764705882352941E-3</v>
      </c>
      <c r="BA1030" s="63">
        <v>0.16176470588235295</v>
      </c>
      <c r="BB1030" s="77">
        <v>92.819608320155695</v>
      </c>
      <c r="BC1030" s="49">
        <v>63.0350194552529</v>
      </c>
      <c r="BD1030" s="3"/>
      <c r="BE1030" s="3"/>
      <c r="BF1030" s="3"/>
      <c r="BG1030" s="3"/>
      <c r="BH1030" s="3"/>
      <c r="BI1030" s="3"/>
      <c r="BJ1030" s="88">
        <v>17.7</v>
      </c>
      <c r="BK1030" s="126">
        <v>13971</v>
      </c>
      <c r="BL1030" s="126">
        <v>41523</v>
      </c>
      <c r="BM1030" s="126">
        <v>35521</v>
      </c>
      <c r="BN1030" s="126">
        <v>28697</v>
      </c>
      <c r="BO1030" s="59">
        <v>0</v>
      </c>
      <c r="BP1030" s="63">
        <v>0.29599999999999999</v>
      </c>
      <c r="BQ1030" s="63">
        <v>0.1976</v>
      </c>
      <c r="BR1030" s="63">
        <v>0</v>
      </c>
      <c r="BS1030" s="63">
        <v>0</v>
      </c>
      <c r="BT1030" s="87">
        <v>21</v>
      </c>
      <c r="BU1030" s="59">
        <f t="shared" si="76"/>
        <v>0.49359999999999998</v>
      </c>
      <c r="BV1030" s="59">
        <v>2.29E-2</v>
      </c>
      <c r="BW1030" s="63">
        <v>0</v>
      </c>
      <c r="BX1030" s="63">
        <v>1.7100000000000001E-2</v>
      </c>
      <c r="BY1030" s="63">
        <v>0</v>
      </c>
      <c r="BZ1030" s="63">
        <v>0</v>
      </c>
      <c r="CA1030" s="87">
        <v>13.1</v>
      </c>
      <c r="CB1030" s="59">
        <f t="shared" si="77"/>
        <v>0.04</v>
      </c>
      <c r="CC1030" s="59">
        <v>0.47139999999999999</v>
      </c>
      <c r="CD1030" s="63">
        <v>0.29599999999999999</v>
      </c>
      <c r="CE1030" s="63">
        <v>0.2326</v>
      </c>
      <c r="CF1030" s="63">
        <v>0</v>
      </c>
      <c r="CG1030" s="63">
        <v>0</v>
      </c>
      <c r="CH1030" s="87">
        <v>11.6</v>
      </c>
      <c r="CI1030" s="26" t="s">
        <v>162</v>
      </c>
      <c r="CJ1030" s="18" t="s">
        <v>505</v>
      </c>
      <c r="CK1030" s="20"/>
    </row>
    <row r="1031" spans="1:99" x14ac:dyDescent="0.25">
      <c r="A1031" s="18" t="s">
        <v>505</v>
      </c>
      <c r="B1031" s="19" t="s">
        <v>163</v>
      </c>
      <c r="C1031" s="26" t="s">
        <v>164</v>
      </c>
      <c r="D1031" s="6">
        <v>2</v>
      </c>
      <c r="E1031" s="6">
        <v>1</v>
      </c>
      <c r="F1031" s="6">
        <v>1</v>
      </c>
      <c r="N1031" s="119">
        <v>8.23045267489712E-3</v>
      </c>
      <c r="O1031" s="119">
        <v>5.7142857142857099E-3</v>
      </c>
      <c r="P1031" s="119">
        <v>2.7027027027027001E-2</v>
      </c>
      <c r="Q1031" s="119">
        <v>0</v>
      </c>
      <c r="R1031" s="116" t="s">
        <v>83</v>
      </c>
      <c r="S1031" s="119">
        <v>0</v>
      </c>
      <c r="T1031" s="119">
        <v>0</v>
      </c>
      <c r="U1031" s="119">
        <v>0</v>
      </c>
      <c r="V1031" s="119">
        <v>2.0833333333333301E-2</v>
      </c>
      <c r="W1031" s="6">
        <v>325</v>
      </c>
      <c r="X1031" s="40">
        <f t="shared" si="74"/>
        <v>167</v>
      </c>
      <c r="Y1031" s="40">
        <f t="shared" si="75"/>
        <v>231</v>
      </c>
      <c r="Z1031" s="59">
        <v>0.46150000000000002</v>
      </c>
      <c r="AA1031" s="59">
        <v>0.53849999999999998</v>
      </c>
      <c r="AB1031" s="61">
        <v>0</v>
      </c>
      <c r="AC1031" s="61">
        <v>0</v>
      </c>
      <c r="AD1031" s="61">
        <v>0.57846153846153847</v>
      </c>
      <c r="AE1031" s="61">
        <v>2.7692307692307693E-2</v>
      </c>
      <c r="AF1031" s="61">
        <v>0</v>
      </c>
      <c r="AG1031" s="61">
        <v>0.38153846153846155</v>
      </c>
      <c r="AH1031" s="61">
        <v>1.2307692307692308E-2</v>
      </c>
      <c r="AI1031" s="61">
        <v>0.61846153846153851</v>
      </c>
      <c r="AJ1031" s="59">
        <v>0.78459999999999996</v>
      </c>
      <c r="AK1031" s="59">
        <v>0</v>
      </c>
      <c r="AL1031" s="3">
        <v>33</v>
      </c>
      <c r="AM1031" s="3">
        <v>31</v>
      </c>
      <c r="AN1031" s="3">
        <v>0</v>
      </c>
      <c r="AO1031" s="3">
        <v>32</v>
      </c>
      <c r="AP1031" s="3">
        <v>43</v>
      </c>
      <c r="AQ1031" s="3">
        <v>46</v>
      </c>
      <c r="AR1031" s="3">
        <v>46</v>
      </c>
      <c r="AS1031" s="59">
        <v>0</v>
      </c>
      <c r="AT1031" s="3">
        <v>5</v>
      </c>
      <c r="AU1031" s="3">
        <v>6</v>
      </c>
      <c r="AV1031" s="49">
        <v>83.251231527093609</v>
      </c>
      <c r="AW1031" s="49">
        <v>11.330049261083699</v>
      </c>
      <c r="AX1031" s="49">
        <v>3.4482758620689702</v>
      </c>
      <c r="AY1031" s="67">
        <v>1.9704433497536902</v>
      </c>
      <c r="AZ1031" s="63">
        <v>4.1176470588235294E-2</v>
      </c>
      <c r="BA1031" s="63">
        <v>0.11176470588235295</v>
      </c>
      <c r="BB1031" s="78">
        <v>92.630027374183996</v>
      </c>
      <c r="BC1031" s="49">
        <v>62.682215743440203</v>
      </c>
      <c r="BD1031" s="3"/>
      <c r="BE1031" s="3"/>
      <c r="BF1031" s="3"/>
      <c r="BG1031" s="3"/>
      <c r="BH1031" s="3"/>
      <c r="BI1031" s="3"/>
      <c r="BJ1031" s="88">
        <v>17.2</v>
      </c>
      <c r="BK1031" s="126">
        <v>11029</v>
      </c>
      <c r="BL1031" s="126">
        <v>47911</v>
      </c>
      <c r="BM1031" s="126">
        <v>46513</v>
      </c>
      <c r="BN1031" s="126">
        <v>36355</v>
      </c>
      <c r="BO1031" s="59">
        <v>0</v>
      </c>
      <c r="BP1031" s="63">
        <v>0.2802</v>
      </c>
      <c r="BQ1031" s="63">
        <v>0.20480000000000001</v>
      </c>
      <c r="BR1031" s="63">
        <v>0</v>
      </c>
      <c r="BS1031" s="63">
        <v>0</v>
      </c>
      <c r="BT1031" s="87">
        <v>15.1</v>
      </c>
      <c r="BU1031" s="59">
        <f t="shared" si="76"/>
        <v>0.48499999999999999</v>
      </c>
      <c r="BV1031" s="59">
        <v>5.0900000000000001E-2</v>
      </c>
      <c r="BW1031" s="63">
        <v>0</v>
      </c>
      <c r="BX1031" s="63">
        <v>5.0900000000000001E-2</v>
      </c>
      <c r="BY1031" s="63">
        <v>0</v>
      </c>
      <c r="BZ1031" s="63">
        <v>0</v>
      </c>
      <c r="CA1031" s="87">
        <v>16</v>
      </c>
      <c r="CB1031" s="59">
        <f t="shared" si="77"/>
        <v>0.1018</v>
      </c>
      <c r="CC1031" s="59">
        <v>0.3886</v>
      </c>
      <c r="CD1031" s="63">
        <v>0.30570000000000003</v>
      </c>
      <c r="CE1031" s="63">
        <v>0.30570000000000003</v>
      </c>
      <c r="CF1031" s="63">
        <v>0</v>
      </c>
      <c r="CG1031" s="63">
        <v>0</v>
      </c>
      <c r="CH1031" s="87">
        <v>14.7</v>
      </c>
      <c r="CI1031" s="26" t="s">
        <v>164</v>
      </c>
      <c r="CJ1031" s="18" t="s">
        <v>505</v>
      </c>
      <c r="CK1031" s="20"/>
    </row>
    <row r="1032" spans="1:99" x14ac:dyDescent="0.25">
      <c r="A1032" s="18" t="s">
        <v>505</v>
      </c>
      <c r="B1032" s="19" t="s">
        <v>163</v>
      </c>
      <c r="C1032" s="26" t="s">
        <v>165</v>
      </c>
      <c r="D1032" s="6">
        <v>0</v>
      </c>
      <c r="E1032" s="40" t="s">
        <v>83</v>
      </c>
      <c r="F1032" s="6">
        <v>0</v>
      </c>
      <c r="N1032" s="119">
        <v>0</v>
      </c>
      <c r="O1032" s="119">
        <v>0</v>
      </c>
      <c r="P1032" s="116" t="s">
        <v>83</v>
      </c>
      <c r="Q1032" s="116" t="s">
        <v>83</v>
      </c>
      <c r="R1032" s="116" t="s">
        <v>83</v>
      </c>
      <c r="S1032" s="119">
        <v>0</v>
      </c>
      <c r="T1032" s="119">
        <v>0</v>
      </c>
      <c r="U1032" s="119">
        <v>0</v>
      </c>
      <c r="V1032" s="119">
        <v>0</v>
      </c>
      <c r="W1032" s="6">
        <v>203</v>
      </c>
      <c r="X1032" s="40">
        <f t="shared" si="74"/>
        <v>203</v>
      </c>
      <c r="Y1032" s="40">
        <f t="shared" si="75"/>
        <v>203</v>
      </c>
      <c r="Z1032" s="59">
        <v>0.47289999999999999</v>
      </c>
      <c r="AA1032" s="59">
        <v>0.52710000000000001</v>
      </c>
      <c r="AB1032" s="61">
        <v>0</v>
      </c>
      <c r="AC1032" s="61">
        <v>9.852216748768473E-3</v>
      </c>
      <c r="AD1032" s="61">
        <v>0.83251231527093594</v>
      </c>
      <c r="AE1032" s="61">
        <v>2.9556650246305417E-2</v>
      </c>
      <c r="AF1032" s="61">
        <v>0</v>
      </c>
      <c r="AG1032" s="61">
        <v>0.12807881773399016</v>
      </c>
      <c r="AH1032" s="61">
        <v>0</v>
      </c>
      <c r="AI1032" s="61">
        <v>0.8719211822660099</v>
      </c>
      <c r="AJ1032" s="59">
        <v>0.85709999999999997</v>
      </c>
      <c r="AK1032" s="59">
        <v>0</v>
      </c>
      <c r="AL1032" s="3">
        <v>0</v>
      </c>
      <c r="AM1032" s="3">
        <v>0</v>
      </c>
      <c r="AN1032" s="3">
        <v>0</v>
      </c>
      <c r="AO1032" s="3">
        <v>49</v>
      </c>
      <c r="AP1032" s="3">
        <v>64</v>
      </c>
      <c r="AQ1032" s="3">
        <v>41</v>
      </c>
      <c r="AR1032" s="3">
        <v>49</v>
      </c>
      <c r="AS1032" s="59">
        <v>0</v>
      </c>
      <c r="AT1032" s="3">
        <v>9</v>
      </c>
      <c r="AU1032" s="3">
        <v>6</v>
      </c>
      <c r="AV1032" s="49">
        <v>74.796747967479703</v>
      </c>
      <c r="AW1032" s="49">
        <v>25.2032520325203</v>
      </c>
      <c r="AX1032" s="49">
        <v>0</v>
      </c>
      <c r="AY1032" s="67">
        <v>0</v>
      </c>
      <c r="AZ1032" s="63">
        <v>0.16883116883116883</v>
      </c>
      <c r="BA1032" s="63">
        <v>0.20779220779220781</v>
      </c>
      <c r="BB1032" s="77">
        <v>92.646299614321705</v>
      </c>
      <c r="BC1032" s="49">
        <v>57.510729613733901</v>
      </c>
      <c r="BD1032" s="3"/>
      <c r="BE1032" s="3"/>
      <c r="BF1032" s="3"/>
      <c r="BG1032" s="3"/>
      <c r="BH1032" s="3"/>
      <c r="BI1032" s="3"/>
      <c r="BJ1032" s="88">
        <v>15.6</v>
      </c>
      <c r="BK1032" s="126">
        <v>13005</v>
      </c>
      <c r="BL1032" s="126">
        <v>41836</v>
      </c>
      <c r="BM1032" s="126">
        <v>52658</v>
      </c>
      <c r="BN1032" s="126">
        <v>28933</v>
      </c>
      <c r="BO1032" s="59">
        <v>0</v>
      </c>
      <c r="BP1032" s="63">
        <v>0.21959999999999999</v>
      </c>
      <c r="BQ1032" s="63">
        <v>0.16420000000000001</v>
      </c>
      <c r="BR1032" s="63">
        <v>0</v>
      </c>
      <c r="BS1032" s="63">
        <v>0</v>
      </c>
      <c r="BT1032" s="88">
        <v>13.1</v>
      </c>
      <c r="BU1032" s="59">
        <f t="shared" si="76"/>
        <v>0.38380000000000003</v>
      </c>
      <c r="BV1032" s="59">
        <v>2.5899999999999999E-2</v>
      </c>
      <c r="BW1032" s="63">
        <v>0</v>
      </c>
      <c r="BX1032" s="63">
        <v>2.5899999999999999E-2</v>
      </c>
      <c r="BY1032" s="63">
        <v>0</v>
      </c>
      <c r="BZ1032" s="63">
        <v>0</v>
      </c>
      <c r="CA1032" s="87">
        <v>14.5</v>
      </c>
      <c r="CB1032" s="59">
        <f t="shared" si="77"/>
        <v>5.1799999999999999E-2</v>
      </c>
      <c r="CC1032" s="59">
        <v>0.54410000000000003</v>
      </c>
      <c r="CD1032" s="63">
        <v>0.21959999999999999</v>
      </c>
      <c r="CE1032" s="63">
        <v>0.23630000000000001</v>
      </c>
      <c r="CF1032" s="63">
        <v>0</v>
      </c>
      <c r="CG1032" s="63">
        <v>0</v>
      </c>
      <c r="CH1032" s="87">
        <v>14.3</v>
      </c>
      <c r="CI1032" s="26" t="s">
        <v>165</v>
      </c>
      <c r="CJ1032" s="18" t="s">
        <v>505</v>
      </c>
      <c r="CK1032" s="20"/>
    </row>
    <row r="1033" spans="1:99" x14ac:dyDescent="0.25">
      <c r="A1033" s="18" t="s">
        <v>505</v>
      </c>
      <c r="B1033" s="19" t="s">
        <v>163</v>
      </c>
      <c r="C1033" s="26" t="s">
        <v>166</v>
      </c>
      <c r="D1033" s="6">
        <v>0</v>
      </c>
      <c r="E1033" s="6">
        <v>0</v>
      </c>
      <c r="F1033" s="6">
        <v>0</v>
      </c>
      <c r="N1033" s="119">
        <v>0</v>
      </c>
      <c r="O1033" s="119">
        <v>0</v>
      </c>
      <c r="P1033" s="119">
        <v>0</v>
      </c>
      <c r="Q1033" s="119">
        <v>0</v>
      </c>
      <c r="R1033" s="116" t="s">
        <v>83</v>
      </c>
      <c r="S1033" s="119">
        <v>0</v>
      </c>
      <c r="T1033" s="119">
        <v>0</v>
      </c>
      <c r="U1033" s="119">
        <v>0</v>
      </c>
      <c r="V1033" s="119">
        <v>0</v>
      </c>
      <c r="W1033" s="6">
        <v>297</v>
      </c>
      <c r="X1033" s="40">
        <f t="shared" si="74"/>
        <v>88</v>
      </c>
      <c r="Y1033" s="40">
        <f t="shared" si="75"/>
        <v>130</v>
      </c>
      <c r="Z1033" s="59">
        <v>0.57579999999999998</v>
      </c>
      <c r="AA1033" s="59">
        <v>0.42420000000000002</v>
      </c>
      <c r="AB1033" s="61">
        <v>0</v>
      </c>
      <c r="AC1033" s="61">
        <v>3.3670033670033669E-3</v>
      </c>
      <c r="AD1033" s="61">
        <v>0.34006734006734007</v>
      </c>
      <c r="AE1033" s="61">
        <v>3.3670033670033669E-3</v>
      </c>
      <c r="AF1033" s="61">
        <v>0</v>
      </c>
      <c r="AG1033" s="61">
        <v>0.64646464646464652</v>
      </c>
      <c r="AH1033" s="61">
        <v>6.7340067340067337E-3</v>
      </c>
      <c r="AI1033" s="61">
        <v>0.35353535353535354</v>
      </c>
      <c r="AJ1033" s="59">
        <v>0.56569999999999998</v>
      </c>
      <c r="AK1033" s="59">
        <v>0</v>
      </c>
      <c r="AL1033" s="3">
        <v>21</v>
      </c>
      <c r="AM1033" s="3">
        <v>21</v>
      </c>
      <c r="AN1033" s="3">
        <v>0</v>
      </c>
      <c r="AO1033" s="3">
        <v>19</v>
      </c>
      <c r="AP1033" s="3">
        <v>27</v>
      </c>
      <c r="AQ1033" s="3">
        <v>24</v>
      </c>
      <c r="AR1033" s="3">
        <v>18</v>
      </c>
      <c r="AS1033" s="59">
        <v>0</v>
      </c>
      <c r="AT1033" s="3">
        <v>1</v>
      </c>
      <c r="AU1033" s="3">
        <v>6</v>
      </c>
      <c r="AV1033" s="49">
        <v>80.6666666666667</v>
      </c>
      <c r="AW1033" s="49">
        <v>17.3333333333333</v>
      </c>
      <c r="AX1033" s="49">
        <v>1.3333333333333299</v>
      </c>
      <c r="AY1033" s="67">
        <v>0.66666666666666696</v>
      </c>
      <c r="AZ1033" s="63">
        <v>1.8749999999999999E-2</v>
      </c>
      <c r="BA1033" s="63">
        <v>6.5625000000000003E-2</v>
      </c>
      <c r="BB1033" s="78">
        <v>94.632580312661005</v>
      </c>
      <c r="BC1033" s="49">
        <v>48.504983388704296</v>
      </c>
      <c r="BD1033" s="3"/>
      <c r="BE1033" s="3"/>
      <c r="BF1033" s="3"/>
      <c r="BG1033" s="3"/>
      <c r="BH1033" s="3"/>
      <c r="BI1033" s="3"/>
      <c r="BJ1033" s="88">
        <v>20.5</v>
      </c>
      <c r="BK1033" s="126">
        <v>10668</v>
      </c>
      <c r="BL1033" s="126">
        <v>45683</v>
      </c>
      <c r="BM1033" s="126">
        <v>48902</v>
      </c>
      <c r="BN1033" s="126">
        <v>35699</v>
      </c>
      <c r="BO1033" s="59">
        <v>0</v>
      </c>
      <c r="BP1033" s="63">
        <v>0.3372</v>
      </c>
      <c r="BQ1033" s="63">
        <v>0.1517</v>
      </c>
      <c r="BR1033" s="63">
        <v>0</v>
      </c>
      <c r="BS1033" s="63">
        <v>0</v>
      </c>
      <c r="BT1033" s="88">
        <v>16.600000000000001</v>
      </c>
      <c r="BU1033" s="59">
        <f t="shared" si="76"/>
        <v>0.4889</v>
      </c>
      <c r="BV1033" s="59">
        <v>3.0099999999999998E-2</v>
      </c>
      <c r="BW1033" s="63">
        <v>0</v>
      </c>
      <c r="BX1033" s="63">
        <v>3.0099999999999998E-2</v>
      </c>
      <c r="BY1033" s="63">
        <v>0</v>
      </c>
      <c r="BZ1033" s="63">
        <v>0</v>
      </c>
      <c r="CA1033" s="87">
        <v>12.5</v>
      </c>
      <c r="CB1033" s="59">
        <f t="shared" si="77"/>
        <v>6.0199999999999997E-2</v>
      </c>
      <c r="CC1033" s="59">
        <v>0.45190000000000002</v>
      </c>
      <c r="CD1033" s="63">
        <v>0.3372</v>
      </c>
      <c r="CE1033" s="63">
        <v>0.2109</v>
      </c>
      <c r="CF1033" s="63">
        <v>0</v>
      </c>
      <c r="CG1033" s="63">
        <v>0</v>
      </c>
      <c r="CH1033" s="87">
        <v>15.8</v>
      </c>
      <c r="CI1033" s="26" t="s">
        <v>166</v>
      </c>
      <c r="CJ1033" s="18" t="s">
        <v>505</v>
      </c>
      <c r="CK1033" s="20"/>
    </row>
    <row r="1034" spans="1:99" x14ac:dyDescent="0.25">
      <c r="A1034" s="18" t="s">
        <v>505</v>
      </c>
      <c r="B1034" s="19" t="s">
        <v>167</v>
      </c>
      <c r="C1034" s="26" t="s">
        <v>168</v>
      </c>
      <c r="D1034" s="6">
        <v>7</v>
      </c>
      <c r="E1034" s="40" t="s">
        <v>83</v>
      </c>
      <c r="F1034" s="6">
        <v>7</v>
      </c>
      <c r="N1034" s="119">
        <v>1.76767676767677E-2</v>
      </c>
      <c r="O1034" s="119">
        <v>1.76767676767677E-2</v>
      </c>
      <c r="P1034" s="116" t="s">
        <v>83</v>
      </c>
      <c r="Q1034" s="116" t="s">
        <v>83</v>
      </c>
      <c r="R1034" s="119">
        <v>0</v>
      </c>
      <c r="S1034" s="119">
        <v>3.8461538461538498E-2</v>
      </c>
      <c r="T1034" s="119">
        <v>1.02040816326531E-2</v>
      </c>
      <c r="U1034" s="119">
        <v>2.1739130434782601E-2</v>
      </c>
      <c r="V1034" s="119">
        <v>0</v>
      </c>
      <c r="W1034" s="6">
        <v>359</v>
      </c>
      <c r="X1034" s="40">
        <f t="shared" si="74"/>
        <v>359</v>
      </c>
      <c r="Y1034" s="40">
        <f t="shared" si="75"/>
        <v>359</v>
      </c>
      <c r="Z1034" s="59">
        <v>0.48470000000000002</v>
      </c>
      <c r="AA1034" s="59">
        <v>0.51529999999999998</v>
      </c>
      <c r="AB1034" s="61">
        <v>0</v>
      </c>
      <c r="AC1034" s="61">
        <v>0</v>
      </c>
      <c r="AD1034" s="61">
        <v>0.94707520891364905</v>
      </c>
      <c r="AE1034" s="61">
        <v>0</v>
      </c>
      <c r="AF1034" s="61">
        <v>0</v>
      </c>
      <c r="AG1034" s="61">
        <v>5.0139275766016712E-2</v>
      </c>
      <c r="AH1034" s="61">
        <v>2.7855153203342618E-3</v>
      </c>
      <c r="AI1034" s="61">
        <v>0.94986072423398327</v>
      </c>
      <c r="AJ1034" s="59">
        <v>0.9415</v>
      </c>
      <c r="AK1034" s="59">
        <v>0</v>
      </c>
      <c r="AL1034" s="3">
        <v>0</v>
      </c>
      <c r="AM1034" s="3">
        <v>0</v>
      </c>
      <c r="AN1034" s="3">
        <v>1</v>
      </c>
      <c r="AO1034" s="3">
        <v>112</v>
      </c>
      <c r="AP1034" s="3">
        <v>86</v>
      </c>
      <c r="AQ1034" s="3">
        <v>83</v>
      </c>
      <c r="AR1034" s="3">
        <v>77</v>
      </c>
      <c r="AS1034" s="59">
        <v>8.8495575221238937E-3</v>
      </c>
      <c r="AT1034" s="3">
        <v>9</v>
      </c>
      <c r="AU1034" s="3">
        <v>6</v>
      </c>
      <c r="AV1034" s="49">
        <v>77.6041666666667</v>
      </c>
      <c r="AW1034" s="49">
        <v>20.8333333333333</v>
      </c>
      <c r="AX1034" s="49">
        <v>1.5625</v>
      </c>
      <c r="AY1034" s="67">
        <v>0</v>
      </c>
      <c r="AZ1034" s="63">
        <v>0.40769230769230769</v>
      </c>
      <c r="BA1034" s="63">
        <v>0.43846153846153846</v>
      </c>
      <c r="BB1034" s="77">
        <v>91.414362313910402</v>
      </c>
      <c r="BC1034" s="49">
        <v>80.676328502415501</v>
      </c>
      <c r="BD1034" s="3"/>
      <c r="BE1034" s="3"/>
      <c r="BF1034" s="3"/>
      <c r="BG1034" s="3"/>
      <c r="BH1034" s="3"/>
      <c r="BI1034" s="3"/>
      <c r="BJ1034" s="88">
        <v>15.7</v>
      </c>
      <c r="BK1034" s="126">
        <v>11335</v>
      </c>
      <c r="BL1034" s="126">
        <v>40694</v>
      </c>
      <c r="BM1034" s="126">
        <v>49418</v>
      </c>
      <c r="BN1034" s="126">
        <v>35208</v>
      </c>
      <c r="BO1034" s="59">
        <v>0</v>
      </c>
      <c r="BP1034" s="63">
        <v>0.46710000000000002</v>
      </c>
      <c r="BQ1034" s="63">
        <v>0.1011</v>
      </c>
      <c r="BR1034" s="63">
        <v>0</v>
      </c>
      <c r="BS1034" s="63">
        <v>0</v>
      </c>
      <c r="BT1034" s="88">
        <v>10.4</v>
      </c>
      <c r="BU1034" s="59">
        <f t="shared" si="76"/>
        <v>0.56820000000000004</v>
      </c>
      <c r="BV1034" s="59">
        <v>0</v>
      </c>
      <c r="BW1034" s="63">
        <v>2.1700000000000001E-2</v>
      </c>
      <c r="BX1034" s="63">
        <v>4.7399999999999998E-2</v>
      </c>
      <c r="BY1034" s="63">
        <v>0</v>
      </c>
      <c r="BZ1034" s="63">
        <v>0</v>
      </c>
      <c r="CA1034" s="87">
        <v>12.2</v>
      </c>
      <c r="CB1034" s="59">
        <f t="shared" si="77"/>
        <v>6.9099999999999995E-2</v>
      </c>
      <c r="CC1034" s="59">
        <v>0.31390000000000001</v>
      </c>
      <c r="CD1034" s="63">
        <v>0.51570000000000005</v>
      </c>
      <c r="CE1034" s="63">
        <v>0.17030000000000001</v>
      </c>
      <c r="CF1034" s="63">
        <v>0</v>
      </c>
      <c r="CG1034" s="63">
        <v>0</v>
      </c>
      <c r="CH1034" s="87">
        <v>11.2</v>
      </c>
      <c r="CI1034" s="26" t="s">
        <v>168</v>
      </c>
      <c r="CJ1034" s="18" t="s">
        <v>505</v>
      </c>
      <c r="CK1034" s="20"/>
    </row>
    <row r="1035" spans="1:99" x14ac:dyDescent="0.25">
      <c r="A1035" s="18" t="s">
        <v>505</v>
      </c>
      <c r="B1035" s="19" t="s">
        <v>167</v>
      </c>
      <c r="C1035" s="26" t="s">
        <v>169</v>
      </c>
      <c r="D1035" s="6">
        <v>0</v>
      </c>
      <c r="E1035" s="6">
        <v>0</v>
      </c>
      <c r="F1035" s="6">
        <v>0</v>
      </c>
      <c r="N1035" s="119">
        <v>0</v>
      </c>
      <c r="O1035" s="119">
        <v>0</v>
      </c>
      <c r="P1035" s="119">
        <v>0</v>
      </c>
      <c r="Q1035" s="119">
        <v>0</v>
      </c>
      <c r="R1035" s="116" t="s">
        <v>83</v>
      </c>
      <c r="S1035" s="119">
        <v>0</v>
      </c>
      <c r="T1035" s="119">
        <v>0</v>
      </c>
      <c r="U1035" s="119">
        <v>0</v>
      </c>
      <c r="V1035" s="119">
        <v>0</v>
      </c>
      <c r="W1035" s="6">
        <v>461</v>
      </c>
      <c r="X1035" s="40">
        <f t="shared" si="74"/>
        <v>117</v>
      </c>
      <c r="Y1035" s="40">
        <f t="shared" si="75"/>
        <v>195</v>
      </c>
      <c r="Z1035" s="59">
        <v>0.45550000000000002</v>
      </c>
      <c r="AA1035" s="59">
        <v>0.54449999999999998</v>
      </c>
      <c r="AB1035" s="61">
        <v>6.5075921908893707E-3</v>
      </c>
      <c r="AC1035" s="61">
        <v>0</v>
      </c>
      <c r="AD1035" s="61">
        <v>1.735357917570499E-2</v>
      </c>
      <c r="AE1035" s="61">
        <v>6.5075921908893707E-3</v>
      </c>
      <c r="AF1035" s="61">
        <v>0</v>
      </c>
      <c r="AG1035" s="61">
        <v>0.96746203904555317</v>
      </c>
      <c r="AH1035" s="61">
        <v>2.1691973969631237E-3</v>
      </c>
      <c r="AI1035" s="61">
        <v>3.2537960954446853E-2</v>
      </c>
      <c r="AJ1035" s="59">
        <v>0.59219999999999995</v>
      </c>
      <c r="AK1035" s="59">
        <v>4.3E-3</v>
      </c>
      <c r="AL1035" s="3">
        <v>42</v>
      </c>
      <c r="AM1035" s="3">
        <v>36</v>
      </c>
      <c r="AN1035" s="3">
        <v>0</v>
      </c>
      <c r="AO1035" s="3">
        <v>26</v>
      </c>
      <c r="AP1035" s="3">
        <v>35</v>
      </c>
      <c r="AQ1035" s="3">
        <v>26</v>
      </c>
      <c r="AR1035" s="3">
        <v>30</v>
      </c>
      <c r="AS1035" s="59">
        <v>0</v>
      </c>
      <c r="AT1035" s="3">
        <v>1</v>
      </c>
      <c r="AU1035" s="3">
        <v>6</v>
      </c>
      <c r="AV1035" s="49">
        <v>85.087719298245602</v>
      </c>
      <c r="AW1035" s="49">
        <v>10.526315789473701</v>
      </c>
      <c r="AX1035" s="49">
        <v>1.7543859649122799</v>
      </c>
      <c r="AY1035" s="67">
        <v>2.6315789473684199</v>
      </c>
      <c r="AZ1035" s="63">
        <v>0.12877263581488935</v>
      </c>
      <c r="BA1035" s="63">
        <v>9.0543259557344061E-2</v>
      </c>
      <c r="BB1035" s="78">
        <v>94.391600750021695</v>
      </c>
      <c r="BC1035" s="49">
        <v>61.0062893081761</v>
      </c>
      <c r="BD1035" s="3"/>
      <c r="BE1035" s="3"/>
      <c r="BF1035" s="3"/>
      <c r="BG1035" s="3"/>
      <c r="BH1035" s="3"/>
      <c r="BI1035" s="3"/>
      <c r="BJ1035" s="88">
        <v>19.899999999999999</v>
      </c>
      <c r="BK1035" s="126">
        <v>11637</v>
      </c>
      <c r="BL1035" s="126">
        <v>46619</v>
      </c>
      <c r="BM1035" s="126">
        <v>53902</v>
      </c>
      <c r="BN1035" s="126">
        <v>39287</v>
      </c>
      <c r="BO1035" s="59">
        <v>0</v>
      </c>
      <c r="BP1035" s="63">
        <v>0.4894</v>
      </c>
      <c r="BQ1035" s="63">
        <v>0.1114</v>
      </c>
      <c r="BR1035" s="63">
        <v>0</v>
      </c>
      <c r="BS1035" s="63">
        <v>0</v>
      </c>
      <c r="BT1035" s="88">
        <v>18.600000000000001</v>
      </c>
      <c r="BU1035" s="59">
        <f t="shared" si="76"/>
        <v>0.6008</v>
      </c>
      <c r="BV1035" s="59">
        <v>0</v>
      </c>
      <c r="BW1035" s="63">
        <v>1.9300000000000001E-2</v>
      </c>
      <c r="BX1035" s="63">
        <v>3.7100000000000001E-2</v>
      </c>
      <c r="BY1035" s="63">
        <v>0</v>
      </c>
      <c r="BZ1035" s="63">
        <v>0</v>
      </c>
      <c r="CA1035" s="87">
        <v>15.6</v>
      </c>
      <c r="CB1035" s="59">
        <f t="shared" si="77"/>
        <v>5.6400000000000006E-2</v>
      </c>
      <c r="CC1035" s="59">
        <v>0.28060000000000002</v>
      </c>
      <c r="CD1035" s="63">
        <v>0.54530000000000001</v>
      </c>
      <c r="CE1035" s="63">
        <v>0.1741</v>
      </c>
      <c r="CF1035" s="63">
        <v>0</v>
      </c>
      <c r="CG1035" s="63">
        <v>0</v>
      </c>
      <c r="CH1035" s="87">
        <v>16.600000000000001</v>
      </c>
      <c r="CI1035" s="26" t="s">
        <v>169</v>
      </c>
      <c r="CJ1035" s="18" t="s">
        <v>505</v>
      </c>
      <c r="CK1035" s="20"/>
    </row>
    <row r="1036" spans="1:99" x14ac:dyDescent="0.25">
      <c r="A1036" s="18" t="s">
        <v>505</v>
      </c>
      <c r="B1036" s="19" t="s">
        <v>167</v>
      </c>
      <c r="C1036" s="26" t="s">
        <v>170</v>
      </c>
      <c r="D1036" s="6">
        <v>8</v>
      </c>
      <c r="E1036" s="40" t="s">
        <v>83</v>
      </c>
      <c r="F1036" s="6">
        <v>8</v>
      </c>
      <c r="N1036" s="119">
        <v>1.79775280898876E-2</v>
      </c>
      <c r="O1036" s="119">
        <v>1.79775280898876E-2</v>
      </c>
      <c r="P1036" s="116" t="s">
        <v>83</v>
      </c>
      <c r="Q1036" s="116" t="s">
        <v>83</v>
      </c>
      <c r="R1036" s="116" t="s">
        <v>83</v>
      </c>
      <c r="S1036" s="119">
        <v>1.63934426229508E-2</v>
      </c>
      <c r="T1036" s="119">
        <v>1.7699115044247801E-2</v>
      </c>
      <c r="U1036" s="119">
        <v>1.85185185185185E-2</v>
      </c>
      <c r="V1036" s="119">
        <v>1.9607843137254902E-2</v>
      </c>
      <c r="W1036" s="6">
        <v>412</v>
      </c>
      <c r="X1036" s="40">
        <f t="shared" si="74"/>
        <v>412</v>
      </c>
      <c r="Y1036" s="40">
        <f t="shared" si="75"/>
        <v>412</v>
      </c>
      <c r="Z1036" s="59">
        <v>0.42230000000000001</v>
      </c>
      <c r="AA1036" s="59">
        <v>0.57769999999999999</v>
      </c>
      <c r="AB1036" s="61">
        <v>0</v>
      </c>
      <c r="AC1036" s="61">
        <v>1.6990291262135922E-2</v>
      </c>
      <c r="AD1036" s="61">
        <v>0.32281553398058255</v>
      </c>
      <c r="AE1036" s="61">
        <v>5.0970873786407765E-2</v>
      </c>
      <c r="AF1036" s="61">
        <v>0</v>
      </c>
      <c r="AG1036" s="61">
        <v>0.58737864077669899</v>
      </c>
      <c r="AH1036" s="61">
        <v>2.1844660194174758E-2</v>
      </c>
      <c r="AI1036" s="61">
        <v>0.41262135922330095</v>
      </c>
      <c r="AJ1036" s="59">
        <v>0.64559999999999995</v>
      </c>
      <c r="AK1036" s="59">
        <v>2.6700000000000002E-2</v>
      </c>
      <c r="AL1036" s="3">
        <v>0</v>
      </c>
      <c r="AM1036" s="3">
        <v>0</v>
      </c>
      <c r="AN1036" s="3">
        <v>0</v>
      </c>
      <c r="AO1036" s="3">
        <v>114</v>
      </c>
      <c r="AP1036" s="3">
        <v>105</v>
      </c>
      <c r="AQ1036" s="3">
        <v>94</v>
      </c>
      <c r="AR1036" s="3">
        <v>99</v>
      </c>
      <c r="AS1036" s="59">
        <v>0</v>
      </c>
      <c r="AT1036" s="3">
        <v>9</v>
      </c>
      <c r="AU1036" s="3">
        <v>6</v>
      </c>
      <c r="AV1036" s="49">
        <v>81.8565400843882</v>
      </c>
      <c r="AW1036" s="49">
        <v>17.721518987341799</v>
      </c>
      <c r="AX1036" s="49">
        <v>0.42194092827004198</v>
      </c>
      <c r="AY1036" s="67">
        <v>0</v>
      </c>
      <c r="AZ1036" s="63">
        <v>0.240990990990991</v>
      </c>
      <c r="BA1036" s="63">
        <v>0.24324324324324326</v>
      </c>
      <c r="BB1036" s="77">
        <v>90.636746460164503</v>
      </c>
      <c r="BC1036" s="49">
        <v>78.202247191011196</v>
      </c>
      <c r="BD1036" s="3"/>
      <c r="BE1036" s="3"/>
      <c r="BF1036" s="3"/>
      <c r="BG1036" s="3"/>
      <c r="BH1036" s="3"/>
      <c r="BI1036" s="3"/>
      <c r="BJ1036" s="88">
        <v>19.5</v>
      </c>
      <c r="BK1036" s="126">
        <v>11163</v>
      </c>
      <c r="BL1036" s="126">
        <v>45671</v>
      </c>
      <c r="BM1036" s="126">
        <v>51098</v>
      </c>
      <c r="BN1036" s="126">
        <v>38653</v>
      </c>
      <c r="BO1036" s="59">
        <v>0</v>
      </c>
      <c r="BP1036" s="63">
        <v>0.36799999999999999</v>
      </c>
      <c r="BQ1036" s="63">
        <v>0.20399999999999999</v>
      </c>
      <c r="BR1036" s="63">
        <v>0</v>
      </c>
      <c r="BS1036" s="63">
        <v>0</v>
      </c>
      <c r="BT1036" s="88">
        <v>14.5</v>
      </c>
      <c r="BU1036" s="59">
        <f t="shared" si="76"/>
        <v>0.57199999999999995</v>
      </c>
      <c r="BV1036" s="59">
        <v>2.0299999999999999E-2</v>
      </c>
      <c r="BW1036" s="63">
        <v>0</v>
      </c>
      <c r="BX1036" s="63">
        <v>4.5600000000000002E-2</v>
      </c>
      <c r="BY1036" s="63">
        <v>0</v>
      </c>
      <c r="BZ1036" s="63">
        <v>0</v>
      </c>
      <c r="CA1036" s="87">
        <v>8.8000000000000007</v>
      </c>
      <c r="CB1036" s="59">
        <f t="shared" si="77"/>
        <v>6.59E-2</v>
      </c>
      <c r="CC1036" s="59">
        <v>0.33090000000000003</v>
      </c>
      <c r="CD1036" s="63">
        <v>0.36809999999999998</v>
      </c>
      <c r="CE1036" s="63">
        <v>0.30109999999999998</v>
      </c>
      <c r="CF1036" s="63">
        <v>0</v>
      </c>
      <c r="CG1036" s="63">
        <v>0</v>
      </c>
      <c r="CH1036" s="87">
        <v>14.2</v>
      </c>
      <c r="CI1036" s="26" t="s">
        <v>170</v>
      </c>
      <c r="CJ1036" s="18" t="s">
        <v>505</v>
      </c>
      <c r="CK1036" s="20"/>
    </row>
    <row r="1037" spans="1:99" s="1" customFormat="1" ht="21" customHeight="1" x14ac:dyDescent="0.25">
      <c r="A1037" s="21" t="s">
        <v>0</v>
      </c>
      <c r="B1037" s="22" t="s">
        <v>1</v>
      </c>
      <c r="C1037" s="22" t="s">
        <v>2</v>
      </c>
      <c r="D1037" s="9" t="s">
        <v>3</v>
      </c>
      <c r="E1037" s="9" t="s">
        <v>4</v>
      </c>
      <c r="F1037" s="9" t="s">
        <v>5</v>
      </c>
      <c r="G1037" s="167"/>
      <c r="H1037" s="168"/>
      <c r="I1037" s="168"/>
      <c r="J1037" s="168"/>
      <c r="K1037" s="168"/>
      <c r="L1037" s="168"/>
      <c r="M1037" s="168"/>
      <c r="N1037" s="120" t="s">
        <v>6</v>
      </c>
      <c r="O1037" s="120" t="s">
        <v>7</v>
      </c>
      <c r="P1037" s="120" t="s">
        <v>8</v>
      </c>
      <c r="Q1037" s="120" t="s">
        <v>9</v>
      </c>
      <c r="R1037" s="120" t="s">
        <v>10</v>
      </c>
      <c r="S1037" s="120" t="s">
        <v>11</v>
      </c>
      <c r="T1037" s="120" t="s">
        <v>12</v>
      </c>
      <c r="U1037" s="120" t="s">
        <v>13</v>
      </c>
      <c r="V1037" s="120" t="s">
        <v>14</v>
      </c>
      <c r="W1037" s="41" t="s">
        <v>15</v>
      </c>
      <c r="X1037" s="41" t="s">
        <v>16</v>
      </c>
      <c r="Y1037" s="41" t="s">
        <v>17</v>
      </c>
      <c r="Z1037" s="107" t="s">
        <v>18</v>
      </c>
      <c r="AA1037" s="107" t="s">
        <v>19</v>
      </c>
      <c r="AB1037" s="95" t="s">
        <v>20</v>
      </c>
      <c r="AC1037" s="95" t="s">
        <v>21</v>
      </c>
      <c r="AD1037" s="95" t="s">
        <v>22</v>
      </c>
      <c r="AE1037" s="95" t="s">
        <v>23</v>
      </c>
      <c r="AF1037" s="95" t="s">
        <v>24</v>
      </c>
      <c r="AG1037" s="95" t="s">
        <v>25</v>
      </c>
      <c r="AH1037" s="95" t="s">
        <v>26</v>
      </c>
      <c r="AI1037" s="95" t="s">
        <v>27</v>
      </c>
      <c r="AJ1037" s="95" t="s">
        <v>28</v>
      </c>
      <c r="AK1037" s="107" t="s">
        <v>29</v>
      </c>
      <c r="AL1037" s="42" t="s">
        <v>30</v>
      </c>
      <c r="AM1037" s="42" t="s">
        <v>31</v>
      </c>
      <c r="AN1037" s="42" t="s">
        <v>32</v>
      </c>
      <c r="AO1037" s="42" t="s">
        <v>33</v>
      </c>
      <c r="AP1037" s="42" t="s">
        <v>34</v>
      </c>
      <c r="AQ1037" s="42" t="s">
        <v>35</v>
      </c>
      <c r="AR1037" s="42" t="s">
        <v>36</v>
      </c>
      <c r="AS1037" s="100" t="s">
        <v>37</v>
      </c>
      <c r="AT1037" s="41" t="s">
        <v>38</v>
      </c>
      <c r="AU1037" s="23" t="s">
        <v>39</v>
      </c>
      <c r="AV1037" s="51" t="s">
        <v>40</v>
      </c>
      <c r="AW1037" s="51" t="s">
        <v>41</v>
      </c>
      <c r="AX1037" s="51" t="s">
        <v>42</v>
      </c>
      <c r="AY1037" s="66" t="s">
        <v>43</v>
      </c>
      <c r="AZ1037" s="58" t="s">
        <v>44</v>
      </c>
      <c r="BA1037" s="58" t="s">
        <v>45</v>
      </c>
      <c r="BB1037" s="75" t="s">
        <v>46</v>
      </c>
      <c r="BC1037" s="83" t="s">
        <v>47</v>
      </c>
      <c r="BD1037" s="89" t="s">
        <v>48</v>
      </c>
      <c r="BE1037" s="89" t="s">
        <v>49</v>
      </c>
      <c r="BF1037" s="89" t="s">
        <v>50</v>
      </c>
      <c r="BG1037" s="89" t="s">
        <v>51</v>
      </c>
      <c r="BH1037" s="89" t="s">
        <v>52</v>
      </c>
      <c r="BI1037" s="89" t="s">
        <v>53</v>
      </c>
      <c r="BJ1037" s="86" t="s">
        <v>54</v>
      </c>
      <c r="BK1037" s="123" t="s">
        <v>55</v>
      </c>
      <c r="BL1037" s="123" t="s">
        <v>56</v>
      </c>
      <c r="BM1037" s="123" t="s">
        <v>57</v>
      </c>
      <c r="BN1037" s="123" t="s">
        <v>58</v>
      </c>
      <c r="BO1037" s="131" t="s">
        <v>59</v>
      </c>
      <c r="BP1037" s="131" t="s">
        <v>60</v>
      </c>
      <c r="BQ1037" s="131" t="s">
        <v>61</v>
      </c>
      <c r="BR1037" s="131" t="s">
        <v>62</v>
      </c>
      <c r="BS1037" s="131" t="s">
        <v>63</v>
      </c>
      <c r="BT1037" s="131" t="s">
        <v>64</v>
      </c>
      <c r="BU1037" s="131" t="s">
        <v>65</v>
      </c>
      <c r="BV1037" s="132" t="s">
        <v>66</v>
      </c>
      <c r="BW1037" s="132" t="s">
        <v>67</v>
      </c>
      <c r="BX1037" s="132" t="s">
        <v>68</v>
      </c>
      <c r="BY1037" s="132" t="s">
        <v>69</v>
      </c>
      <c r="BZ1037" s="132" t="s">
        <v>70</v>
      </c>
      <c r="CA1037" s="132" t="s">
        <v>71</v>
      </c>
      <c r="CB1037" s="132" t="s">
        <v>72</v>
      </c>
      <c r="CC1037" s="123" t="s">
        <v>73</v>
      </c>
      <c r="CD1037" s="123" t="s">
        <v>74</v>
      </c>
      <c r="CE1037" s="123" t="s">
        <v>75</v>
      </c>
      <c r="CF1037" s="123" t="s">
        <v>76</v>
      </c>
      <c r="CG1037" s="123" t="s">
        <v>77</v>
      </c>
      <c r="CH1037" s="123" t="s">
        <v>78</v>
      </c>
      <c r="CI1037" s="22" t="s">
        <v>2</v>
      </c>
      <c r="CJ1037" s="21" t="s">
        <v>0</v>
      </c>
      <c r="CK1037" s="24" t="s">
        <v>79</v>
      </c>
      <c r="CL1037"/>
      <c r="CM1037"/>
      <c r="CN1037"/>
      <c r="CO1037"/>
      <c r="CP1037"/>
      <c r="CQ1037"/>
      <c r="CR1037"/>
      <c r="CS1037"/>
      <c r="CT1037"/>
      <c r="CU1037"/>
    </row>
    <row r="1038" spans="1:99" x14ac:dyDescent="0.25">
      <c r="A1038" s="18" t="s">
        <v>505</v>
      </c>
      <c r="B1038" s="19" t="s">
        <v>171</v>
      </c>
      <c r="C1038" s="26" t="s">
        <v>172</v>
      </c>
      <c r="D1038" s="6">
        <v>5</v>
      </c>
      <c r="E1038" s="6">
        <v>3</v>
      </c>
      <c r="F1038" s="6">
        <v>2</v>
      </c>
      <c r="N1038" s="119">
        <v>1.6129032258064498E-2</v>
      </c>
      <c r="O1038" s="119">
        <v>9.5238095238095195E-3</v>
      </c>
      <c r="P1038" s="119">
        <v>0</v>
      </c>
      <c r="Q1038" s="119">
        <v>0.06</v>
      </c>
      <c r="R1038" s="116" t="s">
        <v>83</v>
      </c>
      <c r="S1038" s="119">
        <v>0</v>
      </c>
      <c r="T1038" s="119">
        <v>1.7543859649122799E-2</v>
      </c>
      <c r="U1038" s="119">
        <v>0</v>
      </c>
      <c r="V1038" s="119">
        <v>1.6666666666666701E-2</v>
      </c>
      <c r="W1038" s="6">
        <v>695</v>
      </c>
      <c r="X1038" s="40">
        <f t="shared" si="74"/>
        <v>202</v>
      </c>
      <c r="Y1038" s="40">
        <f t="shared" si="75"/>
        <v>291</v>
      </c>
      <c r="Z1038" s="59">
        <v>0.47770000000000001</v>
      </c>
      <c r="AA1038" s="59">
        <v>0.52229999999999999</v>
      </c>
      <c r="AB1038" s="61">
        <v>5.7553956834532375E-3</v>
      </c>
      <c r="AC1038" s="61">
        <v>1.4388489208633094E-3</v>
      </c>
      <c r="AD1038" s="61">
        <v>0.36115107913669064</v>
      </c>
      <c r="AE1038" s="61">
        <v>5.3237410071942444E-2</v>
      </c>
      <c r="AF1038" s="61">
        <v>0</v>
      </c>
      <c r="AG1038" s="61">
        <v>0.5467625899280576</v>
      </c>
      <c r="AH1038" s="61">
        <v>3.1654676258992806E-2</v>
      </c>
      <c r="AI1038" s="61">
        <v>0.45323741007194246</v>
      </c>
      <c r="AJ1038" s="59">
        <v>0.67049999999999998</v>
      </c>
      <c r="AK1038" s="59">
        <v>2.5899999999999999E-2</v>
      </c>
      <c r="AL1038" s="3">
        <v>48</v>
      </c>
      <c r="AM1038" s="3">
        <v>41</v>
      </c>
      <c r="AN1038" s="3">
        <v>0</v>
      </c>
      <c r="AO1038" s="3">
        <v>37</v>
      </c>
      <c r="AP1038" s="3">
        <v>56</v>
      </c>
      <c r="AQ1038" s="3">
        <v>54</v>
      </c>
      <c r="AR1038" s="3">
        <v>55</v>
      </c>
      <c r="AS1038" s="59">
        <v>0</v>
      </c>
      <c r="AT1038" s="3">
        <v>1</v>
      </c>
      <c r="AU1038" s="3">
        <v>6</v>
      </c>
      <c r="AV1038" s="49">
        <v>56.837606837606799</v>
      </c>
      <c r="AW1038" s="49">
        <v>34.188034188034202</v>
      </c>
      <c r="AX1038" s="49">
        <v>8.5470085470085504</v>
      </c>
      <c r="AY1038" s="67">
        <v>0.42735042735042694</v>
      </c>
      <c r="AZ1038" s="63">
        <v>0.15967523680649526</v>
      </c>
      <c r="BA1038" s="63">
        <v>6.0893098782138028E-2</v>
      </c>
      <c r="BB1038" s="77">
        <v>93.842393518308995</v>
      </c>
      <c r="BC1038" s="49">
        <v>50.432276657060498</v>
      </c>
      <c r="BD1038" s="3"/>
      <c r="BE1038" s="3"/>
      <c r="BF1038" s="3"/>
      <c r="BG1038" s="3"/>
      <c r="BH1038" s="3"/>
      <c r="BI1038" s="3"/>
      <c r="BJ1038" s="88">
        <v>17.7</v>
      </c>
      <c r="BK1038" s="126">
        <v>17277</v>
      </c>
      <c r="BL1038" s="126">
        <v>60932</v>
      </c>
      <c r="BM1038" s="126">
        <v>60817</v>
      </c>
      <c r="BN1038" s="126">
        <v>48526</v>
      </c>
      <c r="BO1038" s="59">
        <v>0</v>
      </c>
      <c r="BP1038" s="63">
        <v>0.34899999999999998</v>
      </c>
      <c r="BQ1038" s="63">
        <v>0.1615</v>
      </c>
      <c r="BR1038" s="63">
        <v>0</v>
      </c>
      <c r="BS1038" s="63">
        <v>0</v>
      </c>
      <c r="BT1038" s="87">
        <v>13</v>
      </c>
      <c r="BU1038" s="59">
        <f t="shared" si="76"/>
        <v>0.51049999999999995</v>
      </c>
      <c r="BV1038" s="59">
        <v>2.18E-2</v>
      </c>
      <c r="BW1038" s="63">
        <v>1.09E-2</v>
      </c>
      <c r="BX1038" s="63">
        <v>2.18E-2</v>
      </c>
      <c r="BY1038" s="63">
        <v>0</v>
      </c>
      <c r="BZ1038" s="63">
        <v>0</v>
      </c>
      <c r="CA1038" s="87">
        <v>16</v>
      </c>
      <c r="CB1038" s="59">
        <f t="shared" si="77"/>
        <v>5.45E-2</v>
      </c>
      <c r="CC1038" s="59">
        <v>0.4022</v>
      </c>
      <c r="CD1038" s="63">
        <v>0.40360000000000001</v>
      </c>
      <c r="CE1038" s="63">
        <v>0.19420000000000001</v>
      </c>
      <c r="CF1038" s="63">
        <v>0</v>
      </c>
      <c r="CG1038" s="63">
        <v>0</v>
      </c>
      <c r="CH1038" s="88">
        <v>13.6</v>
      </c>
      <c r="CI1038" s="26" t="s">
        <v>172</v>
      </c>
      <c r="CJ1038" s="18" t="s">
        <v>505</v>
      </c>
      <c r="CK1038" s="20"/>
    </row>
    <row r="1039" spans="1:99" x14ac:dyDescent="0.25">
      <c r="A1039" s="18" t="s">
        <v>505</v>
      </c>
      <c r="B1039" s="19" t="s">
        <v>171</v>
      </c>
      <c r="C1039" s="26" t="s">
        <v>173</v>
      </c>
      <c r="D1039" s="6">
        <v>4</v>
      </c>
      <c r="E1039" s="40" t="s">
        <v>83</v>
      </c>
      <c r="F1039" s="6">
        <v>4</v>
      </c>
      <c r="N1039" s="119">
        <v>8.9887640449438193E-3</v>
      </c>
      <c r="O1039" s="119">
        <v>8.9887640449438193E-3</v>
      </c>
      <c r="P1039" s="116" t="s">
        <v>83</v>
      </c>
      <c r="Q1039" s="116" t="s">
        <v>83</v>
      </c>
      <c r="R1039" s="116" t="s">
        <v>83</v>
      </c>
      <c r="S1039" s="119">
        <v>0</v>
      </c>
      <c r="T1039" s="119">
        <v>0</v>
      </c>
      <c r="U1039" s="119">
        <v>3.125E-2</v>
      </c>
      <c r="V1039" s="119">
        <v>0</v>
      </c>
      <c r="W1039" s="6">
        <v>429</v>
      </c>
      <c r="X1039" s="40">
        <f t="shared" si="74"/>
        <v>429</v>
      </c>
      <c r="Y1039" s="40">
        <f t="shared" si="75"/>
        <v>429</v>
      </c>
      <c r="Z1039" s="59">
        <v>0.48249999999999998</v>
      </c>
      <c r="AA1039" s="59">
        <v>0.51749999999999996</v>
      </c>
      <c r="AB1039" s="61">
        <v>6.993006993006993E-3</v>
      </c>
      <c r="AC1039" s="61">
        <v>6.993006993006993E-3</v>
      </c>
      <c r="AD1039" s="61">
        <v>0.87878787878787878</v>
      </c>
      <c r="AE1039" s="61">
        <v>2.097902097902098E-2</v>
      </c>
      <c r="AF1039" s="61">
        <v>0</v>
      </c>
      <c r="AG1039" s="61">
        <v>7.6923076923076927E-2</v>
      </c>
      <c r="AH1039" s="61">
        <v>9.324009324009324E-3</v>
      </c>
      <c r="AI1039" s="61">
        <v>0.92307692307692313</v>
      </c>
      <c r="AJ1039" s="59">
        <v>0.84379999999999999</v>
      </c>
      <c r="AK1039" s="59">
        <v>2.3E-3</v>
      </c>
      <c r="AL1039" s="3">
        <v>0</v>
      </c>
      <c r="AM1039" s="3">
        <v>0</v>
      </c>
      <c r="AN1039" s="3">
        <v>0</v>
      </c>
      <c r="AO1039" s="3">
        <v>107</v>
      </c>
      <c r="AP1039" s="3">
        <v>99</v>
      </c>
      <c r="AQ1039" s="3">
        <v>121</v>
      </c>
      <c r="AR1039" s="3">
        <v>102</v>
      </c>
      <c r="AS1039" s="59">
        <v>0</v>
      </c>
      <c r="AT1039" s="3">
        <v>9</v>
      </c>
      <c r="AU1039" s="3">
        <v>6</v>
      </c>
      <c r="AV1039" s="49">
        <v>71.268656716417894</v>
      </c>
      <c r="AW1039" s="49">
        <v>22.388059701492498</v>
      </c>
      <c r="AX1039" s="49">
        <v>4.4776119402985097</v>
      </c>
      <c r="AY1039" s="67">
        <v>1.8656716417910402</v>
      </c>
      <c r="AZ1039" s="63">
        <v>0.33484162895927599</v>
      </c>
      <c r="BA1039" s="63">
        <v>6.7873303167420809E-2</v>
      </c>
      <c r="BB1039" s="78">
        <v>93.388423766621301</v>
      </c>
      <c r="BC1039" s="49">
        <v>39.826839826839802</v>
      </c>
      <c r="BD1039" s="3"/>
      <c r="BE1039" s="3"/>
      <c r="BF1039" s="3"/>
      <c r="BG1039" s="3"/>
      <c r="BH1039" s="3"/>
      <c r="BI1039" s="3"/>
      <c r="BJ1039" s="88">
        <v>16.7</v>
      </c>
      <c r="BK1039" s="126">
        <v>17130</v>
      </c>
      <c r="BL1039" s="126">
        <v>60731</v>
      </c>
      <c r="BM1039" s="126">
        <v>71928</v>
      </c>
      <c r="BN1039" s="126">
        <v>51831</v>
      </c>
      <c r="BO1039" s="59">
        <v>1.8499999999999999E-2</v>
      </c>
      <c r="BP1039" s="63">
        <v>0.26850000000000002</v>
      </c>
      <c r="BQ1039" s="63">
        <v>0.24540000000000001</v>
      </c>
      <c r="BR1039" s="63">
        <v>0</v>
      </c>
      <c r="BS1039" s="63">
        <v>0</v>
      </c>
      <c r="BT1039" s="87">
        <v>10.7</v>
      </c>
      <c r="BU1039" s="59">
        <f t="shared" si="76"/>
        <v>0.53239999999999998</v>
      </c>
      <c r="BV1039" s="59">
        <v>9.2999999999999992E-3</v>
      </c>
      <c r="BW1039" s="63">
        <v>1.8499999999999999E-2</v>
      </c>
      <c r="BX1039" s="63">
        <v>5.5599999999999997E-2</v>
      </c>
      <c r="BY1039" s="63">
        <v>0</v>
      </c>
      <c r="BZ1039" s="63">
        <v>0</v>
      </c>
      <c r="CA1039" s="87">
        <v>16.899999999999999</v>
      </c>
      <c r="CB1039" s="59">
        <f t="shared" si="77"/>
        <v>8.3400000000000002E-2</v>
      </c>
      <c r="CC1039" s="59">
        <v>0.3377</v>
      </c>
      <c r="CD1039" s="63">
        <v>0.3241</v>
      </c>
      <c r="CE1039" s="63">
        <v>0.3196</v>
      </c>
      <c r="CF1039" s="63">
        <v>0</v>
      </c>
      <c r="CG1039" s="63">
        <v>1.8499999999999999E-2</v>
      </c>
      <c r="CH1039" s="88">
        <v>11.7</v>
      </c>
      <c r="CI1039" s="26" t="s">
        <v>173</v>
      </c>
      <c r="CJ1039" s="18" t="s">
        <v>505</v>
      </c>
      <c r="CK1039" s="20"/>
    </row>
    <row r="1040" spans="1:99" x14ac:dyDescent="0.25">
      <c r="A1040" s="18" t="s">
        <v>505</v>
      </c>
      <c r="B1040" s="19" t="s">
        <v>171</v>
      </c>
      <c r="C1040" s="26" t="s">
        <v>174</v>
      </c>
      <c r="D1040" s="6">
        <v>4</v>
      </c>
      <c r="E1040" s="6">
        <v>0</v>
      </c>
      <c r="F1040" s="6">
        <v>4</v>
      </c>
      <c r="N1040" s="119">
        <v>2.2099447513812199E-2</v>
      </c>
      <c r="O1040" s="119">
        <v>3.0769230769230799E-2</v>
      </c>
      <c r="P1040" s="119">
        <v>0</v>
      </c>
      <c r="Q1040" s="119">
        <v>0</v>
      </c>
      <c r="R1040" s="116" t="s">
        <v>83</v>
      </c>
      <c r="S1040" s="119">
        <v>6.0606060606060601E-2</v>
      </c>
      <c r="T1040" s="119">
        <v>4.7619047619047603E-2</v>
      </c>
      <c r="U1040" s="119">
        <v>2.5000000000000001E-2</v>
      </c>
      <c r="V1040" s="119">
        <v>0</v>
      </c>
      <c r="W1040" s="6">
        <v>415</v>
      </c>
      <c r="X1040" s="40">
        <f t="shared" si="74"/>
        <v>120</v>
      </c>
      <c r="Y1040" s="40">
        <f t="shared" si="75"/>
        <v>169</v>
      </c>
      <c r="Z1040" s="59">
        <v>0.46750000000000003</v>
      </c>
      <c r="AA1040" s="59">
        <v>0.53249999999999997</v>
      </c>
      <c r="AB1040" s="61">
        <v>2.4096385542168677E-3</v>
      </c>
      <c r="AC1040" s="61">
        <v>0</v>
      </c>
      <c r="AD1040" s="61">
        <v>0.1783132530120482</v>
      </c>
      <c r="AE1040" s="61">
        <v>2.1686746987951807E-2</v>
      </c>
      <c r="AF1040" s="61">
        <v>0</v>
      </c>
      <c r="AG1040" s="61">
        <v>0.77831325301204823</v>
      </c>
      <c r="AH1040" s="61">
        <v>1.9277108433734941E-2</v>
      </c>
      <c r="AI1040" s="61">
        <v>0.22168674698795179</v>
      </c>
      <c r="AJ1040" s="59">
        <v>0.52290000000000003</v>
      </c>
      <c r="AK1040" s="59">
        <v>9.5999999999999992E-3</v>
      </c>
      <c r="AL1040" s="3">
        <v>22</v>
      </c>
      <c r="AM1040" s="3">
        <v>27</v>
      </c>
      <c r="AN1040" s="3">
        <v>0</v>
      </c>
      <c r="AO1040" s="3">
        <v>30</v>
      </c>
      <c r="AP1040" s="3">
        <v>20</v>
      </c>
      <c r="AQ1040" s="3">
        <v>34</v>
      </c>
      <c r="AR1040" s="3">
        <v>36</v>
      </c>
      <c r="AS1040" s="59">
        <v>0</v>
      </c>
      <c r="AT1040" s="3">
        <v>1</v>
      </c>
      <c r="AU1040" s="3">
        <v>6</v>
      </c>
      <c r="AV1040" s="49">
        <v>82.758620689655203</v>
      </c>
      <c r="AW1040" s="49">
        <v>9.7701149425287408</v>
      </c>
      <c r="AX1040" s="49">
        <v>6.8965517241379297</v>
      </c>
      <c r="AY1040" s="67">
        <v>0.57471264367816099</v>
      </c>
      <c r="AZ1040" s="63">
        <v>8.0717488789237665E-2</v>
      </c>
      <c r="BA1040" s="63">
        <v>4.708520179372197E-2</v>
      </c>
      <c r="BB1040" s="77">
        <v>94.950480522338793</v>
      </c>
      <c r="BC1040" s="49">
        <v>43.091334894613603</v>
      </c>
      <c r="BD1040" s="3"/>
      <c r="BE1040" s="3"/>
      <c r="BF1040" s="3"/>
      <c r="BG1040" s="3"/>
      <c r="BH1040" s="3"/>
      <c r="BI1040" s="3"/>
      <c r="BJ1040" s="88">
        <v>18.7</v>
      </c>
      <c r="BK1040" s="126">
        <v>15456</v>
      </c>
      <c r="BL1040" s="126">
        <v>61913</v>
      </c>
      <c r="BM1040" s="126">
        <v>64737</v>
      </c>
      <c r="BN1040" s="126">
        <v>51840</v>
      </c>
      <c r="BO1040" s="59">
        <v>0</v>
      </c>
      <c r="BP1040" s="63">
        <v>0.50209999999999999</v>
      </c>
      <c r="BQ1040" s="63">
        <v>8.8599999999999998E-2</v>
      </c>
      <c r="BR1040" s="63">
        <v>0</v>
      </c>
      <c r="BS1040" s="63">
        <v>0</v>
      </c>
      <c r="BT1040" s="87">
        <v>14.6</v>
      </c>
      <c r="BU1040" s="59">
        <f t="shared" si="76"/>
        <v>0.5907</v>
      </c>
      <c r="BV1040" s="59">
        <v>2.1600000000000001E-2</v>
      </c>
      <c r="BW1040" s="63">
        <v>0</v>
      </c>
      <c r="BX1040" s="63">
        <v>2.1600000000000001E-2</v>
      </c>
      <c r="BY1040" s="63">
        <v>0</v>
      </c>
      <c r="BZ1040" s="63">
        <v>0</v>
      </c>
      <c r="CA1040" s="87">
        <v>17.5</v>
      </c>
      <c r="CB1040" s="59">
        <f t="shared" si="77"/>
        <v>4.3200000000000002E-2</v>
      </c>
      <c r="CC1040" s="59">
        <v>0.32279999999999998</v>
      </c>
      <c r="CD1040" s="63">
        <v>0.5454</v>
      </c>
      <c r="CE1040" s="63">
        <v>0.1318</v>
      </c>
      <c r="CF1040" s="63">
        <v>0</v>
      </c>
      <c r="CG1040" s="63">
        <v>0</v>
      </c>
      <c r="CH1040" s="88">
        <v>13.8</v>
      </c>
      <c r="CI1040" s="26" t="s">
        <v>174</v>
      </c>
      <c r="CJ1040" s="18" t="s">
        <v>505</v>
      </c>
      <c r="CK1040" s="20"/>
    </row>
    <row r="1041" spans="1:89" x14ac:dyDescent="0.25">
      <c r="A1041" s="18" t="s">
        <v>505</v>
      </c>
      <c r="B1041" s="19" t="s">
        <v>171</v>
      </c>
      <c r="C1041" s="26" t="s">
        <v>175</v>
      </c>
      <c r="D1041" s="6">
        <v>14</v>
      </c>
      <c r="E1041" s="40" t="s">
        <v>83</v>
      </c>
      <c r="F1041" s="6">
        <v>14</v>
      </c>
      <c r="N1041" s="119">
        <v>1.8617021276595699E-2</v>
      </c>
      <c r="O1041" s="119">
        <v>1.8617021276595699E-2</v>
      </c>
      <c r="P1041" s="116" t="s">
        <v>83</v>
      </c>
      <c r="Q1041" s="116" t="s">
        <v>83</v>
      </c>
      <c r="R1041" s="119">
        <v>0</v>
      </c>
      <c r="S1041" s="119">
        <v>2.8436018957346001E-2</v>
      </c>
      <c r="T1041" s="119">
        <v>2.68817204301075E-2</v>
      </c>
      <c r="U1041" s="119">
        <v>5.4945054945054897E-3</v>
      </c>
      <c r="V1041" s="119">
        <v>1.21212121212121E-2</v>
      </c>
      <c r="W1041" s="6">
        <v>702</v>
      </c>
      <c r="X1041" s="40">
        <f t="shared" si="74"/>
        <v>702</v>
      </c>
      <c r="Y1041" s="40">
        <f t="shared" si="75"/>
        <v>702</v>
      </c>
      <c r="Z1041" s="59">
        <v>0.47010000000000002</v>
      </c>
      <c r="AA1041" s="59">
        <v>0.52990000000000004</v>
      </c>
      <c r="AB1041" s="61">
        <v>1.4245014245014246E-3</v>
      </c>
      <c r="AC1041" s="61">
        <v>4.2735042735042739E-3</v>
      </c>
      <c r="AD1041" s="61">
        <v>0.21652421652421652</v>
      </c>
      <c r="AE1041" s="61">
        <v>2.7065527065527065E-2</v>
      </c>
      <c r="AF1041" s="61">
        <v>0</v>
      </c>
      <c r="AG1041" s="61">
        <v>0.74216524216524216</v>
      </c>
      <c r="AH1041" s="61">
        <v>8.5470085470085479E-3</v>
      </c>
      <c r="AI1041" s="61">
        <v>0.25783475783475784</v>
      </c>
      <c r="AJ1041" s="59">
        <v>0.44440000000000002</v>
      </c>
      <c r="AK1041" s="59">
        <v>2.8E-3</v>
      </c>
      <c r="AL1041" s="3">
        <v>0</v>
      </c>
      <c r="AM1041" s="3">
        <v>0</v>
      </c>
      <c r="AN1041" s="3">
        <v>8</v>
      </c>
      <c r="AO1041" s="3">
        <v>195</v>
      </c>
      <c r="AP1041" s="3">
        <v>169</v>
      </c>
      <c r="AQ1041" s="3">
        <v>175</v>
      </c>
      <c r="AR1041" s="3">
        <v>155</v>
      </c>
      <c r="AS1041" s="59">
        <v>3.9408866995073892E-2</v>
      </c>
      <c r="AT1041" s="3">
        <v>9</v>
      </c>
      <c r="AU1041" s="3">
        <v>6</v>
      </c>
      <c r="AV1041" s="49">
        <v>57.142857142857096</v>
      </c>
      <c r="AW1041" s="49">
        <v>27.513227513227502</v>
      </c>
      <c r="AX1041" s="49">
        <v>14.550264550264499</v>
      </c>
      <c r="AY1041" s="67">
        <v>0.79365079365079394</v>
      </c>
      <c r="AZ1041" s="63">
        <v>0.15053763440860216</v>
      </c>
      <c r="BA1041" s="63">
        <v>1.3440860215053764E-2</v>
      </c>
      <c r="BB1041" s="78">
        <v>93.827500809465107</v>
      </c>
      <c r="BC1041" s="49">
        <v>42.028985507246396</v>
      </c>
      <c r="BD1041" s="3"/>
      <c r="BE1041" s="3"/>
      <c r="BF1041" s="3"/>
      <c r="BG1041" s="3"/>
      <c r="BH1041" s="3"/>
      <c r="BI1041" s="3"/>
      <c r="BJ1041" s="88">
        <v>20.2</v>
      </c>
      <c r="BK1041" s="126">
        <v>14355</v>
      </c>
      <c r="BL1041" s="126">
        <v>62610</v>
      </c>
      <c r="BM1041" s="126">
        <v>65049</v>
      </c>
      <c r="BN1041" s="126">
        <v>53776</v>
      </c>
      <c r="BO1041" s="59">
        <v>1.4200000000000001E-2</v>
      </c>
      <c r="BP1041" s="63">
        <v>0.44259999999999999</v>
      </c>
      <c r="BQ1041" s="63">
        <v>0.15049999999999999</v>
      </c>
      <c r="BR1041" s="63">
        <v>0</v>
      </c>
      <c r="BS1041" s="63">
        <v>1.4999999999999999E-2</v>
      </c>
      <c r="BT1041" s="87">
        <v>14.2</v>
      </c>
      <c r="BU1041" s="59">
        <f t="shared" si="76"/>
        <v>0.62229999999999996</v>
      </c>
      <c r="BV1041" s="59">
        <v>2.9399999999999999E-2</v>
      </c>
      <c r="BW1041" s="63">
        <v>0</v>
      </c>
      <c r="BX1041" s="63">
        <v>4.4900000000000002E-2</v>
      </c>
      <c r="BY1041" s="63">
        <v>0</v>
      </c>
      <c r="BZ1041" s="63">
        <v>0</v>
      </c>
      <c r="CA1041" s="87">
        <v>17.5</v>
      </c>
      <c r="CB1041" s="59">
        <f t="shared" si="77"/>
        <v>7.4300000000000005E-2</v>
      </c>
      <c r="CC1041" s="59">
        <v>0.31280000000000002</v>
      </c>
      <c r="CD1041" s="63">
        <v>0.44259999999999999</v>
      </c>
      <c r="CE1041" s="63">
        <v>0.2296</v>
      </c>
      <c r="CF1041" s="63">
        <v>0</v>
      </c>
      <c r="CG1041" s="63">
        <v>1.4999999999999999E-2</v>
      </c>
      <c r="CH1041" s="88">
        <v>13.1</v>
      </c>
      <c r="CI1041" s="26" t="s">
        <v>175</v>
      </c>
      <c r="CJ1041" s="18" t="s">
        <v>505</v>
      </c>
      <c r="CK1041" s="20"/>
    </row>
    <row r="1042" spans="1:89" x14ac:dyDescent="0.25">
      <c r="A1042" s="18" t="s">
        <v>505</v>
      </c>
      <c r="B1042" s="19" t="s">
        <v>176</v>
      </c>
      <c r="C1042" s="26" t="s">
        <v>177</v>
      </c>
      <c r="D1042" s="6">
        <v>9</v>
      </c>
      <c r="E1042" s="40" t="s">
        <v>83</v>
      </c>
      <c r="F1042" s="6">
        <v>9</v>
      </c>
      <c r="N1042" s="119">
        <v>5.93276203032301E-3</v>
      </c>
      <c r="O1042" s="119">
        <v>5.93276203032301E-3</v>
      </c>
      <c r="P1042" s="116" t="s">
        <v>83</v>
      </c>
      <c r="Q1042" s="116" t="s">
        <v>83</v>
      </c>
      <c r="R1042" s="116" t="s">
        <v>83</v>
      </c>
      <c r="S1042" s="119">
        <v>9.4117647058823504E-3</v>
      </c>
      <c r="T1042" s="119">
        <v>2.5641025641025602E-3</v>
      </c>
      <c r="U1042" s="119">
        <v>2.6737967914438501E-3</v>
      </c>
      <c r="V1042" s="119">
        <v>9.1463414634146301E-3</v>
      </c>
      <c r="W1042" s="6">
        <v>1499</v>
      </c>
      <c r="X1042" s="40">
        <f t="shared" si="74"/>
        <v>1499</v>
      </c>
      <c r="Y1042" s="40">
        <f t="shared" si="75"/>
        <v>1499</v>
      </c>
      <c r="Z1042" s="59">
        <v>0.65380000000000005</v>
      </c>
      <c r="AA1042" s="59">
        <v>0.34620000000000001</v>
      </c>
      <c r="AB1042" s="61">
        <v>1.33422281521014E-3</v>
      </c>
      <c r="AC1042" s="61">
        <v>0.18012008005336891</v>
      </c>
      <c r="AD1042" s="61">
        <v>0.39159439626417614</v>
      </c>
      <c r="AE1042" s="61">
        <v>5.4036024016010674E-2</v>
      </c>
      <c r="AF1042" s="61">
        <v>3.3355570380253501E-3</v>
      </c>
      <c r="AG1042" s="61">
        <v>0.35957304869913276</v>
      </c>
      <c r="AH1042" s="61">
        <v>1.0006671114076051E-2</v>
      </c>
      <c r="AI1042" s="61">
        <v>0.64042695130086724</v>
      </c>
      <c r="AJ1042" s="59">
        <v>0.33160000000000001</v>
      </c>
      <c r="AK1042" s="59">
        <v>6.9999999999999999E-4</v>
      </c>
      <c r="AL1042" s="3">
        <v>0</v>
      </c>
      <c r="AM1042" s="3">
        <v>0</v>
      </c>
      <c r="AN1042" s="3">
        <v>0</v>
      </c>
      <c r="AO1042" s="3">
        <v>421</v>
      </c>
      <c r="AP1042" s="3">
        <v>390</v>
      </c>
      <c r="AQ1042" s="3">
        <v>366</v>
      </c>
      <c r="AR1042" s="3">
        <v>322</v>
      </c>
      <c r="AS1042" s="59">
        <v>0</v>
      </c>
      <c r="AT1042" s="3">
        <v>9</v>
      </c>
      <c r="AU1042" s="3">
        <v>7</v>
      </c>
      <c r="AV1042" s="49">
        <v>42.883548983364101</v>
      </c>
      <c r="AW1042" s="49">
        <v>14.972273567467701</v>
      </c>
      <c r="AX1042" s="49">
        <v>32.5323475046211</v>
      </c>
      <c r="AY1042" s="67">
        <v>9.6118299445471305</v>
      </c>
      <c r="AZ1042" s="63">
        <v>7.4123097286565187E-2</v>
      </c>
      <c r="BA1042" s="63">
        <v>6.6181336863004633E-4</v>
      </c>
      <c r="BB1042" s="78">
        <v>96.686800814896898</v>
      </c>
      <c r="BC1042" s="49">
        <v>30.3571428571429</v>
      </c>
      <c r="BD1042" s="3"/>
      <c r="BE1042" s="3"/>
      <c r="BF1042" s="3"/>
      <c r="BG1042" s="3"/>
      <c r="BH1042" s="3"/>
      <c r="BI1042" s="3"/>
      <c r="BJ1042" s="88">
        <v>26.3</v>
      </c>
      <c r="BK1042" s="126">
        <v>10616</v>
      </c>
      <c r="BL1042" s="126">
        <v>53540</v>
      </c>
      <c r="BM1042" s="126">
        <v>48654</v>
      </c>
      <c r="BN1042" s="126">
        <v>50121</v>
      </c>
      <c r="BO1042" s="59">
        <v>0</v>
      </c>
      <c r="BP1042" s="63">
        <v>0.33479999999999999</v>
      </c>
      <c r="BQ1042" s="63">
        <v>0.3957</v>
      </c>
      <c r="BR1042" s="63">
        <v>9.1999999999999998E-3</v>
      </c>
      <c r="BS1042" s="63">
        <v>8.9999999999999993E-3</v>
      </c>
      <c r="BT1042" s="87">
        <v>16.600000000000001</v>
      </c>
      <c r="BU1042" s="59">
        <f t="shared" si="76"/>
        <v>0.74869999999999992</v>
      </c>
      <c r="BV1042" s="59">
        <v>3.61E-2</v>
      </c>
      <c r="BW1042" s="63">
        <v>8.9999999999999998E-4</v>
      </c>
      <c r="BX1042" s="63">
        <v>1.8100000000000002E-2</v>
      </c>
      <c r="BY1042" s="63">
        <v>0</v>
      </c>
      <c r="BZ1042" s="63">
        <v>0</v>
      </c>
      <c r="CA1042" s="87">
        <v>17</v>
      </c>
      <c r="CB1042" s="59">
        <f t="shared" si="77"/>
        <v>5.5099999999999996E-2</v>
      </c>
      <c r="CC1042" s="59">
        <v>0.13289999999999999</v>
      </c>
      <c r="CD1042" s="63">
        <v>0.38009999999999999</v>
      </c>
      <c r="CE1042" s="63">
        <v>0.45090000000000002</v>
      </c>
      <c r="CF1042" s="63">
        <v>1.8100000000000002E-2</v>
      </c>
      <c r="CG1042" s="63">
        <v>1.8100000000000002E-2</v>
      </c>
      <c r="CH1042" s="88">
        <v>16.100000000000001</v>
      </c>
      <c r="CI1042" s="26" t="s">
        <v>177</v>
      </c>
      <c r="CJ1042" s="18" t="s">
        <v>505</v>
      </c>
      <c r="CK1042" s="20"/>
    </row>
    <row r="1043" spans="1:89" x14ac:dyDescent="0.25">
      <c r="A1043" s="18" t="s">
        <v>505</v>
      </c>
      <c r="B1043" s="19" t="s">
        <v>176</v>
      </c>
      <c r="C1043" s="26" t="s">
        <v>178</v>
      </c>
      <c r="D1043" s="6">
        <v>90</v>
      </c>
      <c r="E1043" s="40" t="s">
        <v>83</v>
      </c>
      <c r="F1043" s="6">
        <v>90</v>
      </c>
      <c r="N1043" s="119">
        <v>7.6595744680851105E-2</v>
      </c>
      <c r="O1043" s="119">
        <v>7.6595744680851105E-2</v>
      </c>
      <c r="P1043" s="116" t="s">
        <v>83</v>
      </c>
      <c r="Q1043" s="116" t="s">
        <v>83</v>
      </c>
      <c r="R1043" s="116" t="s">
        <v>83</v>
      </c>
      <c r="S1043" s="119">
        <v>5.0458715596330299E-2</v>
      </c>
      <c r="T1043" s="119">
        <v>9.4262295081967207E-2</v>
      </c>
      <c r="U1043" s="119">
        <v>8.8471849865951704E-2</v>
      </c>
      <c r="V1043" s="119">
        <v>6.7846607669616504E-2</v>
      </c>
      <c r="W1043" s="6">
        <v>894</v>
      </c>
      <c r="X1043" s="40">
        <f t="shared" si="74"/>
        <v>894</v>
      </c>
      <c r="Y1043" s="40">
        <f t="shared" si="75"/>
        <v>894</v>
      </c>
      <c r="Z1043" s="59">
        <v>0.48659999999999998</v>
      </c>
      <c r="AA1043" s="59">
        <v>0.51339999999999997</v>
      </c>
      <c r="AB1043" s="61">
        <v>1.1185682326621924E-3</v>
      </c>
      <c r="AC1043" s="61">
        <v>3.3557046979865771E-3</v>
      </c>
      <c r="AD1043" s="61">
        <v>0.87024608501118572</v>
      </c>
      <c r="AE1043" s="61">
        <v>9.6196868008948541E-2</v>
      </c>
      <c r="AF1043" s="61">
        <v>0</v>
      </c>
      <c r="AG1043" s="61">
        <v>2.6845637583892617E-2</v>
      </c>
      <c r="AH1043" s="61">
        <v>2.2371364653243847E-3</v>
      </c>
      <c r="AI1043" s="61">
        <v>0.97315436241610742</v>
      </c>
      <c r="AJ1043" s="59">
        <v>0.89600000000000002</v>
      </c>
      <c r="AK1043" s="59">
        <v>8.3900000000000002E-2</v>
      </c>
      <c r="AL1043" s="3">
        <v>0</v>
      </c>
      <c r="AM1043" s="3">
        <v>0</v>
      </c>
      <c r="AN1043" s="3">
        <v>0</v>
      </c>
      <c r="AO1043" s="3">
        <v>141</v>
      </c>
      <c r="AP1043" s="3">
        <v>171</v>
      </c>
      <c r="AQ1043" s="3">
        <v>284</v>
      </c>
      <c r="AR1043" s="3">
        <v>298</v>
      </c>
      <c r="AS1043" s="59">
        <v>0</v>
      </c>
      <c r="AT1043" s="3">
        <v>9</v>
      </c>
      <c r="AU1043" s="3">
        <v>6</v>
      </c>
      <c r="AV1043" s="49">
        <v>56.934306569343093</v>
      </c>
      <c r="AW1043" s="49">
        <v>21.4111922141119</v>
      </c>
      <c r="AX1043" s="49">
        <v>18.004866180048701</v>
      </c>
      <c r="AY1043" s="67">
        <v>3.6496350364963499</v>
      </c>
      <c r="AZ1043" s="63">
        <v>0.31802120141342755</v>
      </c>
      <c r="BA1043" s="63">
        <v>1.7667844522968198E-3</v>
      </c>
      <c r="BB1043" s="77">
        <v>86.056342723787296</v>
      </c>
      <c r="BC1043" s="49">
        <v>80.034873583260705</v>
      </c>
      <c r="BD1043" s="3"/>
      <c r="BE1043" s="3"/>
      <c r="BF1043" s="3"/>
      <c r="BG1043" s="3"/>
      <c r="BH1043" s="3"/>
      <c r="BI1043" s="3"/>
      <c r="BJ1043" s="88">
        <v>14.8</v>
      </c>
      <c r="BK1043" s="126">
        <v>13977</v>
      </c>
      <c r="BL1043" s="126">
        <v>53650</v>
      </c>
      <c r="BM1043" s="126">
        <v>47966</v>
      </c>
      <c r="BN1043" s="126">
        <v>46403</v>
      </c>
      <c r="BO1043" s="59">
        <v>8.8000000000000005E-3</v>
      </c>
      <c r="BP1043" s="63">
        <v>0.26879999999999998</v>
      </c>
      <c r="BQ1043" s="63">
        <v>0.3221</v>
      </c>
      <c r="BR1043" s="63">
        <v>0</v>
      </c>
      <c r="BS1043" s="63">
        <v>9.1999999999999998E-3</v>
      </c>
      <c r="BT1043" s="87">
        <v>12.9</v>
      </c>
      <c r="BU1043" s="59">
        <f t="shared" si="76"/>
        <v>0.60889999999999989</v>
      </c>
      <c r="BV1043" s="59">
        <v>1.7899999999999999E-2</v>
      </c>
      <c r="BW1043" s="63">
        <v>1.01E-2</v>
      </c>
      <c r="BX1043" s="63">
        <v>3.61E-2</v>
      </c>
      <c r="BY1043" s="63">
        <v>9.1999999999999998E-3</v>
      </c>
      <c r="BZ1043" s="63">
        <v>0</v>
      </c>
      <c r="CA1043" s="87">
        <v>16.5</v>
      </c>
      <c r="CB1043" s="59">
        <f t="shared" si="77"/>
        <v>7.329999999999999E-2</v>
      </c>
      <c r="CC1043" s="59">
        <v>0.18010000000000001</v>
      </c>
      <c r="CD1043" s="63">
        <v>0.3911</v>
      </c>
      <c r="CE1043" s="63">
        <v>0.4012</v>
      </c>
      <c r="CF1043" s="63">
        <v>1.83E-2</v>
      </c>
      <c r="CG1043" s="63">
        <v>9.1999999999999998E-3</v>
      </c>
      <c r="CH1043" s="88">
        <v>12.7</v>
      </c>
      <c r="CI1043" s="26" t="s">
        <v>178</v>
      </c>
      <c r="CJ1043" s="18" t="s">
        <v>505</v>
      </c>
      <c r="CK1043" s="20"/>
    </row>
    <row r="1044" spans="1:89" x14ac:dyDescent="0.25">
      <c r="A1044" s="18" t="s">
        <v>505</v>
      </c>
      <c r="B1044" s="19" t="s">
        <v>176</v>
      </c>
      <c r="C1044" s="26" t="s">
        <v>179</v>
      </c>
      <c r="D1044" s="6">
        <v>82</v>
      </c>
      <c r="E1044" s="40" t="s">
        <v>83</v>
      </c>
      <c r="F1044" s="6">
        <v>82</v>
      </c>
      <c r="N1044" s="119">
        <v>5.6512749827705003E-2</v>
      </c>
      <c r="O1044" s="119">
        <v>5.6512749827705003E-2</v>
      </c>
      <c r="P1044" s="116" t="s">
        <v>83</v>
      </c>
      <c r="Q1044" s="116" t="s">
        <v>83</v>
      </c>
      <c r="R1044" s="116" t="s">
        <v>83</v>
      </c>
      <c r="S1044" s="119">
        <v>4.1763341067285402E-2</v>
      </c>
      <c r="T1044" s="119">
        <v>5.24861878453039E-2</v>
      </c>
      <c r="U1044" s="119">
        <v>3.92749244712991E-2</v>
      </c>
      <c r="V1044" s="119">
        <v>9.8159509202454004E-2</v>
      </c>
      <c r="W1044" s="6">
        <v>1110</v>
      </c>
      <c r="X1044" s="40">
        <f t="shared" si="74"/>
        <v>1110</v>
      </c>
      <c r="Y1044" s="40">
        <f t="shared" si="75"/>
        <v>1110</v>
      </c>
      <c r="Z1044" s="59">
        <v>0.4577</v>
      </c>
      <c r="AA1044" s="59">
        <v>0.5423</v>
      </c>
      <c r="AB1044" s="61">
        <v>1.8018018018018018E-3</v>
      </c>
      <c r="AC1044" s="61">
        <v>4.0540540540540543E-2</v>
      </c>
      <c r="AD1044" s="61">
        <v>0.71711711711711712</v>
      </c>
      <c r="AE1044" s="61">
        <v>0.17027027027027028</v>
      </c>
      <c r="AF1044" s="61">
        <v>2.7027027027027029E-3</v>
      </c>
      <c r="AG1044" s="61">
        <v>5.9459459459459463E-2</v>
      </c>
      <c r="AH1044" s="61">
        <v>8.1081081081081086E-3</v>
      </c>
      <c r="AI1044" s="61">
        <v>0.94054054054054059</v>
      </c>
      <c r="AJ1044" s="59">
        <v>0.81799999999999995</v>
      </c>
      <c r="AK1044" s="59">
        <v>0.1459</v>
      </c>
      <c r="AL1044" s="3">
        <v>0</v>
      </c>
      <c r="AM1044" s="3">
        <v>0</v>
      </c>
      <c r="AN1044" s="3">
        <v>0</v>
      </c>
      <c r="AO1044" s="3">
        <v>300</v>
      </c>
      <c r="AP1044" s="3">
        <v>275</v>
      </c>
      <c r="AQ1044" s="3">
        <v>263</v>
      </c>
      <c r="AR1044" s="3">
        <v>272</v>
      </c>
      <c r="AS1044" s="59">
        <v>0</v>
      </c>
      <c r="AT1044" s="3">
        <v>9</v>
      </c>
      <c r="AU1044" s="3">
        <v>6</v>
      </c>
      <c r="AV1044" s="49">
        <v>51.646090534979407</v>
      </c>
      <c r="AW1044" s="49">
        <v>15.843621399177</v>
      </c>
      <c r="AX1044" s="49">
        <v>24.4855967078189</v>
      </c>
      <c r="AY1044" s="67">
        <v>8.0246913580246897</v>
      </c>
      <c r="AZ1044" s="63">
        <v>0.26241134751773049</v>
      </c>
      <c r="BA1044" s="63">
        <v>2.8368794326241137E-3</v>
      </c>
      <c r="BB1044" s="78">
        <v>87.623222450606207</v>
      </c>
      <c r="BC1044" s="49">
        <v>78.537252221462793</v>
      </c>
      <c r="BD1044" s="3"/>
      <c r="BE1044" s="3"/>
      <c r="BF1044" s="3"/>
      <c r="BG1044" s="3"/>
      <c r="BH1044" s="3"/>
      <c r="BI1044" s="3"/>
      <c r="BJ1044" s="88">
        <v>16</v>
      </c>
      <c r="BK1044" s="126">
        <v>11897</v>
      </c>
      <c r="BL1044" s="126">
        <v>54566</v>
      </c>
      <c r="BM1044" s="126">
        <v>57625</v>
      </c>
      <c r="BN1044" s="126">
        <v>48943</v>
      </c>
      <c r="BO1044" s="59">
        <v>9.7999999999999997E-3</v>
      </c>
      <c r="BP1044" s="63">
        <v>0.35110000000000002</v>
      </c>
      <c r="BQ1044" s="63">
        <v>0.28189999999999998</v>
      </c>
      <c r="BR1044" s="63">
        <v>0</v>
      </c>
      <c r="BS1044" s="63">
        <v>1.9599999999999999E-2</v>
      </c>
      <c r="BT1044" s="87">
        <v>14.5</v>
      </c>
      <c r="BU1044" s="59">
        <f t="shared" si="76"/>
        <v>0.66239999999999999</v>
      </c>
      <c r="BV1044" s="59">
        <v>1.8599999999999998E-2</v>
      </c>
      <c r="BW1044" s="63">
        <v>9.4999999999999998E-3</v>
      </c>
      <c r="BX1044" s="63">
        <v>3.8399999999999997E-2</v>
      </c>
      <c r="BY1044" s="63">
        <v>0</v>
      </c>
      <c r="BZ1044" s="63">
        <v>0</v>
      </c>
      <c r="CA1044" s="87">
        <v>16.600000000000001</v>
      </c>
      <c r="CB1044" s="59">
        <f t="shared" si="77"/>
        <v>6.6500000000000004E-2</v>
      </c>
      <c r="CC1044" s="59">
        <v>0.15290000000000001</v>
      </c>
      <c r="CD1044" s="63">
        <v>0.43159999999999998</v>
      </c>
      <c r="CE1044" s="63">
        <v>0.39579999999999999</v>
      </c>
      <c r="CF1044" s="63">
        <v>0</v>
      </c>
      <c r="CG1044" s="63">
        <v>1.9599999999999999E-2</v>
      </c>
      <c r="CH1044" s="88">
        <v>14.2</v>
      </c>
      <c r="CI1044" s="26" t="s">
        <v>179</v>
      </c>
      <c r="CJ1044" s="18" t="s">
        <v>505</v>
      </c>
      <c r="CK1044" s="20"/>
    </row>
    <row r="1045" spans="1:89" x14ac:dyDescent="0.25">
      <c r="A1045" s="18" t="s">
        <v>505</v>
      </c>
      <c r="B1045" s="19" t="s">
        <v>176</v>
      </c>
      <c r="C1045" s="26" t="s">
        <v>180</v>
      </c>
      <c r="D1045" s="6">
        <v>63</v>
      </c>
      <c r="E1045" s="40" t="s">
        <v>83</v>
      </c>
      <c r="F1045" s="6">
        <v>63</v>
      </c>
      <c r="N1045" s="119">
        <v>8.9743589743589702E-2</v>
      </c>
      <c r="O1045" s="119">
        <v>8.9743589743589702E-2</v>
      </c>
      <c r="P1045" s="116" t="s">
        <v>83</v>
      </c>
      <c r="Q1045" s="116" t="s">
        <v>83</v>
      </c>
      <c r="R1045" s="116" t="s">
        <v>83</v>
      </c>
      <c r="S1045" s="119">
        <v>6.9148936170212796E-2</v>
      </c>
      <c r="T1045" s="119">
        <v>0.12682926829268301</v>
      </c>
      <c r="U1045" s="119">
        <v>7.69230769230769E-2</v>
      </c>
      <c r="V1045" s="119">
        <v>7.8431372549019607E-2</v>
      </c>
      <c r="W1045" s="6">
        <v>529</v>
      </c>
      <c r="X1045" s="40">
        <f t="shared" si="74"/>
        <v>529</v>
      </c>
      <c r="Y1045" s="40">
        <f t="shared" si="75"/>
        <v>529</v>
      </c>
      <c r="Z1045" s="59">
        <v>0.52359999999999995</v>
      </c>
      <c r="AA1045" s="59">
        <v>0.47639999999999999</v>
      </c>
      <c r="AB1045" s="61">
        <v>0</v>
      </c>
      <c r="AC1045" s="61">
        <v>0</v>
      </c>
      <c r="AD1045" s="61">
        <v>0.947069943289225</v>
      </c>
      <c r="AE1045" s="61">
        <v>3.780718336483932E-2</v>
      </c>
      <c r="AF1045" s="61">
        <v>1.890359168241966E-3</v>
      </c>
      <c r="AG1045" s="61">
        <v>1.1342155009451797E-2</v>
      </c>
      <c r="AH1045" s="61">
        <v>1.890359168241966E-3</v>
      </c>
      <c r="AI1045" s="61">
        <v>0.98865784499054821</v>
      </c>
      <c r="AJ1045" s="59">
        <v>0.90359999999999996</v>
      </c>
      <c r="AK1045" s="59">
        <v>2.8400000000000002E-2</v>
      </c>
      <c r="AL1045" s="3">
        <v>0</v>
      </c>
      <c r="AM1045" s="3">
        <v>0</v>
      </c>
      <c r="AN1045" s="3">
        <v>0</v>
      </c>
      <c r="AO1045" s="3">
        <v>116</v>
      </c>
      <c r="AP1045" s="3">
        <v>150</v>
      </c>
      <c r="AQ1045" s="3">
        <v>128</v>
      </c>
      <c r="AR1045" s="3">
        <v>135</v>
      </c>
      <c r="AS1045" s="59">
        <v>0</v>
      </c>
      <c r="AT1045" s="3">
        <v>9</v>
      </c>
      <c r="AU1045" s="3">
        <v>6</v>
      </c>
      <c r="AV1045" s="49">
        <v>66.563467492260102</v>
      </c>
      <c r="AW1045" s="49">
        <v>22.600619195046402</v>
      </c>
      <c r="AX1045" s="49">
        <v>9.90712074303406</v>
      </c>
      <c r="AY1045" s="67">
        <v>0.92879256965944301</v>
      </c>
      <c r="AZ1045" s="63">
        <v>0.23871906841339155</v>
      </c>
      <c r="BA1045" s="63">
        <v>2.911208151382824E-3</v>
      </c>
      <c r="BB1045" s="77">
        <v>87.432707738183296</v>
      </c>
      <c r="BC1045" s="49">
        <v>76.3610315186246</v>
      </c>
      <c r="BD1045" s="3"/>
      <c r="BE1045" s="3"/>
      <c r="BF1045" s="3"/>
      <c r="BG1045" s="3"/>
      <c r="BH1045" s="3"/>
      <c r="BI1045" s="3"/>
      <c r="BJ1045" s="88">
        <v>15.9</v>
      </c>
      <c r="BK1045" s="126">
        <v>16046</v>
      </c>
      <c r="BL1045" s="126">
        <v>55093</v>
      </c>
      <c r="BM1045" s="126">
        <v>53138</v>
      </c>
      <c r="BN1045" s="126">
        <v>47353</v>
      </c>
      <c r="BO1045" s="59">
        <v>0</v>
      </c>
      <c r="BP1045" s="63">
        <v>0.28820000000000001</v>
      </c>
      <c r="BQ1045" s="63">
        <v>0.26440000000000002</v>
      </c>
      <c r="BR1045" s="63">
        <v>0</v>
      </c>
      <c r="BS1045" s="63">
        <v>7.7499999999999999E-2</v>
      </c>
      <c r="BT1045" s="87">
        <v>17</v>
      </c>
      <c r="BU1045" s="59">
        <f t="shared" si="76"/>
        <v>0.63009999999999999</v>
      </c>
      <c r="BV1045" s="59">
        <v>2.5899999999999999E-2</v>
      </c>
      <c r="BW1045" s="63">
        <v>1.2999999999999999E-2</v>
      </c>
      <c r="BX1045" s="63">
        <v>3.8199999999999998E-2</v>
      </c>
      <c r="BY1045" s="63">
        <v>0</v>
      </c>
      <c r="BZ1045" s="63">
        <v>0</v>
      </c>
      <c r="CA1045" s="87">
        <v>16.100000000000001</v>
      </c>
      <c r="CB1045" s="59">
        <f t="shared" si="77"/>
        <v>7.7100000000000002E-2</v>
      </c>
      <c r="CC1045" s="59">
        <v>0.19889999999999999</v>
      </c>
      <c r="CD1045" s="63">
        <v>0.37109999999999999</v>
      </c>
      <c r="CE1045" s="63">
        <v>0.35239999999999999</v>
      </c>
      <c r="CF1045" s="63">
        <v>0</v>
      </c>
      <c r="CG1045" s="63">
        <v>7.7600000000000002E-2</v>
      </c>
      <c r="CH1045" s="88">
        <v>15.3</v>
      </c>
      <c r="CI1045" s="26" t="s">
        <v>180</v>
      </c>
      <c r="CJ1045" s="18" t="s">
        <v>505</v>
      </c>
      <c r="CK1045" s="20"/>
    </row>
    <row r="1046" spans="1:89" x14ac:dyDescent="0.25">
      <c r="A1046" s="18" t="s">
        <v>505</v>
      </c>
      <c r="B1046" s="19" t="s">
        <v>176</v>
      </c>
      <c r="C1046" s="26" t="s">
        <v>507</v>
      </c>
      <c r="D1046" s="6">
        <v>34</v>
      </c>
      <c r="E1046" s="6">
        <v>2</v>
      </c>
      <c r="F1046" s="6">
        <v>32</v>
      </c>
      <c r="N1046" s="119">
        <v>5.6291390728476803E-2</v>
      </c>
      <c r="O1046" s="119">
        <v>6.1068702290076299E-2</v>
      </c>
      <c r="P1046" s="119">
        <v>0</v>
      </c>
      <c r="Q1046" s="119">
        <v>3.5087719298245598E-2</v>
      </c>
      <c r="R1046" s="116" t="s">
        <v>83</v>
      </c>
      <c r="S1046" s="119">
        <v>5.9210526315789498E-2</v>
      </c>
      <c r="T1046" s="119">
        <v>6.4220183486238494E-2</v>
      </c>
      <c r="U1046" s="116" t="s">
        <v>83</v>
      </c>
      <c r="V1046" s="116" t="s">
        <v>83</v>
      </c>
      <c r="W1046" s="6">
        <v>507</v>
      </c>
      <c r="X1046" s="40">
        <f t="shared" si="74"/>
        <v>389</v>
      </c>
      <c r="Y1046" s="40">
        <f t="shared" si="75"/>
        <v>463</v>
      </c>
      <c r="Z1046" s="59">
        <v>0.48320000000000002</v>
      </c>
      <c r="AA1046" s="59">
        <v>0.51680000000000004</v>
      </c>
      <c r="AB1046" s="61">
        <v>0</v>
      </c>
      <c r="AC1046" s="61">
        <v>0</v>
      </c>
      <c r="AD1046" s="61">
        <v>0.97633136094674555</v>
      </c>
      <c r="AE1046" s="61">
        <v>1.3806706114398421E-2</v>
      </c>
      <c r="AF1046" s="61">
        <v>0</v>
      </c>
      <c r="AG1046" s="61">
        <v>5.9171597633136093E-3</v>
      </c>
      <c r="AH1046" s="61">
        <v>3.9447731755424065E-3</v>
      </c>
      <c r="AI1046" s="61">
        <v>0.99408284023668636</v>
      </c>
      <c r="AJ1046" s="59">
        <v>0.89549999999999996</v>
      </c>
      <c r="AK1046" s="59">
        <v>5.8999999999999999E-3</v>
      </c>
      <c r="AL1046" s="3">
        <v>24</v>
      </c>
      <c r="AM1046" s="3">
        <v>50</v>
      </c>
      <c r="AN1046" s="3">
        <v>0</v>
      </c>
      <c r="AO1046" s="3">
        <v>224</v>
      </c>
      <c r="AP1046" s="3">
        <v>165</v>
      </c>
      <c r="AQ1046" s="3">
        <v>0</v>
      </c>
      <c r="AR1046" s="3">
        <v>0</v>
      </c>
      <c r="AS1046" s="59">
        <v>0</v>
      </c>
      <c r="AT1046" s="3">
        <v>6</v>
      </c>
      <c r="AU1046" s="3">
        <v>6</v>
      </c>
      <c r="AV1046" s="49">
        <v>58.285714285714299</v>
      </c>
      <c r="AW1046" s="49">
        <v>16</v>
      </c>
      <c r="AX1046" s="49">
        <v>14.857142857142899</v>
      </c>
      <c r="AY1046" s="67">
        <v>10.8571428571429</v>
      </c>
      <c r="AZ1046" s="63">
        <v>0.43485086342229201</v>
      </c>
      <c r="BA1046" s="63">
        <v>1.2558869701726845E-2</v>
      </c>
      <c r="BB1046" s="78">
        <v>86.7518556797895</v>
      </c>
      <c r="BC1046" s="49">
        <v>77.7777777777778</v>
      </c>
      <c r="BD1046" s="3"/>
      <c r="BE1046" s="3"/>
      <c r="BF1046" s="3"/>
      <c r="BG1046" s="3"/>
      <c r="BH1046" s="3"/>
      <c r="BI1046" s="3"/>
      <c r="BJ1046" s="3"/>
      <c r="BK1046" s="126">
        <v>13643</v>
      </c>
      <c r="BL1046" s="126">
        <v>53873</v>
      </c>
      <c r="BM1046" s="126">
        <v>55376</v>
      </c>
      <c r="BN1046" s="126">
        <v>47619</v>
      </c>
      <c r="BO1046" s="59">
        <v>0</v>
      </c>
      <c r="BP1046" s="59">
        <v>0.20810000000000001</v>
      </c>
      <c r="BQ1046" s="59">
        <v>0.33700000000000002</v>
      </c>
      <c r="BR1046" s="59">
        <v>0</v>
      </c>
      <c r="BS1046" s="59">
        <v>1.3100000000000001E-2</v>
      </c>
      <c r="BT1046" s="49">
        <v>10.6</v>
      </c>
      <c r="BU1046" s="59">
        <f t="shared" si="76"/>
        <v>0.55820000000000003</v>
      </c>
      <c r="BV1046" s="59">
        <v>6.6799999999999998E-2</v>
      </c>
      <c r="BW1046" s="59">
        <v>1E-3</v>
      </c>
      <c r="BX1046" s="59">
        <v>4.9799999999999997E-2</v>
      </c>
      <c r="BY1046" s="59">
        <v>0</v>
      </c>
      <c r="BZ1046" s="59">
        <v>1.54E-2</v>
      </c>
      <c r="CA1046" s="49">
        <v>17.5</v>
      </c>
      <c r="CB1046" s="59">
        <f t="shared" si="77"/>
        <v>0.13300000000000001</v>
      </c>
      <c r="CC1046" s="59">
        <v>0.2316</v>
      </c>
      <c r="CD1046" s="59">
        <v>0.25519999999999998</v>
      </c>
      <c r="CE1046" s="59">
        <v>0.48470000000000002</v>
      </c>
      <c r="CF1046" s="59">
        <v>0</v>
      </c>
      <c r="CG1046" s="59">
        <v>2.8500000000000001E-2</v>
      </c>
      <c r="CH1046" s="3">
        <v>10.4</v>
      </c>
      <c r="CI1046" s="26" t="s">
        <v>507</v>
      </c>
      <c r="CJ1046" s="18" t="s">
        <v>505</v>
      </c>
      <c r="CK1046" s="20"/>
    </row>
    <row r="1047" spans="1:89" x14ac:dyDescent="0.25">
      <c r="A1047" s="18" t="s">
        <v>505</v>
      </c>
      <c r="B1047" s="19" t="s">
        <v>176</v>
      </c>
      <c r="C1047" s="26" t="s">
        <v>181</v>
      </c>
      <c r="D1047" s="6">
        <v>133</v>
      </c>
      <c r="E1047" s="40" t="s">
        <v>83</v>
      </c>
      <c r="F1047" s="6">
        <v>133</v>
      </c>
      <c r="N1047" s="119">
        <v>8.9441829186281102E-2</v>
      </c>
      <c r="O1047" s="119">
        <v>8.9441829186281102E-2</v>
      </c>
      <c r="P1047" s="116" t="s">
        <v>83</v>
      </c>
      <c r="Q1047" s="116" t="s">
        <v>83</v>
      </c>
      <c r="R1047" s="116" t="s">
        <v>83</v>
      </c>
      <c r="S1047" s="119">
        <v>8.5271317829457405E-2</v>
      </c>
      <c r="T1047" s="119">
        <v>4.2372881355932202E-2</v>
      </c>
      <c r="U1047" s="119">
        <v>8.5642317380352606E-2</v>
      </c>
      <c r="V1047" s="119">
        <v>0.14655172413793099</v>
      </c>
      <c r="W1047" s="6">
        <v>1221</v>
      </c>
      <c r="X1047" s="40">
        <f t="shared" si="74"/>
        <v>1221</v>
      </c>
      <c r="Y1047" s="40">
        <f t="shared" si="75"/>
        <v>1221</v>
      </c>
      <c r="Z1047" s="59">
        <v>0.49709999999999999</v>
      </c>
      <c r="AA1047" s="59">
        <v>0.50290000000000001</v>
      </c>
      <c r="AB1047" s="61">
        <v>8.1900081900081905E-4</v>
      </c>
      <c r="AC1047" s="61">
        <v>7.3710073710073713E-3</v>
      </c>
      <c r="AD1047" s="61">
        <v>0.85831285831285831</v>
      </c>
      <c r="AE1047" s="61">
        <v>7.6167076167076173E-2</v>
      </c>
      <c r="AF1047" s="61">
        <v>4.095004095004095E-3</v>
      </c>
      <c r="AG1047" s="61">
        <v>4.5045045045045043E-2</v>
      </c>
      <c r="AH1047" s="61">
        <v>8.1900081900081901E-3</v>
      </c>
      <c r="AI1047" s="61">
        <v>0.95495495495495497</v>
      </c>
      <c r="AJ1047" s="59">
        <v>0.77400000000000002</v>
      </c>
      <c r="AK1047" s="59">
        <v>6.7199999999999996E-2</v>
      </c>
      <c r="AL1047" s="3">
        <v>0</v>
      </c>
      <c r="AM1047" s="3">
        <v>0</v>
      </c>
      <c r="AN1047" s="3">
        <v>0</v>
      </c>
      <c r="AO1047" s="3">
        <v>286</v>
      </c>
      <c r="AP1047" s="3">
        <v>303</v>
      </c>
      <c r="AQ1047" s="3">
        <v>344</v>
      </c>
      <c r="AR1047" s="3">
        <v>288</v>
      </c>
      <c r="AS1047" s="59">
        <v>0</v>
      </c>
      <c r="AT1047" s="3">
        <v>9</v>
      </c>
      <c r="AU1047" s="3">
        <v>6</v>
      </c>
      <c r="AV1047" s="49">
        <v>64.426229508196698</v>
      </c>
      <c r="AW1047" s="49">
        <v>17.0491803278689</v>
      </c>
      <c r="AX1047" s="49">
        <v>16.5573770491803</v>
      </c>
      <c r="AY1047" s="67">
        <v>1.9672131147540999</v>
      </c>
      <c r="AZ1047" s="63">
        <v>0.23470122390208784</v>
      </c>
      <c r="BA1047" s="63">
        <v>0</v>
      </c>
      <c r="BB1047" s="77">
        <v>88.736423099233903</v>
      </c>
      <c r="BC1047" s="49">
        <v>68.181818181818201</v>
      </c>
      <c r="BD1047" s="3"/>
      <c r="BE1047" s="3"/>
      <c r="BF1047" s="3"/>
      <c r="BG1047" s="3"/>
      <c r="BH1047" s="3"/>
      <c r="BI1047" s="3"/>
      <c r="BJ1047" s="88">
        <v>18.3</v>
      </c>
      <c r="BK1047" s="126">
        <v>13740</v>
      </c>
      <c r="BL1047" s="126">
        <v>51999</v>
      </c>
      <c r="BM1047" s="126">
        <v>58212</v>
      </c>
      <c r="BN1047" s="126">
        <v>49045</v>
      </c>
      <c r="BO1047" s="59">
        <v>0</v>
      </c>
      <c r="BP1047" s="63">
        <v>0.3468</v>
      </c>
      <c r="BQ1047" s="63">
        <v>0.31059999999999999</v>
      </c>
      <c r="BR1047" s="63">
        <v>0</v>
      </c>
      <c r="BS1047" s="63">
        <v>4.8000000000000001E-2</v>
      </c>
      <c r="BT1047" s="87">
        <v>11.1</v>
      </c>
      <c r="BU1047" s="59">
        <f t="shared" si="76"/>
        <v>0.70540000000000003</v>
      </c>
      <c r="BV1047" s="59">
        <v>1.26E-2</v>
      </c>
      <c r="BW1047" s="63">
        <v>1.4E-2</v>
      </c>
      <c r="BX1047" s="63">
        <v>2.2499999999999999E-2</v>
      </c>
      <c r="BY1047" s="63">
        <v>0</v>
      </c>
      <c r="BZ1047" s="63">
        <v>7.1999999999999998E-3</v>
      </c>
      <c r="CA1047" s="87">
        <v>15.1</v>
      </c>
      <c r="CB1047" s="59">
        <f t="shared" si="77"/>
        <v>5.6299999999999996E-2</v>
      </c>
      <c r="CC1047" s="59">
        <v>9.4200000000000006E-2</v>
      </c>
      <c r="CD1047" s="63">
        <v>0.42980000000000002</v>
      </c>
      <c r="CE1047" s="63">
        <v>0.41389999999999999</v>
      </c>
      <c r="CF1047" s="63">
        <v>0</v>
      </c>
      <c r="CG1047" s="63">
        <v>6.2100000000000002E-2</v>
      </c>
      <c r="CH1047" s="88">
        <v>11.1</v>
      </c>
      <c r="CI1047" s="26" t="s">
        <v>181</v>
      </c>
      <c r="CJ1047" s="18" t="s">
        <v>505</v>
      </c>
      <c r="CK1047" s="20"/>
    </row>
    <row r="1048" spans="1:89" x14ac:dyDescent="0.25">
      <c r="A1048" s="18" t="s">
        <v>505</v>
      </c>
      <c r="B1048" s="19" t="s">
        <v>176</v>
      </c>
      <c r="C1048" s="26" t="s">
        <v>182</v>
      </c>
      <c r="D1048" s="6">
        <v>17</v>
      </c>
      <c r="E1048" s="6">
        <v>1</v>
      </c>
      <c r="F1048" s="6">
        <v>16</v>
      </c>
      <c r="N1048" s="119">
        <v>2.9929577464788699E-2</v>
      </c>
      <c r="O1048" s="119">
        <v>3.9215686274509803E-2</v>
      </c>
      <c r="P1048" s="119">
        <v>1.3333333333333299E-2</v>
      </c>
      <c r="Q1048" s="119">
        <v>0</v>
      </c>
      <c r="R1048" s="116" t="s">
        <v>83</v>
      </c>
      <c r="S1048" s="119">
        <v>0.04</v>
      </c>
      <c r="T1048" s="119">
        <v>1.85185185185185E-2</v>
      </c>
      <c r="U1048" s="119">
        <v>8.6956521739130405E-2</v>
      </c>
      <c r="V1048" s="119">
        <v>1.85185185185185E-2</v>
      </c>
      <c r="W1048" s="6">
        <v>482</v>
      </c>
      <c r="X1048" s="40">
        <f t="shared" si="74"/>
        <v>345</v>
      </c>
      <c r="Y1048" s="40">
        <f t="shared" si="75"/>
        <v>482</v>
      </c>
      <c r="Z1048" s="59">
        <v>0.47720000000000001</v>
      </c>
      <c r="AA1048" s="59">
        <v>0.52280000000000004</v>
      </c>
      <c r="AB1048" s="61">
        <v>6.2240663900414933E-3</v>
      </c>
      <c r="AC1048" s="61">
        <v>0</v>
      </c>
      <c r="AD1048" s="61">
        <v>0.80497925311203322</v>
      </c>
      <c r="AE1048" s="61">
        <v>3.3195020746887967E-2</v>
      </c>
      <c r="AF1048" s="61">
        <v>0</v>
      </c>
      <c r="AG1048" s="61">
        <v>0.14730290456431536</v>
      </c>
      <c r="AH1048" s="61">
        <v>8.2987551867219917E-3</v>
      </c>
      <c r="AI1048" s="61">
        <v>0.85269709543568462</v>
      </c>
      <c r="AJ1048" s="59">
        <v>0.82569999999999999</v>
      </c>
      <c r="AK1048" s="59">
        <v>1.24E-2</v>
      </c>
      <c r="AL1048" s="3">
        <v>64</v>
      </c>
      <c r="AM1048" s="3">
        <v>73</v>
      </c>
      <c r="AN1048" s="3">
        <v>0</v>
      </c>
      <c r="AO1048" s="3">
        <v>79</v>
      </c>
      <c r="AP1048" s="3">
        <v>90</v>
      </c>
      <c r="AQ1048" s="3">
        <v>73</v>
      </c>
      <c r="AR1048" s="3">
        <v>103</v>
      </c>
      <c r="AS1048" s="59">
        <v>0</v>
      </c>
      <c r="AT1048" s="3">
        <v>7</v>
      </c>
      <c r="AU1048" s="3">
        <v>6</v>
      </c>
      <c r="AV1048" s="49">
        <v>76.785714285714306</v>
      </c>
      <c r="AW1048" s="49">
        <v>19.6428571428571</v>
      </c>
      <c r="AX1048" s="49">
        <v>3.21428571428571</v>
      </c>
      <c r="AY1048" s="67">
        <v>0.35714285714285698</v>
      </c>
      <c r="AZ1048" s="63">
        <v>0.24242424242424243</v>
      </c>
      <c r="BA1048" s="63">
        <v>0</v>
      </c>
      <c r="BB1048" s="77">
        <v>90.971581127273595</v>
      </c>
      <c r="BC1048" s="49">
        <v>66.901408450704196</v>
      </c>
      <c r="BD1048" s="3"/>
      <c r="BE1048" s="3"/>
      <c r="BF1048" s="3"/>
      <c r="BG1048" s="3"/>
      <c r="BH1048" s="3"/>
      <c r="BI1048" s="3"/>
      <c r="BJ1048" s="88">
        <v>17.100000000000001</v>
      </c>
      <c r="BK1048" s="126">
        <v>17079</v>
      </c>
      <c r="BL1048" s="126">
        <v>57433</v>
      </c>
      <c r="BM1048" s="126">
        <v>66070</v>
      </c>
      <c r="BN1048" s="126">
        <v>49158</v>
      </c>
      <c r="BO1048" s="59">
        <v>0</v>
      </c>
      <c r="BP1048" s="63">
        <v>0.2853</v>
      </c>
      <c r="BQ1048" s="63">
        <v>0.29609999999999997</v>
      </c>
      <c r="BR1048" s="63">
        <v>1.77E-2</v>
      </c>
      <c r="BS1048" s="63">
        <v>1.41E-2</v>
      </c>
      <c r="BT1048" s="87">
        <v>15.4</v>
      </c>
      <c r="BU1048" s="59">
        <f t="shared" si="76"/>
        <v>0.61319999999999997</v>
      </c>
      <c r="BV1048" s="59">
        <v>4.2099999999999999E-2</v>
      </c>
      <c r="BW1048" s="63">
        <v>0</v>
      </c>
      <c r="BX1048" s="63">
        <v>4.1399999999999999E-2</v>
      </c>
      <c r="BY1048" s="63">
        <v>1.3899999999999999E-2</v>
      </c>
      <c r="BZ1048" s="63">
        <v>0</v>
      </c>
      <c r="CA1048" s="87">
        <v>27.3</v>
      </c>
      <c r="CB1048" s="59">
        <f t="shared" si="77"/>
        <v>9.7399999999999987E-2</v>
      </c>
      <c r="CC1048" s="59">
        <v>0.20649999999999999</v>
      </c>
      <c r="CD1048" s="63">
        <v>0.35320000000000001</v>
      </c>
      <c r="CE1048" s="63">
        <v>0.39439999999999997</v>
      </c>
      <c r="CF1048" s="63">
        <v>3.1800000000000002E-2</v>
      </c>
      <c r="CG1048" s="63">
        <v>1.41E-2</v>
      </c>
      <c r="CH1048" s="88">
        <v>15.8</v>
      </c>
      <c r="CI1048" s="26" t="s">
        <v>182</v>
      </c>
      <c r="CJ1048" s="18" t="s">
        <v>505</v>
      </c>
      <c r="CK1048" s="20"/>
    </row>
    <row r="1049" spans="1:89" x14ac:dyDescent="0.25">
      <c r="A1049" s="18" t="s">
        <v>505</v>
      </c>
      <c r="B1049" s="19" t="s">
        <v>176</v>
      </c>
      <c r="C1049" s="26" t="s">
        <v>183</v>
      </c>
      <c r="D1049" s="6">
        <v>64</v>
      </c>
      <c r="E1049" s="40" t="s">
        <v>83</v>
      </c>
      <c r="F1049" s="6">
        <v>64</v>
      </c>
      <c r="N1049" s="119">
        <v>4.3448744059742E-2</v>
      </c>
      <c r="O1049" s="119">
        <v>4.3448744059742E-2</v>
      </c>
      <c r="P1049" s="116" t="s">
        <v>83</v>
      </c>
      <c r="Q1049" s="116" t="s">
        <v>83</v>
      </c>
      <c r="R1049" s="119">
        <v>0</v>
      </c>
      <c r="S1049" s="119">
        <v>5.3398058252427202E-2</v>
      </c>
      <c r="T1049" s="119">
        <v>3.7313432835820899E-2</v>
      </c>
      <c r="U1049" s="119">
        <v>4.5161290322580601E-2</v>
      </c>
      <c r="V1049" s="119">
        <v>3.7249283667621799E-2</v>
      </c>
      <c r="W1049" s="6">
        <v>1263</v>
      </c>
      <c r="X1049" s="40">
        <f t="shared" si="74"/>
        <v>1263</v>
      </c>
      <c r="Y1049" s="40">
        <f t="shared" si="75"/>
        <v>1263</v>
      </c>
      <c r="Z1049" s="59">
        <v>0.50990000000000002</v>
      </c>
      <c r="AA1049" s="59">
        <v>0.49009999999999998</v>
      </c>
      <c r="AB1049" s="61">
        <v>0</v>
      </c>
      <c r="AC1049" s="61">
        <v>0</v>
      </c>
      <c r="AD1049" s="61">
        <v>0.98733174980205862</v>
      </c>
      <c r="AE1049" s="61">
        <v>5.5423594615993665E-3</v>
      </c>
      <c r="AF1049" s="61">
        <v>0</v>
      </c>
      <c r="AG1049" s="61">
        <v>4.7505938242280287E-3</v>
      </c>
      <c r="AH1049" s="61">
        <v>2.3752969121140144E-3</v>
      </c>
      <c r="AI1049" s="61">
        <v>0.99524940617577196</v>
      </c>
      <c r="AJ1049" s="59">
        <v>0.86219999999999997</v>
      </c>
      <c r="AK1049" s="59">
        <v>0</v>
      </c>
      <c r="AL1049" s="3">
        <v>0</v>
      </c>
      <c r="AM1049" s="3">
        <v>0</v>
      </c>
      <c r="AN1049" s="3">
        <v>1</v>
      </c>
      <c r="AO1049" s="3">
        <v>321</v>
      </c>
      <c r="AP1049" s="3">
        <v>347</v>
      </c>
      <c r="AQ1049" s="3">
        <v>276</v>
      </c>
      <c r="AR1049" s="3">
        <v>318</v>
      </c>
      <c r="AS1049" s="59">
        <v>3.105590062111801E-3</v>
      </c>
      <c r="AT1049" s="3">
        <v>9</v>
      </c>
      <c r="AU1049" s="3">
        <v>6</v>
      </c>
      <c r="AV1049" s="49">
        <v>44.761904761904802</v>
      </c>
      <c r="AW1049" s="49">
        <v>18.8571428571429</v>
      </c>
      <c r="AX1049" s="49">
        <v>30.095238095238102</v>
      </c>
      <c r="AY1049" s="67">
        <v>6.28571428571429</v>
      </c>
      <c r="AZ1049" s="63">
        <v>0.33748271092669435</v>
      </c>
      <c r="BA1049" s="63">
        <v>0</v>
      </c>
      <c r="BB1049" s="78">
        <v>89.376651250980501</v>
      </c>
      <c r="BC1049" s="49">
        <v>79.291553133514995</v>
      </c>
      <c r="BD1049" s="3"/>
      <c r="BE1049" s="3"/>
      <c r="BF1049" s="3"/>
      <c r="BG1049" s="3"/>
      <c r="BH1049" s="3"/>
      <c r="BI1049" s="3"/>
      <c r="BJ1049" s="88">
        <v>16.600000000000001</v>
      </c>
      <c r="BK1049" s="126">
        <v>12265</v>
      </c>
      <c r="BL1049" s="126">
        <v>53911</v>
      </c>
      <c r="BM1049" s="126">
        <v>49018</v>
      </c>
      <c r="BN1049" s="126">
        <v>47382</v>
      </c>
      <c r="BO1049" s="59">
        <v>0</v>
      </c>
      <c r="BP1049" s="63">
        <v>0.2782</v>
      </c>
      <c r="BQ1049" s="63">
        <v>0.36620000000000003</v>
      </c>
      <c r="BR1049" s="63">
        <v>0</v>
      </c>
      <c r="BS1049" s="63">
        <v>2.5100000000000001E-2</v>
      </c>
      <c r="BT1049" s="87">
        <v>14.5</v>
      </c>
      <c r="BU1049" s="59">
        <f t="shared" si="76"/>
        <v>0.6695000000000001</v>
      </c>
      <c r="BV1049" s="59">
        <v>1.12E-2</v>
      </c>
      <c r="BW1049" s="63">
        <v>2.86E-2</v>
      </c>
      <c r="BX1049" s="63">
        <v>2.4299999999999999E-2</v>
      </c>
      <c r="BY1049" s="63">
        <v>0</v>
      </c>
      <c r="BZ1049" s="63">
        <v>8.3000000000000001E-3</v>
      </c>
      <c r="CA1049" s="87">
        <v>14.2</v>
      </c>
      <c r="CB1049" s="59">
        <f t="shared" si="77"/>
        <v>7.2400000000000006E-2</v>
      </c>
      <c r="CC1049" s="59">
        <v>0.1416</v>
      </c>
      <c r="CD1049" s="63">
        <v>0.36699999999999999</v>
      </c>
      <c r="CE1049" s="63">
        <v>0.45789999999999997</v>
      </c>
      <c r="CF1049" s="63">
        <v>0</v>
      </c>
      <c r="CG1049" s="63">
        <v>3.3399999999999999E-2</v>
      </c>
      <c r="CH1049" s="88">
        <v>13.2</v>
      </c>
      <c r="CI1049" s="26" t="s">
        <v>183</v>
      </c>
      <c r="CJ1049" s="18" t="s">
        <v>505</v>
      </c>
      <c r="CK1049" s="20"/>
    </row>
    <row r="1050" spans="1:89" x14ac:dyDescent="0.25">
      <c r="A1050" s="18" t="s">
        <v>505</v>
      </c>
      <c r="B1050" s="19" t="s">
        <v>176</v>
      </c>
      <c r="C1050" s="26" t="s">
        <v>184</v>
      </c>
      <c r="D1050" s="6">
        <v>169</v>
      </c>
      <c r="E1050" s="40" t="s">
        <v>83</v>
      </c>
      <c r="F1050" s="6">
        <v>169</v>
      </c>
      <c r="N1050" s="119">
        <v>0.120199146514936</v>
      </c>
      <c r="O1050" s="119">
        <v>0.12037037037037</v>
      </c>
      <c r="P1050" s="116" t="s">
        <v>83</v>
      </c>
      <c r="Q1050" s="116" t="s">
        <v>83</v>
      </c>
      <c r="R1050" s="116" t="s">
        <v>83</v>
      </c>
      <c r="S1050" s="119">
        <v>0.110869565217391</v>
      </c>
      <c r="T1050" s="119">
        <v>6.4788732394366194E-2</v>
      </c>
      <c r="U1050" s="119">
        <v>0.16997167138810201</v>
      </c>
      <c r="V1050" s="119">
        <v>0.14830508474576301</v>
      </c>
      <c r="W1050" s="6">
        <v>1043</v>
      </c>
      <c r="X1050" s="40">
        <f t="shared" si="74"/>
        <v>1043</v>
      </c>
      <c r="Y1050" s="40">
        <f t="shared" si="75"/>
        <v>1043</v>
      </c>
      <c r="Z1050" s="59">
        <v>0.46500000000000002</v>
      </c>
      <c r="AA1050" s="59">
        <v>0.53500000000000003</v>
      </c>
      <c r="AB1050" s="61">
        <v>0</v>
      </c>
      <c r="AC1050" s="61">
        <v>1.6299137104506232E-2</v>
      </c>
      <c r="AD1050" s="61">
        <v>0.78523489932885904</v>
      </c>
      <c r="AE1050" s="61">
        <v>0.14093959731543623</v>
      </c>
      <c r="AF1050" s="61">
        <v>0</v>
      </c>
      <c r="AG1050" s="61">
        <v>5.3691275167785234E-2</v>
      </c>
      <c r="AH1050" s="61">
        <v>3.8350910834132309E-3</v>
      </c>
      <c r="AI1050" s="61">
        <v>0.94630872483221473</v>
      </c>
      <c r="AJ1050" s="59">
        <v>0.83699999999999997</v>
      </c>
      <c r="AK1050" s="59">
        <v>0.1285</v>
      </c>
      <c r="AL1050" s="3">
        <v>0</v>
      </c>
      <c r="AM1050" s="3">
        <v>0</v>
      </c>
      <c r="AN1050" s="3">
        <v>0</v>
      </c>
      <c r="AO1050" s="3">
        <v>313</v>
      </c>
      <c r="AP1050" s="3">
        <v>265</v>
      </c>
      <c r="AQ1050" s="3">
        <v>279</v>
      </c>
      <c r="AR1050" s="3">
        <v>186</v>
      </c>
      <c r="AS1050" s="59">
        <v>0</v>
      </c>
      <c r="AT1050" s="3">
        <v>9</v>
      </c>
      <c r="AU1050" s="3">
        <v>6</v>
      </c>
      <c r="AV1050" s="49">
        <v>53.990610328638496</v>
      </c>
      <c r="AW1050" s="49">
        <v>24.882629107981199</v>
      </c>
      <c r="AX1050" s="49">
        <v>19.7183098591549</v>
      </c>
      <c r="AY1050" s="67">
        <v>1.40845070422535</v>
      </c>
      <c r="AZ1050" s="63">
        <v>0.3256880733944954</v>
      </c>
      <c r="BA1050" s="63">
        <v>2.2935779816513763E-3</v>
      </c>
      <c r="BB1050" s="77">
        <v>84.203477830888403</v>
      </c>
      <c r="BC1050" s="49">
        <v>81.2085482682388</v>
      </c>
      <c r="BD1050" s="3"/>
      <c r="BE1050" s="3"/>
      <c r="BF1050" s="3"/>
      <c r="BG1050" s="3"/>
      <c r="BH1050" s="3"/>
      <c r="BI1050" s="3"/>
      <c r="BJ1050" s="88">
        <v>16.2</v>
      </c>
      <c r="BK1050" s="126">
        <v>13457</v>
      </c>
      <c r="BL1050" s="126">
        <v>53501</v>
      </c>
      <c r="BM1050" s="126">
        <v>54262</v>
      </c>
      <c r="BN1050" s="126">
        <v>47767</v>
      </c>
      <c r="BO1050" s="59">
        <v>8.8000000000000005E-3</v>
      </c>
      <c r="BP1050" s="63">
        <v>0.32219999999999999</v>
      </c>
      <c r="BQ1050" s="63">
        <v>0.31040000000000001</v>
      </c>
      <c r="BR1050" s="63">
        <v>0</v>
      </c>
      <c r="BS1050" s="63">
        <v>2.58E-2</v>
      </c>
      <c r="BT1050" s="87">
        <v>14.3</v>
      </c>
      <c r="BU1050" s="59">
        <f t="shared" si="76"/>
        <v>0.66720000000000002</v>
      </c>
      <c r="BV1050" s="59">
        <v>3.5000000000000003E-2</v>
      </c>
      <c r="BW1050" s="63">
        <v>0</v>
      </c>
      <c r="BX1050" s="63">
        <v>4.36E-2</v>
      </c>
      <c r="BY1050" s="63">
        <v>0</v>
      </c>
      <c r="BZ1050" s="63">
        <v>0</v>
      </c>
      <c r="CA1050" s="87">
        <v>16.100000000000001</v>
      </c>
      <c r="CB1050" s="59">
        <f t="shared" si="77"/>
        <v>7.8600000000000003E-2</v>
      </c>
      <c r="CC1050" s="59">
        <v>0.13469999999999999</v>
      </c>
      <c r="CD1050" s="63">
        <v>0.40179999999999999</v>
      </c>
      <c r="CE1050" s="63">
        <v>0.42880000000000001</v>
      </c>
      <c r="CF1050" s="63">
        <v>0</v>
      </c>
      <c r="CG1050" s="63">
        <v>3.4700000000000002E-2</v>
      </c>
      <c r="CH1050" s="88">
        <v>12.9</v>
      </c>
      <c r="CI1050" s="26" t="s">
        <v>184</v>
      </c>
      <c r="CJ1050" s="18" t="s">
        <v>505</v>
      </c>
      <c r="CK1050" s="20"/>
    </row>
    <row r="1051" spans="1:89" x14ac:dyDescent="0.25">
      <c r="A1051" s="18" t="s">
        <v>505</v>
      </c>
      <c r="B1051" s="19" t="s">
        <v>176</v>
      </c>
      <c r="C1051" s="26" t="s">
        <v>185</v>
      </c>
      <c r="D1051" s="6">
        <v>100</v>
      </c>
      <c r="E1051" s="40" t="s">
        <v>83</v>
      </c>
      <c r="F1051" s="6">
        <v>100</v>
      </c>
      <c r="N1051" s="119">
        <v>7.3691967575534298E-2</v>
      </c>
      <c r="O1051" s="119">
        <v>7.3691967575534298E-2</v>
      </c>
      <c r="P1051" s="116" t="s">
        <v>83</v>
      </c>
      <c r="Q1051" s="116" t="s">
        <v>83</v>
      </c>
      <c r="R1051" s="116" t="s">
        <v>83</v>
      </c>
      <c r="S1051" s="119">
        <v>7.7562326869806103E-2</v>
      </c>
      <c r="T1051" s="119">
        <v>4.98533724340176E-2</v>
      </c>
      <c r="U1051" s="119">
        <v>0.08</v>
      </c>
      <c r="V1051" s="119">
        <v>8.8524590163934394E-2</v>
      </c>
      <c r="W1051" s="6">
        <v>1113</v>
      </c>
      <c r="X1051" s="40">
        <f t="shared" si="74"/>
        <v>1113</v>
      </c>
      <c r="Y1051" s="40">
        <f t="shared" si="75"/>
        <v>1113</v>
      </c>
      <c r="Z1051" s="59">
        <v>0.45279999999999998</v>
      </c>
      <c r="AA1051" s="59">
        <v>0.54720000000000002</v>
      </c>
      <c r="AB1051" s="61">
        <v>1.7969451931716084E-3</v>
      </c>
      <c r="AC1051" s="61">
        <v>3.2345013477088951E-2</v>
      </c>
      <c r="AD1051" s="61">
        <v>0.58939802336028746</v>
      </c>
      <c r="AE1051" s="61">
        <v>0.13746630727762804</v>
      </c>
      <c r="AF1051" s="61">
        <v>8.9847259658580418E-4</v>
      </c>
      <c r="AG1051" s="61">
        <v>0.22102425876010781</v>
      </c>
      <c r="AH1051" s="61">
        <v>1.7070979335130278E-2</v>
      </c>
      <c r="AI1051" s="61">
        <v>0.77897574123989222</v>
      </c>
      <c r="AJ1051" s="59">
        <v>0.68279999999999996</v>
      </c>
      <c r="AK1051" s="59">
        <v>8.2699999999999996E-2</v>
      </c>
      <c r="AL1051" s="3">
        <v>0</v>
      </c>
      <c r="AM1051" s="3">
        <v>0</v>
      </c>
      <c r="AN1051" s="3">
        <v>0</v>
      </c>
      <c r="AO1051" s="3">
        <v>269</v>
      </c>
      <c r="AP1051" s="3">
        <v>289</v>
      </c>
      <c r="AQ1051" s="3">
        <v>295</v>
      </c>
      <c r="AR1051" s="3">
        <v>260</v>
      </c>
      <c r="AS1051" s="59">
        <v>0</v>
      </c>
      <c r="AT1051" s="3">
        <v>9</v>
      </c>
      <c r="AU1051" s="3">
        <v>6</v>
      </c>
      <c r="AV1051" s="49">
        <v>68.218298555377203</v>
      </c>
      <c r="AW1051" s="49">
        <v>14.606741573033698</v>
      </c>
      <c r="AX1051" s="49">
        <v>15.2487961476726</v>
      </c>
      <c r="AY1051" s="67">
        <v>1.9261637239165301</v>
      </c>
      <c r="AZ1051" s="63">
        <v>0.31194029850746269</v>
      </c>
      <c r="BA1051" s="63">
        <v>2.2388059701492539E-3</v>
      </c>
      <c r="BB1051" s="77">
        <v>91.299485573697197</v>
      </c>
      <c r="BC1051" s="49">
        <v>73.205033308660205</v>
      </c>
      <c r="BD1051" s="3"/>
      <c r="BE1051" s="3"/>
      <c r="BF1051" s="3"/>
      <c r="BG1051" s="3"/>
      <c r="BH1051" s="3"/>
      <c r="BI1051" s="3"/>
      <c r="BJ1051" s="88">
        <v>18.3</v>
      </c>
      <c r="BK1051" s="126">
        <v>14000</v>
      </c>
      <c r="BL1051" s="126">
        <v>54231</v>
      </c>
      <c r="BM1051" s="126">
        <v>55091</v>
      </c>
      <c r="BN1051" s="126">
        <v>49028</v>
      </c>
      <c r="BO1051" s="59">
        <v>7.4000000000000003E-3</v>
      </c>
      <c r="BP1051" s="63">
        <v>0.34179999999999999</v>
      </c>
      <c r="BQ1051" s="63">
        <v>0.32229999999999998</v>
      </c>
      <c r="BR1051" s="63">
        <v>3.0499999999999999E-2</v>
      </c>
      <c r="BS1051" s="63">
        <v>2.1600000000000001E-2</v>
      </c>
      <c r="BT1051" s="87">
        <v>14.9</v>
      </c>
      <c r="BU1051" s="59">
        <f t="shared" si="76"/>
        <v>0.72359999999999991</v>
      </c>
      <c r="BV1051" s="59">
        <v>2.24E-2</v>
      </c>
      <c r="BW1051" s="63">
        <v>0</v>
      </c>
      <c r="BX1051" s="63">
        <v>1.4999999999999999E-2</v>
      </c>
      <c r="BY1051" s="63">
        <v>1.04E-2</v>
      </c>
      <c r="BZ1051" s="63">
        <v>0</v>
      </c>
      <c r="CA1051" s="87">
        <v>19.100000000000001</v>
      </c>
      <c r="CB1051" s="59">
        <f t="shared" si="77"/>
        <v>4.7800000000000002E-2</v>
      </c>
      <c r="CC1051" s="59">
        <v>0.1588</v>
      </c>
      <c r="CD1051" s="63">
        <v>0.38769999999999999</v>
      </c>
      <c r="CE1051" s="63">
        <v>0.39100000000000001</v>
      </c>
      <c r="CF1051" s="63">
        <v>4.0899999999999999E-2</v>
      </c>
      <c r="CG1051" s="63">
        <v>2.1600000000000001E-2</v>
      </c>
      <c r="CH1051" s="88">
        <v>14.1</v>
      </c>
      <c r="CI1051" s="26" t="s">
        <v>185</v>
      </c>
      <c r="CJ1051" s="18" t="s">
        <v>505</v>
      </c>
      <c r="CK1051" s="20"/>
    </row>
    <row r="1052" spans="1:89" x14ac:dyDescent="0.25">
      <c r="A1052" s="18" t="s">
        <v>505</v>
      </c>
      <c r="B1052" s="19" t="s">
        <v>176</v>
      </c>
      <c r="C1052" s="26" t="s">
        <v>481</v>
      </c>
      <c r="D1052" s="6">
        <v>11</v>
      </c>
      <c r="E1052" s="40" t="s">
        <v>83</v>
      </c>
      <c r="F1052" s="6">
        <v>11</v>
      </c>
      <c r="N1052" s="119">
        <v>1.9298245614035099E-2</v>
      </c>
      <c r="O1052" s="119">
        <v>1.9298245614035099E-2</v>
      </c>
      <c r="P1052" s="116" t="s">
        <v>83</v>
      </c>
      <c r="Q1052" s="116" t="s">
        <v>83</v>
      </c>
      <c r="R1052" s="116" t="s">
        <v>83</v>
      </c>
      <c r="S1052" s="119">
        <v>7.8125E-3</v>
      </c>
      <c r="T1052" s="119">
        <v>1.43540669856459E-2</v>
      </c>
      <c r="U1052" s="119">
        <v>2.9850746268656699E-2</v>
      </c>
      <c r="V1052" s="119">
        <v>3.03030303030303E-2</v>
      </c>
      <c r="W1052" s="6">
        <v>529</v>
      </c>
      <c r="X1052" s="40">
        <f t="shared" si="74"/>
        <v>529</v>
      </c>
      <c r="Y1052" s="40">
        <f t="shared" si="75"/>
        <v>529</v>
      </c>
      <c r="Z1052" s="59">
        <v>0.54630000000000001</v>
      </c>
      <c r="AA1052" s="59">
        <v>0.45369999999999999</v>
      </c>
      <c r="AB1052" s="61">
        <v>0</v>
      </c>
      <c r="AC1052" s="61">
        <v>0</v>
      </c>
      <c r="AD1052" s="61">
        <v>0.96030245746691867</v>
      </c>
      <c r="AE1052" s="61">
        <v>2.4574669187145556E-2</v>
      </c>
      <c r="AF1052" s="61">
        <v>0</v>
      </c>
      <c r="AG1052" s="61">
        <v>1.1342155009451797E-2</v>
      </c>
      <c r="AH1052" s="61">
        <v>3.780718336483932E-3</v>
      </c>
      <c r="AI1052" s="61">
        <v>0.98865784499054821</v>
      </c>
      <c r="AJ1052" s="59">
        <v>0.80910000000000004</v>
      </c>
      <c r="AK1052" s="59">
        <v>1.9E-3</v>
      </c>
      <c r="AL1052" s="3">
        <v>0</v>
      </c>
      <c r="AM1052" s="3">
        <v>0</v>
      </c>
      <c r="AN1052" s="3">
        <v>0</v>
      </c>
      <c r="AO1052" s="3">
        <v>119</v>
      </c>
      <c r="AP1052" s="3">
        <v>197</v>
      </c>
      <c r="AQ1052" s="3">
        <v>126</v>
      </c>
      <c r="AR1052" s="3">
        <v>87</v>
      </c>
      <c r="AS1052" s="59">
        <v>0</v>
      </c>
      <c r="AT1052" s="3">
        <v>9</v>
      </c>
      <c r="AU1052" s="3">
        <v>1</v>
      </c>
      <c r="AV1052" s="49">
        <v>56.147540983606604</v>
      </c>
      <c r="AW1052" s="49">
        <v>25.819672131147499</v>
      </c>
      <c r="AX1052" s="49">
        <v>15.983606557377101</v>
      </c>
      <c r="AY1052" s="67">
        <v>2.0491803278688501</v>
      </c>
      <c r="AZ1052" s="63">
        <v>0.22261484098939929</v>
      </c>
      <c r="BA1052" s="63">
        <v>0</v>
      </c>
      <c r="BB1052" s="77">
        <v>92.131922430423202</v>
      </c>
      <c r="BC1052" s="49">
        <v>68.727915194346295</v>
      </c>
      <c r="BD1052" s="3"/>
      <c r="BE1052" s="3"/>
      <c r="BF1052" s="3"/>
      <c r="BG1052" s="3"/>
      <c r="BH1052" s="3"/>
      <c r="BI1052" s="3"/>
      <c r="BJ1052" s="88">
        <v>16.600000000000001</v>
      </c>
      <c r="BK1052" s="126">
        <v>15190</v>
      </c>
      <c r="BL1052" s="126">
        <v>53607</v>
      </c>
      <c r="BM1052" s="126">
        <v>60515</v>
      </c>
      <c r="BN1052" s="126">
        <v>46930</v>
      </c>
      <c r="BO1052" s="59">
        <v>0</v>
      </c>
      <c r="BP1052" s="63">
        <v>0.3533</v>
      </c>
      <c r="BQ1052" s="63">
        <v>0.15440000000000001</v>
      </c>
      <c r="BR1052" s="63">
        <v>0</v>
      </c>
      <c r="BS1052" s="63">
        <v>0</v>
      </c>
      <c r="BT1052" s="87">
        <v>2.5</v>
      </c>
      <c r="BU1052" s="59">
        <f t="shared" si="76"/>
        <v>0.50770000000000004</v>
      </c>
      <c r="BV1052" s="59">
        <v>0</v>
      </c>
      <c r="BW1052" s="63">
        <v>5.5599999999999997E-2</v>
      </c>
      <c r="BX1052" s="63">
        <v>1.3899999999999999E-2</v>
      </c>
      <c r="BY1052" s="63">
        <v>0</v>
      </c>
      <c r="BZ1052" s="63">
        <v>0</v>
      </c>
      <c r="CA1052" s="87">
        <v>2.4</v>
      </c>
      <c r="CB1052" s="59">
        <f t="shared" si="77"/>
        <v>6.9499999999999992E-2</v>
      </c>
      <c r="CC1052" s="59">
        <v>0.19570000000000001</v>
      </c>
      <c r="CD1052" s="63">
        <v>0.62209999999999999</v>
      </c>
      <c r="CE1052" s="63">
        <v>0.1822</v>
      </c>
      <c r="CF1052" s="63">
        <v>0</v>
      </c>
      <c r="CG1052" s="63">
        <v>0</v>
      </c>
      <c r="CH1052" s="88">
        <v>1.9</v>
      </c>
      <c r="CI1052" s="26" t="s">
        <v>481</v>
      </c>
      <c r="CJ1052" s="18" t="s">
        <v>505</v>
      </c>
      <c r="CK1052" s="20" t="s">
        <v>508</v>
      </c>
    </row>
    <row r="1053" spans="1:89" x14ac:dyDescent="0.25">
      <c r="A1053" s="18" t="s">
        <v>505</v>
      </c>
      <c r="B1053" s="19" t="s">
        <v>176</v>
      </c>
      <c r="C1053" s="26" t="s">
        <v>492</v>
      </c>
      <c r="D1053" s="6">
        <v>3</v>
      </c>
      <c r="E1053" s="40" t="s">
        <v>83</v>
      </c>
      <c r="F1053" s="6">
        <v>3</v>
      </c>
      <c r="N1053" s="119">
        <v>2.8571428571428602E-3</v>
      </c>
      <c r="O1053" s="119">
        <v>2.8571428571428602E-3</v>
      </c>
      <c r="P1053" s="116" t="s">
        <v>83</v>
      </c>
      <c r="Q1053" s="116" t="s">
        <v>83</v>
      </c>
      <c r="R1053" s="116" t="s">
        <v>83</v>
      </c>
      <c r="S1053" s="119">
        <v>2.45700245700246E-3</v>
      </c>
      <c r="T1053" s="119">
        <v>7.7519379844961196E-3</v>
      </c>
      <c r="U1053" s="119">
        <v>0</v>
      </c>
      <c r="V1053" s="119">
        <v>0</v>
      </c>
      <c r="W1053" s="6">
        <v>1025</v>
      </c>
      <c r="X1053" s="40">
        <f t="shared" si="74"/>
        <v>1025</v>
      </c>
      <c r="Y1053" s="40">
        <f t="shared" si="75"/>
        <v>1025</v>
      </c>
      <c r="Z1053" s="59">
        <v>0.61760000000000004</v>
      </c>
      <c r="AA1053" s="59">
        <v>0.38240000000000002</v>
      </c>
      <c r="AB1053" s="61">
        <v>0</v>
      </c>
      <c r="AC1053" s="61">
        <v>6.9268292682926835E-2</v>
      </c>
      <c r="AD1053" s="61">
        <v>0.6760975609756098</v>
      </c>
      <c r="AE1053" s="61">
        <v>5.2682926829268291E-2</v>
      </c>
      <c r="AF1053" s="61">
        <v>9.7560975609756097E-4</v>
      </c>
      <c r="AG1053" s="61">
        <v>0.19121951219512195</v>
      </c>
      <c r="AH1053" s="61">
        <v>9.7560975609756097E-3</v>
      </c>
      <c r="AI1053" s="61">
        <v>0.8087804878048781</v>
      </c>
      <c r="AJ1053" s="59">
        <v>0.50539999999999996</v>
      </c>
      <c r="AK1053" s="59">
        <v>2E-3</v>
      </c>
      <c r="AL1053" s="3">
        <v>0</v>
      </c>
      <c r="AM1053" s="3">
        <v>0</v>
      </c>
      <c r="AN1053" s="3">
        <v>0</v>
      </c>
      <c r="AO1053" s="3">
        <v>405</v>
      </c>
      <c r="AP1053" s="3">
        <v>252</v>
      </c>
      <c r="AQ1053" s="3">
        <v>183</v>
      </c>
      <c r="AR1053" s="3">
        <v>185</v>
      </c>
      <c r="AS1053" s="59">
        <v>0</v>
      </c>
      <c r="AT1053" s="3">
        <v>9</v>
      </c>
      <c r="AU1053" s="3">
        <v>7</v>
      </c>
      <c r="AV1053" s="49">
        <v>46.954314720812199</v>
      </c>
      <c r="AW1053" s="49">
        <v>13.197969543147201</v>
      </c>
      <c r="AX1053" s="49">
        <v>38.324873096446701</v>
      </c>
      <c r="AY1053" s="67">
        <v>1.5228426395939101</v>
      </c>
      <c r="AZ1053" s="63">
        <v>0.18702290076335878</v>
      </c>
      <c r="BA1053" s="63">
        <v>0</v>
      </c>
      <c r="BB1053" s="78">
        <v>96.273486368982503</v>
      </c>
      <c r="BC1053" s="49">
        <v>40.228789323164897</v>
      </c>
      <c r="BD1053" s="3"/>
      <c r="BE1053" s="3"/>
      <c r="BF1053" s="3"/>
      <c r="BG1053" s="3"/>
      <c r="BH1053" s="3"/>
      <c r="BI1053" s="3"/>
      <c r="BJ1053" s="88">
        <v>22.9</v>
      </c>
      <c r="BK1053" s="126">
        <v>11586</v>
      </c>
      <c r="BL1053" s="126">
        <v>52189</v>
      </c>
      <c r="BM1053" s="126">
        <v>51055</v>
      </c>
      <c r="BN1053" s="126">
        <v>49942</v>
      </c>
      <c r="BO1053" s="59">
        <v>0</v>
      </c>
      <c r="BP1053" s="63">
        <v>0.28639999999999999</v>
      </c>
      <c r="BQ1053" s="63">
        <v>0.39589999999999997</v>
      </c>
      <c r="BR1053" s="63">
        <v>0</v>
      </c>
      <c r="BS1053" s="63">
        <v>4.6600000000000003E-2</v>
      </c>
      <c r="BT1053" s="87">
        <v>10.199999999999999</v>
      </c>
      <c r="BU1053" s="59">
        <f t="shared" si="76"/>
        <v>0.72889999999999988</v>
      </c>
      <c r="BV1053" s="59">
        <v>4.6600000000000003E-2</v>
      </c>
      <c r="BW1053" s="63">
        <v>1.1599999999999999E-2</v>
      </c>
      <c r="BX1053" s="63">
        <v>4.6300000000000001E-2</v>
      </c>
      <c r="BY1053" s="63">
        <v>0</v>
      </c>
      <c r="BZ1053" s="63">
        <v>0</v>
      </c>
      <c r="CA1053" s="87">
        <v>16.8</v>
      </c>
      <c r="CB1053" s="59">
        <f t="shared" si="77"/>
        <v>0.10450000000000001</v>
      </c>
      <c r="CC1053" s="59">
        <v>0.1293</v>
      </c>
      <c r="CD1053" s="63">
        <v>0.31319999999999998</v>
      </c>
      <c r="CE1053" s="63">
        <v>0.51090000000000002</v>
      </c>
      <c r="CF1053" s="63">
        <v>0</v>
      </c>
      <c r="CG1053" s="63">
        <v>4.6600000000000003E-2</v>
      </c>
      <c r="CH1053" s="87">
        <v>11</v>
      </c>
      <c r="CI1053" s="26" t="s">
        <v>492</v>
      </c>
      <c r="CJ1053" s="18" t="s">
        <v>505</v>
      </c>
      <c r="CK1053" s="20"/>
    </row>
    <row r="1054" spans="1:89" x14ac:dyDescent="0.25">
      <c r="A1054" s="18" t="s">
        <v>505</v>
      </c>
      <c r="B1054" s="19" t="s">
        <v>189</v>
      </c>
      <c r="C1054" s="26" t="s">
        <v>190</v>
      </c>
      <c r="D1054" s="6">
        <v>5</v>
      </c>
      <c r="E1054" s="40" t="s">
        <v>83</v>
      </c>
      <c r="F1054" s="6">
        <v>5</v>
      </c>
      <c r="N1054" s="119">
        <v>1.7793594306049799E-2</v>
      </c>
      <c r="O1054" s="119">
        <v>1.7793594306049799E-2</v>
      </c>
      <c r="P1054" s="116" t="s">
        <v>83</v>
      </c>
      <c r="Q1054" s="116" t="s">
        <v>83</v>
      </c>
      <c r="R1054" s="116" t="s">
        <v>83</v>
      </c>
      <c r="S1054" s="119">
        <v>0</v>
      </c>
      <c r="T1054" s="119">
        <v>0</v>
      </c>
      <c r="U1054" s="119">
        <v>1.4084507042253501E-2</v>
      </c>
      <c r="V1054" s="119">
        <v>5.8823529411764698E-2</v>
      </c>
      <c r="W1054" s="6">
        <v>259</v>
      </c>
      <c r="X1054" s="40">
        <f t="shared" si="74"/>
        <v>259</v>
      </c>
      <c r="Y1054" s="40">
        <f t="shared" si="75"/>
        <v>259</v>
      </c>
      <c r="Z1054" s="59">
        <v>0.51349999999999996</v>
      </c>
      <c r="AA1054" s="59">
        <v>0.48649999999999999</v>
      </c>
      <c r="AB1054" s="61">
        <v>0</v>
      </c>
      <c r="AC1054" s="61">
        <v>0</v>
      </c>
      <c r="AD1054" s="61">
        <v>1</v>
      </c>
      <c r="AE1054" s="61">
        <v>0</v>
      </c>
      <c r="AF1054" s="61">
        <v>0</v>
      </c>
      <c r="AG1054" s="61">
        <v>0</v>
      </c>
      <c r="AH1054" s="61">
        <v>0</v>
      </c>
      <c r="AI1054" s="61">
        <v>1</v>
      </c>
      <c r="AJ1054" s="59">
        <v>0.9073</v>
      </c>
      <c r="AK1054" s="59">
        <v>0</v>
      </c>
      <c r="AL1054" s="3">
        <v>0</v>
      </c>
      <c r="AM1054" s="3">
        <v>0</v>
      </c>
      <c r="AN1054" s="3">
        <v>0</v>
      </c>
      <c r="AO1054" s="3">
        <v>60</v>
      </c>
      <c r="AP1054" s="3">
        <v>71</v>
      </c>
      <c r="AQ1054" s="3">
        <v>67</v>
      </c>
      <c r="AR1054" s="3">
        <v>61</v>
      </c>
      <c r="AS1054" s="59">
        <v>0</v>
      </c>
      <c r="AT1054" s="3">
        <v>9</v>
      </c>
      <c r="AU1054" s="3">
        <v>6</v>
      </c>
      <c r="AV1054" s="49">
        <v>93.548387096774206</v>
      </c>
      <c r="AW1054" s="49">
        <v>5.1612903225806503</v>
      </c>
      <c r="AX1054" s="49">
        <v>0</v>
      </c>
      <c r="AY1054" s="67">
        <v>1.2903225806451601</v>
      </c>
      <c r="AZ1054" s="63">
        <v>0.22021660649819494</v>
      </c>
      <c r="BA1054" s="63">
        <v>0</v>
      </c>
      <c r="BB1054" s="78">
        <v>93.946424568482399</v>
      </c>
      <c r="BC1054" s="49">
        <v>56.989247311828002</v>
      </c>
      <c r="BD1054" s="3"/>
      <c r="BE1054" s="3"/>
      <c r="BF1054" s="3"/>
      <c r="BG1054" s="3"/>
      <c r="BH1054" s="3"/>
      <c r="BI1054" s="3"/>
      <c r="BJ1054" s="88">
        <v>15.6</v>
      </c>
      <c r="BK1054" s="126">
        <v>16402</v>
      </c>
      <c r="BL1054" s="126">
        <v>51378</v>
      </c>
      <c r="BM1054" s="126">
        <v>57658</v>
      </c>
      <c r="BN1054" s="126">
        <v>39622</v>
      </c>
      <c r="BO1054" s="59">
        <v>0</v>
      </c>
      <c r="BP1054" s="63">
        <v>0.2364</v>
      </c>
      <c r="BQ1054" s="63">
        <v>0.2011</v>
      </c>
      <c r="BR1054" s="63">
        <v>0</v>
      </c>
      <c r="BS1054" s="63">
        <v>0</v>
      </c>
      <c r="BT1054" s="87">
        <v>20.6</v>
      </c>
      <c r="BU1054" s="59">
        <f t="shared" si="76"/>
        <v>0.4375</v>
      </c>
      <c r="BV1054" s="59">
        <v>0</v>
      </c>
      <c r="BW1054" s="63">
        <v>2.1499999999999998E-2</v>
      </c>
      <c r="BX1054" s="63">
        <v>2.1499999999999998E-2</v>
      </c>
      <c r="BY1054" s="63">
        <v>0</v>
      </c>
      <c r="BZ1054" s="63">
        <v>2.1499999999999998E-2</v>
      </c>
      <c r="CA1054" s="87">
        <v>26.7</v>
      </c>
      <c r="CB1054" s="59">
        <f t="shared" si="77"/>
        <v>6.4500000000000002E-2</v>
      </c>
      <c r="CC1054" s="59">
        <v>0.37659999999999999</v>
      </c>
      <c r="CD1054" s="63">
        <v>0.34389999999999998</v>
      </c>
      <c r="CE1054" s="63">
        <v>0.25790000000000002</v>
      </c>
      <c r="CF1054" s="63">
        <v>0</v>
      </c>
      <c r="CG1054" s="63">
        <v>2.1499999999999998E-2</v>
      </c>
      <c r="CH1054" s="88">
        <v>20.2</v>
      </c>
      <c r="CI1054" s="26" t="s">
        <v>190</v>
      </c>
      <c r="CJ1054" s="18" t="s">
        <v>505</v>
      </c>
      <c r="CK1054" s="20"/>
    </row>
    <row r="1055" spans="1:89" x14ac:dyDescent="0.25">
      <c r="A1055" s="18" t="s">
        <v>505</v>
      </c>
      <c r="B1055" s="19" t="s">
        <v>191</v>
      </c>
      <c r="C1055" s="26" t="s">
        <v>192</v>
      </c>
      <c r="D1055" s="6">
        <v>10</v>
      </c>
      <c r="E1055" s="40" t="s">
        <v>83</v>
      </c>
      <c r="F1055" s="6">
        <v>10</v>
      </c>
      <c r="N1055" s="119">
        <v>2.8571428571428598E-2</v>
      </c>
      <c r="O1055" s="119">
        <v>2.8571428571428598E-2</v>
      </c>
      <c r="P1055" s="116" t="s">
        <v>83</v>
      </c>
      <c r="Q1055" s="116" t="s">
        <v>83</v>
      </c>
      <c r="R1055" s="119">
        <v>0</v>
      </c>
      <c r="S1055" s="119">
        <v>0</v>
      </c>
      <c r="T1055" s="119">
        <v>4.5454545454545497E-2</v>
      </c>
      <c r="U1055" s="119">
        <v>4.1095890410958902E-2</v>
      </c>
      <c r="V1055" s="119">
        <v>2.8571428571428598E-2</v>
      </c>
      <c r="W1055" s="6">
        <v>326</v>
      </c>
      <c r="X1055" s="40">
        <f t="shared" si="74"/>
        <v>326</v>
      </c>
      <c r="Y1055" s="40">
        <f t="shared" si="75"/>
        <v>326</v>
      </c>
      <c r="Z1055" s="59">
        <v>0.51229999999999998</v>
      </c>
      <c r="AA1055" s="59">
        <v>0.48770000000000002</v>
      </c>
      <c r="AB1055" s="61">
        <v>0</v>
      </c>
      <c r="AC1055" s="61">
        <v>0</v>
      </c>
      <c r="AD1055" s="61">
        <v>0.96012269938650308</v>
      </c>
      <c r="AE1055" s="61">
        <v>0</v>
      </c>
      <c r="AF1055" s="61">
        <v>0</v>
      </c>
      <c r="AG1055" s="61">
        <v>3.6809815950920248E-2</v>
      </c>
      <c r="AH1055" s="61">
        <v>3.0674846625766872E-3</v>
      </c>
      <c r="AI1055" s="61">
        <v>0.96319018404907975</v>
      </c>
      <c r="AJ1055" s="59">
        <v>0.81599999999999995</v>
      </c>
      <c r="AK1055" s="59">
        <v>0</v>
      </c>
      <c r="AL1055" s="3">
        <v>0</v>
      </c>
      <c r="AM1055" s="3">
        <v>0</v>
      </c>
      <c r="AN1055" s="3">
        <v>33</v>
      </c>
      <c r="AO1055" s="3">
        <v>44</v>
      </c>
      <c r="AP1055" s="3">
        <v>80</v>
      </c>
      <c r="AQ1055" s="3">
        <v>74</v>
      </c>
      <c r="AR1055" s="3">
        <v>95</v>
      </c>
      <c r="AS1055" s="59">
        <v>0.42857142857142855</v>
      </c>
      <c r="AT1055" s="3">
        <v>9</v>
      </c>
      <c r="AU1055" s="3">
        <v>6</v>
      </c>
      <c r="AV1055" s="49">
        <v>80.198019801980209</v>
      </c>
      <c r="AW1055" s="49">
        <v>15.5115511551155</v>
      </c>
      <c r="AX1055" s="49">
        <v>3.9603960396039599</v>
      </c>
      <c r="AY1055" s="67">
        <v>0.33003300330032997</v>
      </c>
      <c r="AZ1055" s="63">
        <v>6.0344827586206899E-2</v>
      </c>
      <c r="BA1055" s="63">
        <v>7.4712643678160925E-2</v>
      </c>
      <c r="BB1055" s="78">
        <v>91.822651918410997</v>
      </c>
      <c r="BC1055" s="49">
        <v>55.270655270655297</v>
      </c>
      <c r="BD1055" s="3"/>
      <c r="BE1055" s="3"/>
      <c r="BF1055" s="3"/>
      <c r="BG1055" s="3"/>
      <c r="BH1055" s="3"/>
      <c r="BI1055" s="3"/>
      <c r="BJ1055" s="88">
        <v>17</v>
      </c>
      <c r="BK1055" s="126">
        <v>17565</v>
      </c>
      <c r="BL1055" s="126">
        <v>39562</v>
      </c>
      <c r="BM1055" s="126">
        <v>51115</v>
      </c>
      <c r="BN1055" s="126">
        <v>30935</v>
      </c>
      <c r="BO1055" s="59">
        <v>0</v>
      </c>
      <c r="BP1055" s="63">
        <v>0.39889999999999998</v>
      </c>
      <c r="BQ1055" s="63">
        <v>7.22E-2</v>
      </c>
      <c r="BR1055" s="63">
        <v>0</v>
      </c>
      <c r="BS1055" s="63">
        <v>0</v>
      </c>
      <c r="BT1055" s="87">
        <v>6.2</v>
      </c>
      <c r="BU1055" s="59">
        <f t="shared" si="76"/>
        <v>0.47109999999999996</v>
      </c>
      <c r="BV1055" s="59">
        <v>1.7299999999999999E-2</v>
      </c>
      <c r="BW1055" s="63">
        <v>0</v>
      </c>
      <c r="BX1055" s="63">
        <v>5.1900000000000002E-2</v>
      </c>
      <c r="BY1055" s="63">
        <v>0</v>
      </c>
      <c r="BZ1055" s="63">
        <v>0</v>
      </c>
      <c r="CA1055" s="87">
        <v>20.8</v>
      </c>
      <c r="CB1055" s="59">
        <f t="shared" si="77"/>
        <v>6.9199999999999998E-2</v>
      </c>
      <c r="CC1055" s="59">
        <v>0.3906</v>
      </c>
      <c r="CD1055" s="63">
        <v>0.39889999999999998</v>
      </c>
      <c r="CE1055" s="63">
        <v>0.19320000000000001</v>
      </c>
      <c r="CF1055" s="63">
        <v>1.7299999999999999E-2</v>
      </c>
      <c r="CG1055" s="63">
        <v>0</v>
      </c>
      <c r="CH1055" s="88">
        <v>8.1999999999999993</v>
      </c>
      <c r="CI1055" s="26" t="s">
        <v>192</v>
      </c>
      <c r="CJ1055" s="18" t="s">
        <v>505</v>
      </c>
      <c r="CK1055" s="20"/>
    </row>
    <row r="1056" spans="1:89" x14ac:dyDescent="0.25">
      <c r="A1056" s="18" t="s">
        <v>505</v>
      </c>
      <c r="B1056" s="19" t="s">
        <v>191</v>
      </c>
      <c r="C1056" s="26" t="s">
        <v>193</v>
      </c>
      <c r="D1056" s="6">
        <v>4</v>
      </c>
      <c r="E1056" s="6">
        <v>0</v>
      </c>
      <c r="F1056" s="6">
        <v>4</v>
      </c>
      <c r="N1056" s="119">
        <v>1.0638297872340399E-2</v>
      </c>
      <c r="O1056" s="119">
        <v>1.6806722689075598E-2</v>
      </c>
      <c r="P1056" s="119">
        <v>0</v>
      </c>
      <c r="Q1056" s="119">
        <v>0</v>
      </c>
      <c r="R1056" s="116" t="s">
        <v>83</v>
      </c>
      <c r="S1056" s="119">
        <v>0</v>
      </c>
      <c r="T1056" s="119">
        <v>2.7777777777777801E-2</v>
      </c>
      <c r="U1056" s="119">
        <v>3.125E-2</v>
      </c>
      <c r="V1056" s="119">
        <v>0</v>
      </c>
      <c r="W1056" s="6">
        <v>354</v>
      </c>
      <c r="X1056" s="40">
        <f t="shared" si="74"/>
        <v>224</v>
      </c>
      <c r="Y1056" s="40">
        <f t="shared" si="75"/>
        <v>354</v>
      </c>
      <c r="Z1056" s="59">
        <v>0.5141</v>
      </c>
      <c r="AA1056" s="59">
        <v>0.4859</v>
      </c>
      <c r="AB1056" s="61">
        <v>0</v>
      </c>
      <c r="AC1056" s="61">
        <v>2.8248587570621469E-3</v>
      </c>
      <c r="AD1056" s="61">
        <v>0.27966101694915252</v>
      </c>
      <c r="AE1056" s="61">
        <v>2.8248587570621469E-3</v>
      </c>
      <c r="AF1056" s="61">
        <v>0</v>
      </c>
      <c r="AG1056" s="61">
        <v>0.70903954802259883</v>
      </c>
      <c r="AH1056" s="61">
        <v>5.6497175141242938E-3</v>
      </c>
      <c r="AI1056" s="61">
        <v>0.29096045197740111</v>
      </c>
      <c r="AJ1056" s="59">
        <v>0.59889999999999999</v>
      </c>
      <c r="AK1056" s="59">
        <v>0</v>
      </c>
      <c r="AL1056" s="3">
        <v>69</v>
      </c>
      <c r="AM1056" s="3">
        <v>61</v>
      </c>
      <c r="AN1056" s="3">
        <v>0</v>
      </c>
      <c r="AO1056" s="3">
        <v>59</v>
      </c>
      <c r="AP1056" s="3">
        <v>68</v>
      </c>
      <c r="AQ1056" s="3">
        <v>60</v>
      </c>
      <c r="AR1056" s="3">
        <v>37</v>
      </c>
      <c r="AS1056" s="59">
        <v>0</v>
      </c>
      <c r="AT1056" s="3">
        <v>7</v>
      </c>
      <c r="AU1056" s="3">
        <v>1</v>
      </c>
      <c r="AV1056" s="49">
        <v>54.7826086956522</v>
      </c>
      <c r="AW1056" s="49">
        <v>44.347826086956502</v>
      </c>
      <c r="AX1056" s="49">
        <v>0.86956521739130399</v>
      </c>
      <c r="AY1056" s="67">
        <v>0</v>
      </c>
      <c r="AZ1056" s="63">
        <v>0</v>
      </c>
      <c r="BA1056" s="63">
        <v>0.17066666666666666</v>
      </c>
      <c r="BB1056" s="77">
        <v>92.737424942479294</v>
      </c>
      <c r="BC1056" s="49">
        <v>48.266666666666701</v>
      </c>
      <c r="BD1056" s="3"/>
      <c r="BE1056" s="3"/>
      <c r="BF1056" s="3"/>
      <c r="BG1056" s="3"/>
      <c r="BH1056" s="3"/>
      <c r="BI1056" s="3"/>
      <c r="BJ1056" s="88">
        <v>20.100000000000001</v>
      </c>
      <c r="BK1056" s="88"/>
      <c r="BL1056" s="88"/>
      <c r="BM1056" s="88"/>
      <c r="BN1056" s="88"/>
      <c r="BO1056" s="63"/>
      <c r="BP1056" s="63"/>
      <c r="BQ1056" s="63"/>
      <c r="BR1056" s="63"/>
      <c r="BS1056" s="63"/>
      <c r="BT1056" s="87"/>
      <c r="BU1056" s="59"/>
      <c r="BV1056" s="63"/>
      <c r="BW1056" s="63"/>
      <c r="BX1056" s="63"/>
      <c r="BY1056" s="63"/>
      <c r="BZ1056" s="63"/>
      <c r="CA1056" s="87"/>
      <c r="CB1056" s="59"/>
      <c r="CC1056" s="63"/>
      <c r="CD1056" s="63"/>
      <c r="CE1056" s="63"/>
      <c r="CF1056" s="63"/>
      <c r="CG1056" s="63"/>
      <c r="CH1056" s="88"/>
      <c r="CI1056" s="26" t="s">
        <v>193</v>
      </c>
      <c r="CJ1056" s="18" t="s">
        <v>505</v>
      </c>
      <c r="CK1056" s="20" t="s">
        <v>193</v>
      </c>
    </row>
    <row r="1057" spans="1:89" x14ac:dyDescent="0.25">
      <c r="A1057" s="18" t="s">
        <v>505</v>
      </c>
      <c r="B1057" s="19" t="s">
        <v>194</v>
      </c>
      <c r="C1057" s="26" t="s">
        <v>195</v>
      </c>
      <c r="D1057" s="6">
        <v>5</v>
      </c>
      <c r="E1057" s="6">
        <v>0</v>
      </c>
      <c r="F1057" s="6">
        <v>5</v>
      </c>
      <c r="N1057" s="119">
        <v>1.3966480446927399E-2</v>
      </c>
      <c r="O1057" s="119">
        <v>2.3696682464454999E-2</v>
      </c>
      <c r="P1057" s="119">
        <v>0</v>
      </c>
      <c r="Q1057" s="119">
        <v>0</v>
      </c>
      <c r="R1057" s="119">
        <v>0</v>
      </c>
      <c r="S1057" s="119">
        <v>4.47761194029851E-2</v>
      </c>
      <c r="T1057" s="119">
        <v>0</v>
      </c>
      <c r="U1057" s="119">
        <v>1.6949152542372899E-2</v>
      </c>
      <c r="V1057" s="119">
        <v>3.03030303030303E-2</v>
      </c>
      <c r="W1057" s="6">
        <v>444</v>
      </c>
      <c r="X1057" s="40">
        <f t="shared" si="74"/>
        <v>191</v>
      </c>
      <c r="Y1057" s="40">
        <f t="shared" si="75"/>
        <v>324</v>
      </c>
      <c r="Z1057" s="59">
        <v>0.49320000000000003</v>
      </c>
      <c r="AA1057" s="59">
        <v>0.50680000000000003</v>
      </c>
      <c r="AB1057" s="61">
        <v>0</v>
      </c>
      <c r="AC1057" s="61">
        <v>9.0090090090090089E-3</v>
      </c>
      <c r="AD1057" s="61">
        <v>0.1981981981981982</v>
      </c>
      <c r="AE1057" s="61">
        <v>3.8288288288288286E-2</v>
      </c>
      <c r="AF1057" s="61">
        <v>0</v>
      </c>
      <c r="AG1057" s="61">
        <v>0.7432432432432432</v>
      </c>
      <c r="AH1057" s="61">
        <v>1.1261261261261261E-2</v>
      </c>
      <c r="AI1057" s="61">
        <v>0.25675675675675674</v>
      </c>
      <c r="AJ1057" s="59">
        <v>0.60589999999999999</v>
      </c>
      <c r="AK1057" s="59">
        <v>2.3E-3</v>
      </c>
      <c r="AL1057" s="3">
        <v>71</v>
      </c>
      <c r="AM1057" s="3">
        <v>62</v>
      </c>
      <c r="AN1057" s="3">
        <v>4</v>
      </c>
      <c r="AO1057" s="3">
        <v>59</v>
      </c>
      <c r="AP1057" s="3">
        <v>41</v>
      </c>
      <c r="AQ1057" s="3">
        <v>55</v>
      </c>
      <c r="AR1057" s="3">
        <v>32</v>
      </c>
      <c r="AS1057" s="59">
        <v>6.3492063492063489E-2</v>
      </c>
      <c r="AT1057" s="3">
        <v>5</v>
      </c>
      <c r="AU1057" s="3">
        <v>6</v>
      </c>
      <c r="AV1057" s="49">
        <v>70.869565217391298</v>
      </c>
      <c r="AW1057" s="49">
        <v>20.434782608695702</v>
      </c>
      <c r="AX1057" s="49">
        <v>6.9565217391304293</v>
      </c>
      <c r="AY1057" s="67">
        <v>1.7391304347826102</v>
      </c>
      <c r="AZ1057" s="63">
        <v>0.13963039014373715</v>
      </c>
      <c r="BA1057" s="63">
        <v>0.14168377823408623</v>
      </c>
      <c r="BB1057" s="78">
        <v>93.540149808810398</v>
      </c>
      <c r="BC1057" s="49">
        <v>56.850715746421301</v>
      </c>
      <c r="BD1057" s="3"/>
      <c r="BE1057" s="3"/>
      <c r="BF1057" s="3"/>
      <c r="BG1057" s="3"/>
      <c r="BH1057" s="3"/>
      <c r="BI1057" s="3"/>
      <c r="BJ1057" s="88">
        <v>19.5</v>
      </c>
      <c r="BK1057" s="126">
        <v>9850</v>
      </c>
      <c r="BL1057" s="126">
        <v>49300</v>
      </c>
      <c r="BM1057" s="126">
        <v>38360</v>
      </c>
      <c r="BN1057" s="126">
        <v>40106</v>
      </c>
      <c r="BO1057" s="63">
        <v>0</v>
      </c>
      <c r="BP1057" s="63">
        <v>0.44009999999999999</v>
      </c>
      <c r="BQ1057" s="63">
        <v>0.17449999999999999</v>
      </c>
      <c r="BR1057" s="63">
        <v>0</v>
      </c>
      <c r="BS1057" s="63">
        <v>0</v>
      </c>
      <c r="BT1057" s="87">
        <v>16.100000000000001</v>
      </c>
      <c r="BU1057" s="59">
        <f t="shared" si="76"/>
        <v>0.61460000000000004</v>
      </c>
      <c r="BV1057" s="59">
        <v>4.36E-2</v>
      </c>
      <c r="BW1057" s="63">
        <v>0</v>
      </c>
      <c r="BX1057" s="63">
        <v>4.36E-2</v>
      </c>
      <c r="BY1057" s="63">
        <v>0</v>
      </c>
      <c r="BZ1057" s="63">
        <v>0</v>
      </c>
      <c r="CA1057" s="87">
        <v>13.5</v>
      </c>
      <c r="CB1057" s="59">
        <f t="shared" si="77"/>
        <v>8.72E-2</v>
      </c>
      <c r="CC1057" s="59">
        <v>0.30909999999999999</v>
      </c>
      <c r="CD1057" s="63">
        <v>0.45100000000000001</v>
      </c>
      <c r="CE1057" s="63">
        <v>0.2399</v>
      </c>
      <c r="CF1057" s="63">
        <v>0</v>
      </c>
      <c r="CG1057" s="63">
        <v>0</v>
      </c>
      <c r="CH1057" s="88">
        <v>14.4</v>
      </c>
      <c r="CI1057" s="26" t="s">
        <v>195</v>
      </c>
      <c r="CJ1057" s="18" t="s">
        <v>505</v>
      </c>
      <c r="CK1057" s="20"/>
    </row>
    <row r="1058" spans="1:89" x14ac:dyDescent="0.25">
      <c r="A1058" s="18" t="s">
        <v>505</v>
      </c>
      <c r="B1058" s="19" t="s">
        <v>194</v>
      </c>
      <c r="C1058" s="26" t="s">
        <v>196</v>
      </c>
      <c r="D1058" s="6">
        <v>6</v>
      </c>
      <c r="E1058" s="6">
        <v>2</v>
      </c>
      <c r="F1058" s="6">
        <v>4</v>
      </c>
      <c r="N1058" s="119">
        <v>8.9153046062407093E-3</v>
      </c>
      <c r="O1058" s="119">
        <v>8.8888888888888906E-3</v>
      </c>
      <c r="P1058" s="119">
        <v>8.8495575221238902E-3</v>
      </c>
      <c r="Q1058" s="119">
        <v>9.0909090909090905E-3</v>
      </c>
      <c r="R1058" s="119">
        <v>0</v>
      </c>
      <c r="S1058" s="119">
        <v>8.0000000000000002E-3</v>
      </c>
      <c r="T1058" s="119">
        <v>1.6260162601626001E-2</v>
      </c>
      <c r="U1058" s="119">
        <v>0</v>
      </c>
      <c r="V1058" s="119">
        <v>9.3457943925233603E-3</v>
      </c>
      <c r="W1058" s="6">
        <v>818</v>
      </c>
      <c r="X1058" s="40">
        <f t="shared" si="74"/>
        <v>432</v>
      </c>
      <c r="Y1058" s="40">
        <f t="shared" si="75"/>
        <v>631</v>
      </c>
      <c r="Z1058" s="59">
        <v>0.51339999999999997</v>
      </c>
      <c r="AA1058" s="59">
        <v>0.48659999999999998</v>
      </c>
      <c r="AB1058" s="61">
        <v>1.2224938875305623E-3</v>
      </c>
      <c r="AC1058" s="61">
        <v>2.4449877750611247E-3</v>
      </c>
      <c r="AD1058" s="61">
        <v>0.40097799511002447</v>
      </c>
      <c r="AE1058" s="61">
        <v>6.1124694376528121E-3</v>
      </c>
      <c r="AF1058" s="61">
        <v>0</v>
      </c>
      <c r="AG1058" s="61">
        <v>0.54156479217603914</v>
      </c>
      <c r="AH1058" s="61">
        <v>4.7677261613691929E-2</v>
      </c>
      <c r="AI1058" s="61">
        <v>0.45843520782396086</v>
      </c>
      <c r="AJ1058" s="59">
        <v>0.72860000000000003</v>
      </c>
      <c r="AK1058" s="59">
        <v>0</v>
      </c>
      <c r="AL1058" s="3">
        <v>103</v>
      </c>
      <c r="AM1058" s="3">
        <v>96</v>
      </c>
      <c r="AN1058" s="3">
        <v>9</v>
      </c>
      <c r="AO1058" s="3">
        <v>118</v>
      </c>
      <c r="AP1058" s="3">
        <v>114</v>
      </c>
      <c r="AQ1058" s="3">
        <v>90</v>
      </c>
      <c r="AR1058" s="3">
        <v>101</v>
      </c>
      <c r="AS1058" s="59">
        <v>7.0866141732283464E-2</v>
      </c>
      <c r="AT1058" s="3">
        <v>5</v>
      </c>
      <c r="AU1058" s="3">
        <v>6</v>
      </c>
      <c r="AV1058" s="49">
        <v>54.328358208955194</v>
      </c>
      <c r="AW1058" s="49">
        <v>27.761194029850699</v>
      </c>
      <c r="AX1058" s="49">
        <v>17.313432835820901</v>
      </c>
      <c r="AY1058" s="67">
        <v>0.59701492537313394</v>
      </c>
      <c r="AZ1058" s="63">
        <v>0.20504009163802978</v>
      </c>
      <c r="BA1058" s="63">
        <v>9.5074455899198163E-2</v>
      </c>
      <c r="BB1058" s="77">
        <v>90.474155883324499</v>
      </c>
      <c r="BC1058" s="49">
        <v>79.977116704805496</v>
      </c>
      <c r="BD1058" s="3"/>
      <c r="BE1058" s="3"/>
      <c r="BF1058" s="3"/>
      <c r="BG1058" s="3"/>
      <c r="BH1058" s="3"/>
      <c r="BI1058" s="3"/>
      <c r="BJ1058" s="88">
        <v>19.2</v>
      </c>
      <c r="BK1058" s="126">
        <v>8964</v>
      </c>
      <c r="BL1058" s="126">
        <v>47020</v>
      </c>
      <c r="BM1058" s="126">
        <v>47280</v>
      </c>
      <c r="BN1058" s="126">
        <v>36833</v>
      </c>
      <c r="BO1058" s="59">
        <v>0</v>
      </c>
      <c r="BP1058" s="63">
        <v>0.39140000000000003</v>
      </c>
      <c r="BQ1058" s="63">
        <v>0.14149999999999999</v>
      </c>
      <c r="BR1058" s="63">
        <v>0</v>
      </c>
      <c r="BS1058" s="63">
        <v>0</v>
      </c>
      <c r="BT1058" s="87">
        <v>15.8</v>
      </c>
      <c r="BU1058" s="59">
        <f t="shared" si="76"/>
        <v>0.53290000000000004</v>
      </c>
      <c r="BV1058" s="59">
        <v>2.5700000000000001E-2</v>
      </c>
      <c r="BW1058" s="63">
        <v>0</v>
      </c>
      <c r="BX1058" s="63">
        <v>5.1499999999999997E-2</v>
      </c>
      <c r="BY1058" s="63">
        <v>0</v>
      </c>
      <c r="BZ1058" s="63">
        <v>0</v>
      </c>
      <c r="CA1058" s="87">
        <v>20.8</v>
      </c>
      <c r="CB1058" s="59">
        <f t="shared" si="77"/>
        <v>7.7199999999999991E-2</v>
      </c>
      <c r="CC1058" s="59">
        <v>0.36969999999999997</v>
      </c>
      <c r="CD1058" s="63">
        <v>0.39219999999999999</v>
      </c>
      <c r="CE1058" s="63">
        <v>0.23810000000000001</v>
      </c>
      <c r="CF1058" s="63">
        <v>0</v>
      </c>
      <c r="CG1058" s="63">
        <v>0</v>
      </c>
      <c r="CH1058" s="88">
        <v>14.2</v>
      </c>
      <c r="CI1058" s="26" t="s">
        <v>196</v>
      </c>
      <c r="CJ1058" s="18" t="s">
        <v>505</v>
      </c>
      <c r="CK1058" s="20"/>
    </row>
    <row r="1059" spans="1:89" x14ac:dyDescent="0.25">
      <c r="A1059" s="18" t="s">
        <v>505</v>
      </c>
      <c r="B1059" s="19" t="s">
        <v>194</v>
      </c>
      <c r="C1059" s="26" t="s">
        <v>197</v>
      </c>
      <c r="D1059" s="6">
        <v>16</v>
      </c>
      <c r="E1059" s="40" t="s">
        <v>83</v>
      </c>
      <c r="F1059" s="6">
        <v>16</v>
      </c>
      <c r="N1059" s="119">
        <v>3.5242290748898703E-2</v>
      </c>
      <c r="O1059" s="119">
        <v>3.5242290748898703E-2</v>
      </c>
      <c r="P1059" s="116" t="s">
        <v>83</v>
      </c>
      <c r="Q1059" s="116" t="s">
        <v>83</v>
      </c>
      <c r="R1059" s="119">
        <v>0</v>
      </c>
      <c r="S1059" s="119">
        <v>2.4390243902439001E-2</v>
      </c>
      <c r="T1059" s="119">
        <v>7.7669902912621394E-2</v>
      </c>
      <c r="U1059" s="119">
        <v>2.7522935779816501E-2</v>
      </c>
      <c r="V1059" s="119">
        <v>1.7543859649122799E-2</v>
      </c>
      <c r="W1059" s="6">
        <v>772</v>
      </c>
      <c r="X1059" s="40">
        <f t="shared" si="74"/>
        <v>426</v>
      </c>
      <c r="Y1059" s="40">
        <f t="shared" si="75"/>
        <v>426</v>
      </c>
      <c r="Z1059" s="59">
        <v>0.50129999999999997</v>
      </c>
      <c r="AA1059" s="59">
        <v>0.49869999999999998</v>
      </c>
      <c r="AB1059" s="61">
        <v>3.8860103626943004E-3</v>
      </c>
      <c r="AC1059" s="61">
        <v>0</v>
      </c>
      <c r="AD1059" s="61">
        <v>0.13860103626943004</v>
      </c>
      <c r="AE1059" s="61">
        <v>9.0673575129533671E-3</v>
      </c>
      <c r="AF1059" s="61">
        <v>0</v>
      </c>
      <c r="AG1059" s="61">
        <v>0.83160621761658027</v>
      </c>
      <c r="AH1059" s="61">
        <v>1.683937823834197E-2</v>
      </c>
      <c r="AI1059" s="61">
        <v>0.16839378238341968</v>
      </c>
      <c r="AJ1059" s="59">
        <v>0.64119999999999999</v>
      </c>
      <c r="AK1059" s="59">
        <v>0</v>
      </c>
      <c r="AL1059" s="3">
        <v>0</v>
      </c>
      <c r="AM1059" s="3">
        <v>0</v>
      </c>
      <c r="AN1059" s="3">
        <v>5</v>
      </c>
      <c r="AO1059" s="3">
        <v>112</v>
      </c>
      <c r="AP1059" s="3">
        <v>95</v>
      </c>
      <c r="AQ1059" s="3">
        <v>101</v>
      </c>
      <c r="AR1059" s="3">
        <v>113</v>
      </c>
      <c r="AS1059" s="59">
        <v>4.2735042735042736E-2</v>
      </c>
      <c r="AT1059" s="3">
        <v>9</v>
      </c>
      <c r="AU1059" s="3">
        <v>6</v>
      </c>
      <c r="AV1059" s="49">
        <v>58.015267175572504</v>
      </c>
      <c r="AW1059" s="49">
        <v>33.206106870229</v>
      </c>
      <c r="AX1059" s="49">
        <v>6.4885496183206106</v>
      </c>
      <c r="AY1059" s="67">
        <v>2.2900763358778602</v>
      </c>
      <c r="AZ1059" s="63">
        <v>0.13614457831325302</v>
      </c>
      <c r="BA1059" s="63">
        <v>0.1144578313253012</v>
      </c>
      <c r="BB1059" s="78">
        <v>92.425879291849597</v>
      </c>
      <c r="BC1059" s="49">
        <v>68.221941992433798</v>
      </c>
      <c r="BD1059" s="3"/>
      <c r="BE1059" s="3"/>
      <c r="BF1059" s="3"/>
      <c r="BG1059" s="3"/>
      <c r="BH1059" s="3"/>
      <c r="BI1059" s="3"/>
      <c r="BJ1059" s="88">
        <v>18.600000000000001</v>
      </c>
      <c r="BK1059" s="126">
        <v>9879</v>
      </c>
      <c r="BL1059" s="126">
        <v>46235</v>
      </c>
      <c r="BM1059" s="126">
        <v>45857</v>
      </c>
      <c r="BN1059" s="126">
        <v>38977</v>
      </c>
      <c r="BO1059" s="59">
        <v>0</v>
      </c>
      <c r="BP1059" s="63">
        <v>0.52359999999999995</v>
      </c>
      <c r="BQ1059" s="63">
        <v>6.0900000000000003E-2</v>
      </c>
      <c r="BR1059" s="63">
        <v>0</v>
      </c>
      <c r="BS1059" s="63">
        <v>0</v>
      </c>
      <c r="BT1059" s="87">
        <v>11.8</v>
      </c>
      <c r="BU1059" s="59">
        <f t="shared" si="76"/>
        <v>0.58449999999999991</v>
      </c>
      <c r="BV1059" s="59">
        <v>2.4400000000000002E-2</v>
      </c>
      <c r="BW1059" s="63">
        <v>0</v>
      </c>
      <c r="BX1059" s="63">
        <v>3.5799999999999998E-2</v>
      </c>
      <c r="BY1059" s="63">
        <v>1.2200000000000001E-2</v>
      </c>
      <c r="BZ1059" s="63">
        <v>0</v>
      </c>
      <c r="CA1059" s="87">
        <v>18.899999999999999</v>
      </c>
      <c r="CB1059" s="59">
        <f t="shared" si="77"/>
        <v>7.2400000000000006E-2</v>
      </c>
      <c r="CC1059" s="59">
        <v>0.29449999999999998</v>
      </c>
      <c r="CD1059" s="63">
        <v>0.56010000000000004</v>
      </c>
      <c r="CE1059" s="63">
        <v>0.13320000000000001</v>
      </c>
      <c r="CF1059" s="63">
        <v>1.2200000000000001E-2</v>
      </c>
      <c r="CG1059" s="63">
        <v>0</v>
      </c>
      <c r="CH1059" s="87">
        <v>13</v>
      </c>
      <c r="CI1059" s="26" t="s">
        <v>197</v>
      </c>
      <c r="CJ1059" s="18" t="s">
        <v>505</v>
      </c>
      <c r="CK1059" s="20"/>
    </row>
    <row r="1060" spans="1:89" x14ac:dyDescent="0.25">
      <c r="A1060" s="18" t="s">
        <v>505</v>
      </c>
      <c r="B1060" s="19" t="s">
        <v>194</v>
      </c>
      <c r="C1060" s="26" t="s">
        <v>198</v>
      </c>
      <c r="D1060" s="6">
        <v>19</v>
      </c>
      <c r="E1060" s="6">
        <v>3</v>
      </c>
      <c r="F1060" s="6">
        <v>16</v>
      </c>
      <c r="N1060" s="119">
        <v>2.8358208955223899E-2</v>
      </c>
      <c r="O1060" s="119">
        <v>3.54767184035477E-2</v>
      </c>
      <c r="P1060" s="119">
        <v>9.0909090909090905E-3</v>
      </c>
      <c r="Q1060" s="119">
        <v>1.8348623853211E-2</v>
      </c>
      <c r="R1060" s="119">
        <v>0</v>
      </c>
      <c r="S1060" s="119">
        <v>2.2388059701492501E-2</v>
      </c>
      <c r="T1060" s="119">
        <v>5.21739130434783E-2</v>
      </c>
      <c r="U1060" s="119">
        <v>1.94174757281553E-2</v>
      </c>
      <c r="V1060" s="119">
        <v>5.10204081632653E-2</v>
      </c>
      <c r="W1060" s="6">
        <v>806</v>
      </c>
      <c r="X1060" s="40">
        <f t="shared" si="74"/>
        <v>425</v>
      </c>
      <c r="Y1060" s="40">
        <f t="shared" si="75"/>
        <v>618</v>
      </c>
      <c r="Z1060" s="59">
        <v>0.48509999999999998</v>
      </c>
      <c r="AA1060" s="59">
        <v>0.51490000000000002</v>
      </c>
      <c r="AB1060" s="61">
        <v>1.2406947890818859E-3</v>
      </c>
      <c r="AC1060" s="61">
        <v>1.3647642679900745E-2</v>
      </c>
      <c r="AD1060" s="61">
        <v>0.67245657568238215</v>
      </c>
      <c r="AE1060" s="61">
        <v>9.9255583126550868E-3</v>
      </c>
      <c r="AF1060" s="61">
        <v>0</v>
      </c>
      <c r="AG1060" s="61">
        <v>0.29032258064516131</v>
      </c>
      <c r="AH1060" s="61">
        <v>1.2406947890818859E-2</v>
      </c>
      <c r="AI1060" s="61">
        <v>0.70967741935483875</v>
      </c>
      <c r="AJ1060" s="59">
        <v>0.83750000000000002</v>
      </c>
      <c r="AK1060" s="59">
        <v>0</v>
      </c>
      <c r="AL1060" s="3">
        <v>93</v>
      </c>
      <c r="AM1060" s="3">
        <v>100</v>
      </c>
      <c r="AN1060" s="3">
        <v>1</v>
      </c>
      <c r="AO1060" s="3">
        <v>125</v>
      </c>
      <c r="AP1060" s="3">
        <v>108</v>
      </c>
      <c r="AQ1060" s="3">
        <v>97</v>
      </c>
      <c r="AR1060" s="3">
        <v>94</v>
      </c>
      <c r="AS1060" s="59">
        <v>7.9365079365079361E-3</v>
      </c>
      <c r="AT1060" s="3">
        <v>5</v>
      </c>
      <c r="AU1060" s="3">
        <v>6</v>
      </c>
      <c r="AV1060" s="49">
        <v>56.779661016949198</v>
      </c>
      <c r="AW1060" s="49">
        <v>34.463276836158201</v>
      </c>
      <c r="AX1060" s="49">
        <v>7.6271186440678003</v>
      </c>
      <c r="AY1060" s="67">
        <v>1.1299435028248599</v>
      </c>
      <c r="AZ1060" s="63">
        <v>0.25437572928821472</v>
      </c>
      <c r="BA1060" s="63">
        <v>0.24504084014002334</v>
      </c>
      <c r="BB1060" s="77">
        <v>91.738942697825394</v>
      </c>
      <c r="BC1060" s="49">
        <v>69.976905311778296</v>
      </c>
      <c r="BD1060" s="3"/>
      <c r="BE1060" s="3"/>
      <c r="BF1060" s="3"/>
      <c r="BG1060" s="3"/>
      <c r="BH1060" s="3"/>
      <c r="BI1060" s="3"/>
      <c r="BJ1060" s="88">
        <v>17.5</v>
      </c>
      <c r="BK1060" s="126">
        <v>9596</v>
      </c>
      <c r="BL1060" s="126">
        <v>45952</v>
      </c>
      <c r="BM1060" s="126">
        <v>44615</v>
      </c>
      <c r="BN1060" s="126">
        <v>37170</v>
      </c>
      <c r="BO1060" s="59">
        <v>0</v>
      </c>
      <c r="BP1060" s="63">
        <v>0.43830000000000002</v>
      </c>
      <c r="BQ1060" s="63">
        <v>0.1144</v>
      </c>
      <c r="BR1060" s="63">
        <v>0</v>
      </c>
      <c r="BS1060" s="63">
        <v>1.21E-2</v>
      </c>
      <c r="BT1060" s="87">
        <v>12.4</v>
      </c>
      <c r="BU1060" s="59">
        <f t="shared" si="76"/>
        <v>0.56479999999999997</v>
      </c>
      <c r="BV1060" s="59">
        <v>2.1600000000000001E-2</v>
      </c>
      <c r="BW1060" s="63">
        <v>0</v>
      </c>
      <c r="BX1060" s="63">
        <v>3.6200000000000003E-2</v>
      </c>
      <c r="BY1060" s="63">
        <v>0</v>
      </c>
      <c r="BZ1060" s="63">
        <v>0</v>
      </c>
      <c r="CA1060" s="87">
        <v>10.9</v>
      </c>
      <c r="CB1060" s="59">
        <f t="shared" si="77"/>
        <v>5.7800000000000004E-2</v>
      </c>
      <c r="CC1060" s="59">
        <v>0.32679999999999998</v>
      </c>
      <c r="CD1060" s="63">
        <v>0.49859999999999999</v>
      </c>
      <c r="CE1060" s="63">
        <v>0.16259999999999999</v>
      </c>
      <c r="CF1060" s="63">
        <v>0</v>
      </c>
      <c r="CG1060" s="63">
        <v>1.21E-2</v>
      </c>
      <c r="CH1060" s="88">
        <v>12.6</v>
      </c>
      <c r="CI1060" s="26" t="s">
        <v>198</v>
      </c>
      <c r="CJ1060" s="18" t="s">
        <v>505</v>
      </c>
      <c r="CK1060" s="20"/>
    </row>
    <row r="1061" spans="1:89" x14ac:dyDescent="0.25">
      <c r="A1061" s="18" t="s">
        <v>505</v>
      </c>
      <c r="B1061" s="19" t="s">
        <v>199</v>
      </c>
      <c r="C1061" s="26" t="s">
        <v>200</v>
      </c>
      <c r="D1061" s="6">
        <v>7</v>
      </c>
      <c r="E1061" s="40" t="s">
        <v>83</v>
      </c>
      <c r="F1061" s="6">
        <v>7</v>
      </c>
      <c r="N1061" s="119">
        <v>8.2449941107184902E-3</v>
      </c>
      <c r="O1061" s="119">
        <v>8.2449941107184902E-3</v>
      </c>
      <c r="P1061" s="116" t="s">
        <v>83</v>
      </c>
      <c r="Q1061" s="116" t="s">
        <v>83</v>
      </c>
      <c r="R1061" s="116" t="s">
        <v>83</v>
      </c>
      <c r="S1061" s="119">
        <v>2.3715415019762799E-2</v>
      </c>
      <c r="T1061" s="119">
        <v>4.29184549356223E-3</v>
      </c>
      <c r="U1061" s="119">
        <v>0</v>
      </c>
      <c r="V1061" s="119">
        <v>0</v>
      </c>
      <c r="W1061" s="6">
        <v>796</v>
      </c>
      <c r="X1061" s="40">
        <f t="shared" si="74"/>
        <v>796</v>
      </c>
      <c r="Y1061" s="40">
        <f t="shared" si="75"/>
        <v>796</v>
      </c>
      <c r="Z1061" s="59">
        <v>0.51880000000000004</v>
      </c>
      <c r="AA1061" s="59">
        <v>0.48120000000000002</v>
      </c>
      <c r="AB1061" s="61">
        <v>0</v>
      </c>
      <c r="AC1061" s="61">
        <v>3.7688442211055275E-3</v>
      </c>
      <c r="AD1061" s="61">
        <v>0.52010050251256279</v>
      </c>
      <c r="AE1061" s="61">
        <v>7.537688442211055E-3</v>
      </c>
      <c r="AF1061" s="61">
        <v>0</v>
      </c>
      <c r="AG1061" s="61">
        <v>0.45603015075376885</v>
      </c>
      <c r="AH1061" s="61">
        <v>1.2562814070351759E-2</v>
      </c>
      <c r="AI1061" s="61">
        <v>0.54396984924623115</v>
      </c>
      <c r="AJ1061" s="59">
        <v>0.79149999999999998</v>
      </c>
      <c r="AK1061" s="59">
        <v>1.2999999999999999E-3</v>
      </c>
      <c r="AL1061" s="3">
        <v>0</v>
      </c>
      <c r="AM1061" s="3">
        <v>0</v>
      </c>
      <c r="AN1061" s="3">
        <v>0</v>
      </c>
      <c r="AO1061" s="3">
        <v>232</v>
      </c>
      <c r="AP1061" s="3">
        <v>221</v>
      </c>
      <c r="AQ1061" s="3">
        <v>182</v>
      </c>
      <c r="AR1061" s="3">
        <v>161</v>
      </c>
      <c r="AS1061" s="59">
        <v>0</v>
      </c>
      <c r="AT1061" s="3">
        <v>9</v>
      </c>
      <c r="AU1061" s="3">
        <v>6</v>
      </c>
      <c r="AV1061" s="49">
        <v>65.322580645161295</v>
      </c>
      <c r="AW1061" s="49">
        <v>26.881720430107496</v>
      </c>
      <c r="AX1061" s="49">
        <v>7.5268817204301106</v>
      </c>
      <c r="AY1061" s="67">
        <v>0.26881720430107497</v>
      </c>
      <c r="AZ1061" s="63">
        <v>0.1990521327014218</v>
      </c>
      <c r="BA1061" s="63">
        <v>4.9763033175355451E-2</v>
      </c>
      <c r="BB1061" s="78">
        <v>87.3957552473763</v>
      </c>
      <c r="BC1061" s="49">
        <v>90.200708382526599</v>
      </c>
      <c r="BD1061" s="3"/>
      <c r="BE1061" s="3"/>
      <c r="BF1061" s="3"/>
      <c r="BG1061" s="3"/>
      <c r="BH1061" s="3"/>
      <c r="BI1061" s="3"/>
      <c r="BJ1061" s="88">
        <v>17.7</v>
      </c>
      <c r="BK1061" s="126">
        <v>10669</v>
      </c>
      <c r="BL1061" s="126">
        <v>43973</v>
      </c>
      <c r="BM1061" s="126">
        <v>61949</v>
      </c>
      <c r="BN1061" s="126">
        <v>38284</v>
      </c>
      <c r="BO1061" s="59">
        <v>2.0999999999999999E-3</v>
      </c>
      <c r="BP1061" s="63">
        <v>0.37530000000000002</v>
      </c>
      <c r="BQ1061" s="63">
        <v>0.22020000000000001</v>
      </c>
      <c r="BR1061" s="63">
        <v>0</v>
      </c>
      <c r="BS1061" s="63">
        <v>0</v>
      </c>
      <c r="BT1061" s="87">
        <v>12.4</v>
      </c>
      <c r="BU1061" s="59">
        <f t="shared" si="76"/>
        <v>0.59760000000000002</v>
      </c>
      <c r="BV1061" s="59">
        <v>2.0799999999999999E-2</v>
      </c>
      <c r="BW1061" s="63">
        <v>1.04E-2</v>
      </c>
      <c r="BX1061" s="63">
        <v>3.2500000000000001E-2</v>
      </c>
      <c r="BY1061" s="63">
        <v>0</v>
      </c>
      <c r="BZ1061" s="63">
        <v>0</v>
      </c>
      <c r="CA1061" s="87">
        <v>22.1</v>
      </c>
      <c r="CB1061" s="59">
        <f t="shared" si="77"/>
        <v>6.3700000000000007E-2</v>
      </c>
      <c r="CC1061" s="59">
        <v>0.2868</v>
      </c>
      <c r="CD1061" s="63">
        <v>0.40089999999999998</v>
      </c>
      <c r="CE1061" s="63">
        <v>0.30790000000000001</v>
      </c>
      <c r="CF1061" s="63">
        <v>4.4000000000000003E-3</v>
      </c>
      <c r="CG1061" s="63">
        <v>0</v>
      </c>
      <c r="CH1061" s="88">
        <v>14.1</v>
      </c>
      <c r="CI1061" s="26" t="s">
        <v>200</v>
      </c>
      <c r="CJ1061" s="18" t="s">
        <v>505</v>
      </c>
      <c r="CK1061" s="20"/>
    </row>
    <row r="1062" spans="1:89" x14ac:dyDescent="0.25">
      <c r="A1062" s="18" t="s">
        <v>505</v>
      </c>
      <c r="B1062" s="19" t="s">
        <v>201</v>
      </c>
      <c r="C1062" s="26" t="s">
        <v>202</v>
      </c>
      <c r="D1062" s="6">
        <v>0</v>
      </c>
      <c r="E1062" s="6">
        <v>0</v>
      </c>
      <c r="F1062" s="6">
        <v>0</v>
      </c>
      <c r="N1062" s="119">
        <v>0</v>
      </c>
      <c r="O1062" s="119">
        <v>0</v>
      </c>
      <c r="P1062" s="119">
        <v>0</v>
      </c>
      <c r="Q1062" s="119">
        <v>0</v>
      </c>
      <c r="R1062" s="119">
        <v>0</v>
      </c>
      <c r="S1062" s="119">
        <v>0</v>
      </c>
      <c r="T1062" s="119">
        <v>0</v>
      </c>
      <c r="U1062" s="119">
        <v>0</v>
      </c>
      <c r="V1062" s="119">
        <v>0</v>
      </c>
      <c r="W1062" s="6">
        <v>237</v>
      </c>
      <c r="X1062" s="40">
        <f t="shared" si="74"/>
        <v>82</v>
      </c>
      <c r="Y1062" s="40">
        <f t="shared" si="75"/>
        <v>127</v>
      </c>
      <c r="Z1062" s="59">
        <v>0.49370000000000003</v>
      </c>
      <c r="AA1062" s="59">
        <v>0.50629999999999997</v>
      </c>
      <c r="AB1062" s="61">
        <v>1.2658227848101266E-2</v>
      </c>
      <c r="AC1062" s="61">
        <v>0</v>
      </c>
      <c r="AD1062" s="61">
        <v>0</v>
      </c>
      <c r="AE1062" s="61">
        <v>4.2194092827004216E-3</v>
      </c>
      <c r="AF1062" s="61">
        <v>0</v>
      </c>
      <c r="AG1062" s="61">
        <v>0.97468354430379744</v>
      </c>
      <c r="AH1062" s="61">
        <v>8.4388185654008432E-3</v>
      </c>
      <c r="AI1062" s="61">
        <v>2.5316455696202531E-2</v>
      </c>
      <c r="AJ1062" s="59">
        <v>0.66669999999999996</v>
      </c>
      <c r="AK1062" s="59">
        <v>0</v>
      </c>
      <c r="AL1062" s="3">
        <v>22</v>
      </c>
      <c r="AM1062" s="3">
        <v>23</v>
      </c>
      <c r="AN1062" s="3">
        <v>1</v>
      </c>
      <c r="AO1062" s="3">
        <v>20</v>
      </c>
      <c r="AP1062" s="3">
        <v>22</v>
      </c>
      <c r="AQ1062" s="3">
        <v>19</v>
      </c>
      <c r="AR1062" s="3">
        <v>20</v>
      </c>
      <c r="AS1062" s="59">
        <v>4.7619047619047616E-2</v>
      </c>
      <c r="AT1062" s="3">
        <v>1</v>
      </c>
      <c r="AU1062" s="3">
        <v>6</v>
      </c>
      <c r="AV1062" s="49">
        <v>80.314960629921302</v>
      </c>
      <c r="AW1062" s="49">
        <v>18.8976377952756</v>
      </c>
      <c r="AX1062" s="49">
        <v>0.78740157480314998</v>
      </c>
      <c r="AY1062" s="67">
        <v>0</v>
      </c>
      <c r="AZ1062" s="63">
        <v>3.7735849056603774E-3</v>
      </c>
      <c r="BA1062" s="63">
        <v>4.1509433962264149E-2</v>
      </c>
      <c r="BB1062" s="77">
        <v>93.052069094072294</v>
      </c>
      <c r="BC1062" s="49">
        <v>60.526315789473699</v>
      </c>
      <c r="BD1062" s="3"/>
      <c r="BE1062" s="3"/>
      <c r="BF1062" s="3"/>
      <c r="BG1062" s="3"/>
      <c r="BH1062" s="3"/>
      <c r="BI1062" s="3"/>
      <c r="BJ1062" s="88">
        <v>18.7</v>
      </c>
      <c r="BK1062" s="126">
        <v>10366</v>
      </c>
      <c r="BL1062" s="126">
        <v>43922</v>
      </c>
      <c r="BM1062" s="126">
        <v>44173</v>
      </c>
      <c r="BN1062" s="126">
        <v>36450</v>
      </c>
      <c r="BO1062" s="59">
        <v>0</v>
      </c>
      <c r="BP1062" s="63">
        <v>0.46129999999999999</v>
      </c>
      <c r="BQ1062" s="63">
        <v>6.3600000000000004E-2</v>
      </c>
      <c r="BR1062" s="63">
        <v>0</v>
      </c>
      <c r="BS1062" s="63">
        <v>3.1899999999999998E-2</v>
      </c>
      <c r="BT1062" s="87">
        <v>10.7</v>
      </c>
      <c r="BU1062" s="59">
        <f t="shared" si="76"/>
        <v>0.55680000000000007</v>
      </c>
      <c r="BV1062" s="59">
        <v>3.1899999999999998E-2</v>
      </c>
      <c r="BW1062" s="63">
        <v>0</v>
      </c>
      <c r="BX1062" s="63">
        <v>4.7899999999999998E-2</v>
      </c>
      <c r="BY1062" s="63">
        <v>0</v>
      </c>
      <c r="BZ1062" s="63">
        <v>0</v>
      </c>
      <c r="CA1062" s="87">
        <v>23.2</v>
      </c>
      <c r="CB1062" s="59">
        <f t="shared" si="77"/>
        <v>7.9799999999999996E-2</v>
      </c>
      <c r="CC1062" s="59">
        <v>0.313</v>
      </c>
      <c r="CD1062" s="63">
        <v>0.46949999999999997</v>
      </c>
      <c r="CE1062" s="63">
        <v>0.18559999999999999</v>
      </c>
      <c r="CF1062" s="63">
        <v>0</v>
      </c>
      <c r="CG1062" s="63">
        <v>3.1899999999999998E-2</v>
      </c>
      <c r="CH1062" s="88">
        <v>10.9</v>
      </c>
      <c r="CI1062" s="26" t="s">
        <v>202</v>
      </c>
      <c r="CJ1062" s="18" t="s">
        <v>505</v>
      </c>
      <c r="CK1062" s="20"/>
    </row>
    <row r="1063" spans="1:89" x14ac:dyDescent="0.25">
      <c r="A1063" s="18" t="s">
        <v>505</v>
      </c>
      <c r="B1063" s="19" t="s">
        <v>201</v>
      </c>
      <c r="C1063" s="26" t="s">
        <v>203</v>
      </c>
      <c r="D1063" s="6">
        <v>3</v>
      </c>
      <c r="E1063" s="40" t="s">
        <v>83</v>
      </c>
      <c r="F1063" s="6">
        <v>3</v>
      </c>
      <c r="N1063" s="119">
        <v>4.0540540540540499E-3</v>
      </c>
      <c r="O1063" s="119">
        <v>4.0540540540540499E-3</v>
      </c>
      <c r="P1063" s="116" t="s">
        <v>83</v>
      </c>
      <c r="Q1063" s="116" t="s">
        <v>83</v>
      </c>
      <c r="R1063" s="119">
        <v>0</v>
      </c>
      <c r="S1063" s="119">
        <v>5.1813471502590702E-3</v>
      </c>
      <c r="T1063" s="119">
        <v>5.7142857142857099E-3</v>
      </c>
      <c r="U1063" s="119">
        <v>6.0606060606060597E-3</v>
      </c>
      <c r="V1063" s="119">
        <v>0</v>
      </c>
      <c r="W1063" s="6">
        <v>661</v>
      </c>
      <c r="X1063" s="40">
        <f t="shared" si="74"/>
        <v>661</v>
      </c>
      <c r="Y1063" s="40">
        <f t="shared" si="75"/>
        <v>661</v>
      </c>
      <c r="Z1063" s="59">
        <v>0.47960000000000003</v>
      </c>
      <c r="AA1063" s="59">
        <v>0.52039999999999997</v>
      </c>
      <c r="AB1063" s="61">
        <v>4.5385779122541605E-3</v>
      </c>
      <c r="AC1063" s="61">
        <v>6.0514372163388806E-3</v>
      </c>
      <c r="AD1063" s="61">
        <v>0.1043872919818457</v>
      </c>
      <c r="AE1063" s="61">
        <v>1.2102874432677761E-2</v>
      </c>
      <c r="AF1063" s="61">
        <v>0</v>
      </c>
      <c r="AG1063" s="61">
        <v>0.86686838124054466</v>
      </c>
      <c r="AH1063" s="61">
        <v>6.0514372163388806E-3</v>
      </c>
      <c r="AI1063" s="61">
        <v>0.13313161875945537</v>
      </c>
      <c r="AJ1063" s="59">
        <v>0.67169999999999996</v>
      </c>
      <c r="AK1063" s="59">
        <v>0</v>
      </c>
      <c r="AL1063" s="3">
        <v>0</v>
      </c>
      <c r="AM1063" s="3">
        <v>0</v>
      </c>
      <c r="AN1063" s="3">
        <v>32</v>
      </c>
      <c r="AO1063" s="3">
        <v>166</v>
      </c>
      <c r="AP1063" s="3">
        <v>152</v>
      </c>
      <c r="AQ1063" s="3">
        <v>169</v>
      </c>
      <c r="AR1063" s="3">
        <v>142</v>
      </c>
      <c r="AS1063" s="59">
        <v>0.16161616161616163</v>
      </c>
      <c r="AT1063" s="3">
        <v>9</v>
      </c>
      <c r="AU1063" s="3">
        <v>6</v>
      </c>
      <c r="AV1063" s="49">
        <v>80.237154150197597</v>
      </c>
      <c r="AW1063" s="49">
        <v>12.450592885375499</v>
      </c>
      <c r="AX1063" s="49">
        <v>7.11462450592885</v>
      </c>
      <c r="AY1063" s="67">
        <v>0.19762845849802402</v>
      </c>
      <c r="AZ1063" s="63">
        <v>0.14749661705006767</v>
      </c>
      <c r="BA1063" s="63">
        <v>8.2543978349120431E-2</v>
      </c>
      <c r="BB1063" s="78">
        <v>91.363850873053295</v>
      </c>
      <c r="BC1063" s="49">
        <v>54.812834224598902</v>
      </c>
      <c r="BD1063" s="3"/>
      <c r="BE1063" s="3"/>
      <c r="BF1063" s="3"/>
      <c r="BG1063" s="3"/>
      <c r="BH1063" s="3"/>
      <c r="BI1063" s="3"/>
      <c r="BJ1063" s="88">
        <v>19.399999999999999</v>
      </c>
      <c r="BK1063" s="126">
        <v>10714</v>
      </c>
      <c r="BL1063" s="126">
        <v>41145</v>
      </c>
      <c r="BM1063" s="126">
        <v>41887</v>
      </c>
      <c r="BN1063" s="126">
        <v>34487</v>
      </c>
      <c r="BO1063" s="59">
        <v>1.2E-2</v>
      </c>
      <c r="BP1063" s="63">
        <v>0.43269999999999997</v>
      </c>
      <c r="BQ1063" s="63">
        <v>0.11550000000000001</v>
      </c>
      <c r="BR1063" s="63">
        <v>0</v>
      </c>
      <c r="BS1063" s="63">
        <v>1.2E-2</v>
      </c>
      <c r="BT1063" s="87">
        <v>8.6</v>
      </c>
      <c r="BU1063" s="59">
        <f t="shared" si="76"/>
        <v>0.57220000000000004</v>
      </c>
      <c r="BV1063" s="59">
        <v>2.29E-2</v>
      </c>
      <c r="BW1063" s="63">
        <v>0</v>
      </c>
      <c r="BX1063" s="63">
        <v>3.0300000000000001E-2</v>
      </c>
      <c r="BY1063" s="63">
        <v>0</v>
      </c>
      <c r="BZ1063" s="63">
        <v>0</v>
      </c>
      <c r="CA1063" s="87">
        <v>12.4</v>
      </c>
      <c r="CB1063" s="59">
        <f t="shared" si="77"/>
        <v>5.3199999999999997E-2</v>
      </c>
      <c r="CC1063" s="59">
        <v>0.35270000000000001</v>
      </c>
      <c r="CD1063" s="63">
        <v>0.44779999999999998</v>
      </c>
      <c r="CE1063" s="63">
        <v>0.1875</v>
      </c>
      <c r="CF1063" s="63">
        <v>0</v>
      </c>
      <c r="CG1063" s="63">
        <v>1.2E-2</v>
      </c>
      <c r="CH1063" s="88">
        <v>10.3</v>
      </c>
      <c r="CI1063" s="26" t="s">
        <v>203</v>
      </c>
      <c r="CJ1063" s="18" t="s">
        <v>505</v>
      </c>
      <c r="CK1063" s="20"/>
    </row>
    <row r="1064" spans="1:89" x14ac:dyDescent="0.25">
      <c r="A1064" s="18" t="s">
        <v>505</v>
      </c>
      <c r="B1064" s="19" t="s">
        <v>201</v>
      </c>
      <c r="C1064" s="26" t="s">
        <v>204</v>
      </c>
      <c r="D1064" s="6">
        <v>0</v>
      </c>
      <c r="E1064" s="6">
        <v>0</v>
      </c>
      <c r="F1064" s="6">
        <v>0</v>
      </c>
      <c r="N1064" s="119">
        <v>0</v>
      </c>
      <c r="O1064" s="119">
        <v>0</v>
      </c>
      <c r="P1064" s="119">
        <v>0</v>
      </c>
      <c r="Q1064" s="119">
        <v>0</v>
      </c>
      <c r="R1064" s="116" t="s">
        <v>83</v>
      </c>
      <c r="S1064" s="119">
        <v>0</v>
      </c>
      <c r="T1064" s="119">
        <v>0</v>
      </c>
      <c r="U1064" s="119">
        <v>0</v>
      </c>
      <c r="V1064" s="119">
        <v>0</v>
      </c>
      <c r="W1064" s="6">
        <v>189</v>
      </c>
      <c r="X1064" s="40">
        <f t="shared" si="74"/>
        <v>131</v>
      </c>
      <c r="Y1064" s="40">
        <f t="shared" si="75"/>
        <v>189</v>
      </c>
      <c r="Z1064" s="59">
        <v>0.39150000000000001</v>
      </c>
      <c r="AA1064" s="59">
        <v>0.60850000000000004</v>
      </c>
      <c r="AB1064" s="61">
        <v>5.2910052910052907E-3</v>
      </c>
      <c r="AC1064" s="61">
        <v>2.1164021164021163E-2</v>
      </c>
      <c r="AD1064" s="61">
        <v>0.1164021164021164</v>
      </c>
      <c r="AE1064" s="61">
        <v>1.0582010582010581E-2</v>
      </c>
      <c r="AF1064" s="61">
        <v>5.2910052910052907E-3</v>
      </c>
      <c r="AG1064" s="61">
        <v>0.83597883597883593</v>
      </c>
      <c r="AH1064" s="61">
        <v>5.2910052910052907E-3</v>
      </c>
      <c r="AI1064" s="61">
        <v>0.16402116402116401</v>
      </c>
      <c r="AJ1064" s="59">
        <v>0.69840000000000002</v>
      </c>
      <c r="AK1064" s="59">
        <v>0</v>
      </c>
      <c r="AL1064" s="3">
        <v>32</v>
      </c>
      <c r="AM1064" s="3">
        <v>26</v>
      </c>
      <c r="AN1064" s="3">
        <v>0</v>
      </c>
      <c r="AO1064" s="3">
        <v>39</v>
      </c>
      <c r="AP1064" s="3">
        <v>27</v>
      </c>
      <c r="AQ1064" s="3">
        <v>41</v>
      </c>
      <c r="AR1064" s="3">
        <v>24</v>
      </c>
      <c r="AS1064" s="59">
        <v>0</v>
      </c>
      <c r="AT1064" s="3">
        <v>7</v>
      </c>
      <c r="AU1064" s="3">
        <v>6</v>
      </c>
      <c r="AV1064" s="49">
        <v>87.012987012986997</v>
      </c>
      <c r="AW1064" s="49">
        <v>12.3376623376623</v>
      </c>
      <c r="AX1064" s="49">
        <v>0.64935064935064901</v>
      </c>
      <c r="AY1064" s="67">
        <v>0</v>
      </c>
      <c r="AZ1064" s="63">
        <v>0</v>
      </c>
      <c r="BA1064" s="63">
        <v>0.1380952380952381</v>
      </c>
      <c r="BB1064" s="77">
        <v>93.678705670861206</v>
      </c>
      <c r="BC1064" s="49">
        <v>44.339622641509401</v>
      </c>
      <c r="BD1064" s="3"/>
      <c r="BE1064" s="3"/>
      <c r="BF1064" s="3"/>
      <c r="BG1064" s="3"/>
      <c r="BH1064" s="3"/>
      <c r="BI1064" s="3"/>
      <c r="BJ1064" s="88">
        <v>18.399999999999999</v>
      </c>
      <c r="BK1064" s="126">
        <v>12865</v>
      </c>
      <c r="BL1064" s="126">
        <v>47103</v>
      </c>
      <c r="BM1064" s="126">
        <v>40116</v>
      </c>
      <c r="BN1064" s="126">
        <v>36777</v>
      </c>
      <c r="BO1064" s="59">
        <v>3.2300000000000002E-2</v>
      </c>
      <c r="BP1064" s="63">
        <v>0.39789999999999998</v>
      </c>
      <c r="BQ1064" s="63">
        <v>9.4899999999999998E-2</v>
      </c>
      <c r="BR1064" s="63">
        <v>0</v>
      </c>
      <c r="BS1064" s="63">
        <v>0</v>
      </c>
      <c r="BT1064" s="87">
        <v>14.8</v>
      </c>
      <c r="BU1064" s="59">
        <f t="shared" si="76"/>
        <v>0.52510000000000001</v>
      </c>
      <c r="BV1064" s="59">
        <v>3.2300000000000002E-2</v>
      </c>
      <c r="BW1064" s="63">
        <v>0</v>
      </c>
      <c r="BX1064" s="63">
        <v>4.82E-2</v>
      </c>
      <c r="BY1064" s="63">
        <v>0</v>
      </c>
      <c r="BZ1064" s="63">
        <v>0</v>
      </c>
      <c r="CA1064" s="87">
        <v>10.4</v>
      </c>
      <c r="CB1064" s="59">
        <f t="shared" si="77"/>
        <v>8.0500000000000002E-2</v>
      </c>
      <c r="CC1064" s="59">
        <v>0.40889999999999999</v>
      </c>
      <c r="CD1064" s="63">
        <v>0.4133</v>
      </c>
      <c r="CE1064" s="63">
        <v>0.17780000000000001</v>
      </c>
      <c r="CF1064" s="63">
        <v>0</v>
      </c>
      <c r="CG1064" s="63">
        <v>0</v>
      </c>
      <c r="CH1064" s="88">
        <v>12.4</v>
      </c>
      <c r="CI1064" s="26" t="s">
        <v>204</v>
      </c>
      <c r="CJ1064" s="18" t="s">
        <v>505</v>
      </c>
      <c r="CK1064" s="20"/>
    </row>
    <row r="1065" spans="1:89" x14ac:dyDescent="0.25">
      <c r="A1065" s="18" t="s">
        <v>505</v>
      </c>
      <c r="B1065" s="19" t="s">
        <v>205</v>
      </c>
      <c r="C1065" s="26" t="s">
        <v>206</v>
      </c>
      <c r="D1065" s="6">
        <v>1</v>
      </c>
      <c r="E1065" s="6">
        <v>0</v>
      </c>
      <c r="F1065" s="6">
        <v>1</v>
      </c>
      <c r="N1065" s="119">
        <v>1.9193857965451101E-3</v>
      </c>
      <c r="O1065" s="119">
        <v>3.07692307692308E-3</v>
      </c>
      <c r="P1065" s="119">
        <v>0</v>
      </c>
      <c r="Q1065" s="119">
        <v>0</v>
      </c>
      <c r="R1065" s="119">
        <v>0</v>
      </c>
      <c r="S1065" s="119">
        <v>0</v>
      </c>
      <c r="T1065" s="119">
        <v>0</v>
      </c>
      <c r="U1065" s="119">
        <v>0</v>
      </c>
      <c r="V1065" s="119">
        <v>1.4705882352941201E-2</v>
      </c>
      <c r="W1065" s="6">
        <v>572</v>
      </c>
      <c r="X1065" s="40">
        <f t="shared" si="74"/>
        <v>307</v>
      </c>
      <c r="Y1065" s="40">
        <f t="shared" si="75"/>
        <v>489</v>
      </c>
      <c r="Z1065" s="59">
        <v>0.48949999999999999</v>
      </c>
      <c r="AA1065" s="59">
        <v>0.51049999999999995</v>
      </c>
      <c r="AB1065" s="61">
        <v>1.7482517482517483E-3</v>
      </c>
      <c r="AC1065" s="61">
        <v>3.4965034965034965E-3</v>
      </c>
      <c r="AD1065" s="61">
        <v>9.6153846153846159E-2</v>
      </c>
      <c r="AE1065" s="61">
        <v>5.944055944055944E-2</v>
      </c>
      <c r="AF1065" s="61">
        <v>0</v>
      </c>
      <c r="AG1065" s="61">
        <v>0.82342657342657344</v>
      </c>
      <c r="AH1065" s="61">
        <v>1.5734265734265736E-2</v>
      </c>
      <c r="AI1065" s="61">
        <v>0.17657342657342656</v>
      </c>
      <c r="AJ1065" s="59">
        <v>0.6119</v>
      </c>
      <c r="AK1065" s="59">
        <v>1.7500000000000002E-2</v>
      </c>
      <c r="AL1065" s="3">
        <v>90</v>
      </c>
      <c r="AM1065" s="3">
        <v>92</v>
      </c>
      <c r="AN1065" s="3">
        <v>14</v>
      </c>
      <c r="AO1065" s="3">
        <v>82</v>
      </c>
      <c r="AP1065" s="3">
        <v>80</v>
      </c>
      <c r="AQ1065" s="3">
        <v>67</v>
      </c>
      <c r="AR1065" s="3">
        <v>64</v>
      </c>
      <c r="AS1065" s="59">
        <v>0.14583333333333334</v>
      </c>
      <c r="AT1065" s="3">
        <v>6</v>
      </c>
      <c r="AU1065" s="3">
        <v>6</v>
      </c>
      <c r="AV1065" s="49">
        <v>68.141592920354</v>
      </c>
      <c r="AW1065" s="49">
        <v>20.0589970501475</v>
      </c>
      <c r="AX1065" s="49">
        <v>11.5044247787611</v>
      </c>
      <c r="AY1065" s="67">
        <v>0.29498525073746301</v>
      </c>
      <c r="AZ1065" s="63">
        <v>0.27796052631578949</v>
      </c>
      <c r="BA1065" s="63">
        <v>6.5789473684210523E-3</v>
      </c>
      <c r="BB1065" s="78">
        <v>95.634739584917497</v>
      </c>
      <c r="BC1065" s="49">
        <v>31.107491856677498</v>
      </c>
      <c r="BD1065" s="3"/>
      <c r="BE1065" s="3"/>
      <c r="BF1065" s="3"/>
      <c r="BG1065" s="3"/>
      <c r="BH1065" s="3"/>
      <c r="BI1065" s="3"/>
      <c r="BJ1065" s="88">
        <v>19.5</v>
      </c>
      <c r="BK1065" s="126">
        <v>9289</v>
      </c>
      <c r="BL1065" s="126">
        <v>51013</v>
      </c>
      <c r="BM1065" s="126">
        <v>39584</v>
      </c>
      <c r="BN1065" s="126">
        <v>44530</v>
      </c>
      <c r="BO1065" s="59">
        <v>0</v>
      </c>
      <c r="BP1065" s="63">
        <v>0.51870000000000005</v>
      </c>
      <c r="BQ1065" s="63">
        <v>0.16439999999999999</v>
      </c>
      <c r="BR1065" s="63">
        <v>0</v>
      </c>
      <c r="BS1065" s="63">
        <v>0</v>
      </c>
      <c r="BT1065" s="87">
        <v>13.6</v>
      </c>
      <c r="BU1065" s="59">
        <f t="shared" si="76"/>
        <v>0.68310000000000004</v>
      </c>
      <c r="BV1065" s="59">
        <v>6.3100000000000003E-2</v>
      </c>
      <c r="BW1065" s="63">
        <v>0</v>
      </c>
      <c r="BX1065" s="63">
        <v>4.2099999999999999E-2</v>
      </c>
      <c r="BY1065" s="63">
        <v>0</v>
      </c>
      <c r="BZ1065" s="63">
        <v>0</v>
      </c>
      <c r="CA1065" s="87">
        <v>7.8</v>
      </c>
      <c r="CB1065" s="59">
        <f t="shared" si="77"/>
        <v>0.1052</v>
      </c>
      <c r="CC1065" s="59">
        <v>0.2278</v>
      </c>
      <c r="CD1065" s="63">
        <v>0.54269999999999996</v>
      </c>
      <c r="CE1065" s="63">
        <v>0.22939999999999999</v>
      </c>
      <c r="CF1065" s="63">
        <v>0</v>
      </c>
      <c r="CG1065" s="63">
        <v>0</v>
      </c>
      <c r="CH1065" s="88">
        <v>12.3</v>
      </c>
      <c r="CI1065" s="26" t="s">
        <v>206</v>
      </c>
      <c r="CJ1065" s="18" t="s">
        <v>505</v>
      </c>
      <c r="CK1065" s="20"/>
    </row>
    <row r="1066" spans="1:89" x14ac:dyDescent="0.25">
      <c r="A1066" s="18" t="s">
        <v>505</v>
      </c>
      <c r="B1066" s="19" t="s">
        <v>205</v>
      </c>
      <c r="C1066" s="26" t="s">
        <v>207</v>
      </c>
      <c r="D1066" s="6">
        <v>3</v>
      </c>
      <c r="E1066" s="6">
        <v>0</v>
      </c>
      <c r="F1066" s="6">
        <v>3</v>
      </c>
      <c r="N1066" s="119">
        <v>6.5075921908893698E-3</v>
      </c>
      <c r="O1066" s="119">
        <v>9.6153846153846194E-3</v>
      </c>
      <c r="P1066" s="119">
        <v>0</v>
      </c>
      <c r="Q1066" s="119">
        <v>0</v>
      </c>
      <c r="R1066" s="119">
        <v>0</v>
      </c>
      <c r="S1066" s="119">
        <v>0</v>
      </c>
      <c r="T1066" s="119">
        <v>0</v>
      </c>
      <c r="U1066" s="119">
        <v>3.7499999999999999E-2</v>
      </c>
      <c r="V1066" s="119">
        <v>0</v>
      </c>
      <c r="W1066" s="6">
        <v>421</v>
      </c>
      <c r="X1066" s="40">
        <f t="shared" si="74"/>
        <v>283</v>
      </c>
      <c r="Y1066" s="40">
        <f t="shared" si="75"/>
        <v>421</v>
      </c>
      <c r="Z1066" s="59">
        <v>0.50829999999999997</v>
      </c>
      <c r="AA1066" s="59">
        <v>0.49170000000000003</v>
      </c>
      <c r="AB1066" s="61">
        <v>0</v>
      </c>
      <c r="AC1066" s="61">
        <v>0</v>
      </c>
      <c r="AD1066" s="61">
        <v>0.85985748218527314</v>
      </c>
      <c r="AE1066" s="61">
        <v>1.4251781472684086E-2</v>
      </c>
      <c r="AF1066" s="61">
        <v>0</v>
      </c>
      <c r="AG1066" s="61">
        <v>0.12114014251781473</v>
      </c>
      <c r="AH1066" s="61">
        <v>4.7505938242280287E-3</v>
      </c>
      <c r="AI1066" s="61">
        <v>0.87885985748218531</v>
      </c>
      <c r="AJ1066" s="59">
        <v>0.88839999999999997</v>
      </c>
      <c r="AK1066" s="59">
        <v>1.1900000000000001E-2</v>
      </c>
      <c r="AL1066" s="3">
        <v>72</v>
      </c>
      <c r="AM1066" s="3">
        <v>66</v>
      </c>
      <c r="AN1066" s="3">
        <v>9</v>
      </c>
      <c r="AO1066" s="3">
        <v>61</v>
      </c>
      <c r="AP1066" s="3">
        <v>67</v>
      </c>
      <c r="AQ1066" s="3">
        <v>75</v>
      </c>
      <c r="AR1066" s="3">
        <v>71</v>
      </c>
      <c r="AS1066" s="59">
        <v>0.12857142857142856</v>
      </c>
      <c r="AT1066" s="3">
        <v>7</v>
      </c>
      <c r="AU1066" s="3">
        <v>6</v>
      </c>
      <c r="AV1066" s="49">
        <v>85</v>
      </c>
      <c r="AW1066" s="49">
        <v>14.0625</v>
      </c>
      <c r="AX1066" s="49">
        <v>0.9375</v>
      </c>
      <c r="AY1066" s="67">
        <v>0</v>
      </c>
      <c r="AZ1066" s="63">
        <v>0.31168831168831168</v>
      </c>
      <c r="BA1066" s="63">
        <v>4.1125541125541128E-2</v>
      </c>
      <c r="BB1066" s="77">
        <v>92.197938999930798</v>
      </c>
      <c r="BC1066" s="49">
        <v>58.583690987124498</v>
      </c>
      <c r="BD1066" s="3"/>
      <c r="BE1066" s="3"/>
      <c r="BF1066" s="3"/>
      <c r="BG1066" s="3"/>
      <c r="BH1066" s="3"/>
      <c r="BI1066" s="3"/>
      <c r="BJ1066" s="88">
        <v>16.100000000000001</v>
      </c>
      <c r="BK1066" s="126">
        <v>12726</v>
      </c>
      <c r="BL1066" s="126">
        <v>48619</v>
      </c>
      <c r="BM1066" s="126">
        <v>43126</v>
      </c>
      <c r="BN1066" s="126">
        <v>41963</v>
      </c>
      <c r="BO1066" s="59">
        <v>0</v>
      </c>
      <c r="BP1066" s="63">
        <v>0.43359999999999999</v>
      </c>
      <c r="BQ1066" s="63">
        <v>0.15659999999999999</v>
      </c>
      <c r="BR1066" s="63">
        <v>0</v>
      </c>
      <c r="BS1066" s="63">
        <v>0</v>
      </c>
      <c r="BT1066" s="87">
        <v>9.6</v>
      </c>
      <c r="BU1066" s="59">
        <f t="shared" si="76"/>
        <v>0.59019999999999995</v>
      </c>
      <c r="BV1066" s="59">
        <v>3.4799999999999998E-2</v>
      </c>
      <c r="BW1066" s="63">
        <v>0</v>
      </c>
      <c r="BX1066" s="63">
        <v>3.4799999999999998E-2</v>
      </c>
      <c r="BY1066" s="63">
        <v>0</v>
      </c>
      <c r="BZ1066" s="63">
        <v>0</v>
      </c>
      <c r="CA1066" s="87">
        <v>12.8</v>
      </c>
      <c r="CB1066" s="59">
        <f t="shared" si="77"/>
        <v>6.9599999999999995E-2</v>
      </c>
      <c r="CC1066" s="59">
        <v>0.25979999999999998</v>
      </c>
      <c r="CD1066" s="63">
        <v>0.47</v>
      </c>
      <c r="CE1066" s="63">
        <v>0.2702</v>
      </c>
      <c r="CF1066" s="63">
        <v>0</v>
      </c>
      <c r="CG1066" s="63">
        <v>0</v>
      </c>
      <c r="CH1066" s="88">
        <v>10.1</v>
      </c>
      <c r="CI1066" s="26" t="s">
        <v>207</v>
      </c>
      <c r="CJ1066" s="18" t="s">
        <v>505</v>
      </c>
      <c r="CK1066" s="20"/>
    </row>
    <row r="1067" spans="1:89" x14ac:dyDescent="0.25">
      <c r="A1067" s="18" t="s">
        <v>505</v>
      </c>
      <c r="B1067" s="19" t="s">
        <v>205</v>
      </c>
      <c r="C1067" s="26" t="s">
        <v>208</v>
      </c>
      <c r="D1067" s="6">
        <v>0</v>
      </c>
      <c r="E1067" s="6">
        <v>0</v>
      </c>
      <c r="F1067" s="6">
        <v>0</v>
      </c>
      <c r="N1067" s="119">
        <v>0</v>
      </c>
      <c r="O1067" s="119">
        <v>0</v>
      </c>
      <c r="P1067" s="119">
        <v>0</v>
      </c>
      <c r="Q1067" s="119">
        <v>0</v>
      </c>
      <c r="R1067" s="119">
        <v>0</v>
      </c>
      <c r="S1067" s="119">
        <v>0</v>
      </c>
      <c r="T1067" s="119">
        <v>0</v>
      </c>
      <c r="U1067" s="119">
        <v>0</v>
      </c>
      <c r="V1067" s="119">
        <v>0</v>
      </c>
      <c r="W1067" s="6">
        <v>507</v>
      </c>
      <c r="X1067" s="40">
        <f t="shared" si="74"/>
        <v>333</v>
      </c>
      <c r="Y1067" s="40">
        <f t="shared" si="75"/>
        <v>507</v>
      </c>
      <c r="Z1067" s="59">
        <v>0.45960000000000001</v>
      </c>
      <c r="AA1067" s="59">
        <v>0.54039999999999999</v>
      </c>
      <c r="AB1067" s="61">
        <v>0</v>
      </c>
      <c r="AC1067" s="61">
        <v>3.9447731755424065E-3</v>
      </c>
      <c r="AD1067" s="61">
        <v>0.22879684418145957</v>
      </c>
      <c r="AE1067" s="61">
        <v>1.5779092702169626E-2</v>
      </c>
      <c r="AF1067" s="61">
        <v>0</v>
      </c>
      <c r="AG1067" s="61">
        <v>0.73372781065088755</v>
      </c>
      <c r="AH1067" s="61">
        <v>1.7751479289940829E-2</v>
      </c>
      <c r="AI1067" s="61">
        <v>0.26627218934911245</v>
      </c>
      <c r="AJ1067" s="59">
        <v>0.45760000000000001</v>
      </c>
      <c r="AK1067" s="59">
        <v>2E-3</v>
      </c>
      <c r="AL1067" s="3">
        <v>87</v>
      </c>
      <c r="AM1067" s="3">
        <v>87</v>
      </c>
      <c r="AN1067" s="3">
        <v>5</v>
      </c>
      <c r="AO1067" s="3">
        <v>85</v>
      </c>
      <c r="AP1067" s="3">
        <v>79</v>
      </c>
      <c r="AQ1067" s="3">
        <v>83</v>
      </c>
      <c r="AR1067" s="3">
        <v>81</v>
      </c>
      <c r="AS1067" s="59">
        <v>5.5555555555555552E-2</v>
      </c>
      <c r="AT1067" s="3">
        <v>7</v>
      </c>
      <c r="AU1067" s="3">
        <v>6</v>
      </c>
      <c r="AV1067" s="49">
        <v>72.9166666666667</v>
      </c>
      <c r="AW1067" s="49">
        <v>18.4027777777778</v>
      </c>
      <c r="AX1067" s="49">
        <v>8.6805555555555589</v>
      </c>
      <c r="AY1067" s="67">
        <v>0</v>
      </c>
      <c r="AZ1067" s="63">
        <v>0.13851992409867173</v>
      </c>
      <c r="BA1067" s="63">
        <v>9.4876660341555973E-3</v>
      </c>
      <c r="BB1067" s="78">
        <v>95.925733125108493</v>
      </c>
      <c r="BC1067" s="49">
        <v>31.284916201117301</v>
      </c>
      <c r="BD1067" s="3"/>
      <c r="BE1067" s="3"/>
      <c r="BF1067" s="3"/>
      <c r="BG1067" s="3"/>
      <c r="BH1067" s="3"/>
      <c r="BI1067" s="3"/>
      <c r="BJ1067" s="88">
        <v>18.7</v>
      </c>
      <c r="BK1067" s="126">
        <v>10009</v>
      </c>
      <c r="BL1067" s="126">
        <v>50715</v>
      </c>
      <c r="BM1067" s="126">
        <v>45119</v>
      </c>
      <c r="BN1067" s="126">
        <v>43785</v>
      </c>
      <c r="BO1067" s="59">
        <v>0</v>
      </c>
      <c r="BP1067" s="63">
        <v>0.43099999999999999</v>
      </c>
      <c r="BQ1067" s="63">
        <v>0.16850000000000001</v>
      </c>
      <c r="BR1067" s="63">
        <v>2.1100000000000001E-2</v>
      </c>
      <c r="BS1067" s="63">
        <v>0</v>
      </c>
      <c r="BT1067" s="87">
        <v>15.1</v>
      </c>
      <c r="BU1067" s="59">
        <f t="shared" si="76"/>
        <v>0.62060000000000004</v>
      </c>
      <c r="BV1067" s="59">
        <v>4.2099999999999999E-2</v>
      </c>
      <c r="BW1067" s="63">
        <v>0</v>
      </c>
      <c r="BX1067" s="63">
        <v>4.2099999999999999E-2</v>
      </c>
      <c r="BY1067" s="63">
        <v>0</v>
      </c>
      <c r="BZ1067" s="63">
        <v>0</v>
      </c>
      <c r="CA1067" s="87">
        <v>15.5</v>
      </c>
      <c r="CB1067" s="59">
        <f t="shared" si="77"/>
        <v>8.4199999999999997E-2</v>
      </c>
      <c r="CC1067" s="59">
        <v>0.26679999999999998</v>
      </c>
      <c r="CD1067" s="63">
        <v>0.43290000000000001</v>
      </c>
      <c r="CE1067" s="63">
        <v>0.27929999999999999</v>
      </c>
      <c r="CF1067" s="63">
        <v>2.1100000000000001E-2</v>
      </c>
      <c r="CG1067" s="63">
        <v>0</v>
      </c>
      <c r="CH1067" s="88">
        <v>15.1</v>
      </c>
      <c r="CI1067" s="26" t="s">
        <v>208</v>
      </c>
      <c r="CJ1067" s="18" t="s">
        <v>505</v>
      </c>
      <c r="CK1067" s="20"/>
    </row>
    <row r="1068" spans="1:89" x14ac:dyDescent="0.25">
      <c r="A1068" s="18" t="s">
        <v>505</v>
      </c>
      <c r="B1068" s="19" t="s">
        <v>205</v>
      </c>
      <c r="C1068" s="26" t="s">
        <v>209</v>
      </c>
      <c r="D1068" s="6">
        <v>20</v>
      </c>
      <c r="E1068" s="40" t="s">
        <v>83</v>
      </c>
      <c r="F1068" s="6">
        <v>20</v>
      </c>
      <c r="N1068" s="119">
        <v>1.6168148746968501E-2</v>
      </c>
      <c r="O1068" s="119">
        <v>1.6168148746968501E-2</v>
      </c>
      <c r="P1068" s="116" t="s">
        <v>83</v>
      </c>
      <c r="Q1068" s="116" t="s">
        <v>83</v>
      </c>
      <c r="R1068" s="119">
        <v>0</v>
      </c>
      <c r="S1068" s="119">
        <v>2.3136246786632401E-2</v>
      </c>
      <c r="T1068" s="119">
        <v>9.77198697068404E-3</v>
      </c>
      <c r="U1068" s="119">
        <v>1.1494252873563199E-2</v>
      </c>
      <c r="V1068" s="119">
        <v>1.8726591760299598E-2</v>
      </c>
      <c r="W1068" s="6">
        <v>1090</v>
      </c>
      <c r="X1068" s="40">
        <f t="shared" si="74"/>
        <v>1090</v>
      </c>
      <c r="Y1068" s="40">
        <f t="shared" si="75"/>
        <v>1090</v>
      </c>
      <c r="Z1068" s="59">
        <v>0.49909999999999999</v>
      </c>
      <c r="AA1068" s="59">
        <v>0.50090000000000001</v>
      </c>
      <c r="AB1068" s="61">
        <v>0</v>
      </c>
      <c r="AC1068" s="61">
        <v>7.3394495412844041E-2</v>
      </c>
      <c r="AD1068" s="61">
        <v>0.55412844036697251</v>
      </c>
      <c r="AE1068" s="61">
        <v>1.834862385321101E-2</v>
      </c>
      <c r="AF1068" s="61">
        <v>0</v>
      </c>
      <c r="AG1068" s="61">
        <v>0.34311926605504589</v>
      </c>
      <c r="AH1068" s="61">
        <v>1.1009174311926606E-2</v>
      </c>
      <c r="AI1068" s="61">
        <v>0.65688073394495416</v>
      </c>
      <c r="AJ1068" s="59">
        <v>0.755</v>
      </c>
      <c r="AK1068" s="59">
        <v>1.1900000000000001E-2</v>
      </c>
      <c r="AL1068" s="3">
        <v>0</v>
      </c>
      <c r="AM1068" s="3">
        <v>0</v>
      </c>
      <c r="AN1068" s="3">
        <v>61</v>
      </c>
      <c r="AO1068" s="3">
        <v>274</v>
      </c>
      <c r="AP1068" s="3">
        <v>269</v>
      </c>
      <c r="AQ1068" s="3">
        <v>245</v>
      </c>
      <c r="AR1068" s="3">
        <v>241</v>
      </c>
      <c r="AS1068" s="59">
        <v>0.18208955223880596</v>
      </c>
      <c r="AT1068" s="3">
        <v>9</v>
      </c>
      <c r="AU1068" s="3">
        <v>6</v>
      </c>
      <c r="AV1068" s="49">
        <v>68.292682926829301</v>
      </c>
      <c r="AW1068" s="49">
        <v>19.674796747967498</v>
      </c>
      <c r="AX1068" s="49">
        <v>11.3821138211382</v>
      </c>
      <c r="AY1068" s="67">
        <v>0.65040650406504097</v>
      </c>
      <c r="AZ1068" s="63">
        <v>0.21615008156606852</v>
      </c>
      <c r="BA1068" s="63">
        <v>1.5497553017944535E-2</v>
      </c>
      <c r="BB1068" s="77">
        <v>90.877629824033093</v>
      </c>
      <c r="BC1068" s="49">
        <v>51.594896331738397</v>
      </c>
      <c r="BD1068" s="3"/>
      <c r="BE1068" s="3"/>
      <c r="BF1068" s="3"/>
      <c r="BG1068" s="3"/>
      <c r="BH1068" s="3"/>
      <c r="BI1068" s="3"/>
      <c r="BJ1068" s="88">
        <v>17.899999999999999</v>
      </c>
      <c r="BK1068" s="126">
        <v>10016</v>
      </c>
      <c r="BL1068" s="126">
        <v>47841</v>
      </c>
      <c r="BM1068" s="126">
        <v>46209</v>
      </c>
      <c r="BN1068" s="126">
        <v>42127</v>
      </c>
      <c r="BO1068" s="59">
        <v>3.2000000000000002E-3</v>
      </c>
      <c r="BP1068" s="63">
        <v>0.47870000000000001</v>
      </c>
      <c r="BQ1068" s="63">
        <v>0.14849999999999999</v>
      </c>
      <c r="BR1068" s="63">
        <v>0</v>
      </c>
      <c r="BS1068" s="63">
        <v>9.5999999999999992E-3</v>
      </c>
      <c r="BT1068" s="87">
        <v>8.8000000000000007</v>
      </c>
      <c r="BU1068" s="59">
        <f t="shared" si="76"/>
        <v>0.64</v>
      </c>
      <c r="BV1068" s="59">
        <v>3.8300000000000001E-2</v>
      </c>
      <c r="BW1068" s="63">
        <v>0</v>
      </c>
      <c r="BX1068" s="63">
        <v>4.7899999999999998E-2</v>
      </c>
      <c r="BY1068" s="63">
        <v>0</v>
      </c>
      <c r="BZ1068" s="63">
        <v>0</v>
      </c>
      <c r="CA1068" s="87">
        <v>16.7</v>
      </c>
      <c r="CB1068" s="59">
        <f t="shared" si="77"/>
        <v>8.6199999999999999E-2</v>
      </c>
      <c r="CC1068" s="59">
        <v>0.24429999999999999</v>
      </c>
      <c r="CD1068" s="63">
        <v>0.49869999999999998</v>
      </c>
      <c r="CE1068" s="63">
        <v>0.2475</v>
      </c>
      <c r="CF1068" s="63">
        <v>0</v>
      </c>
      <c r="CG1068" s="63">
        <v>9.5999999999999992E-3</v>
      </c>
      <c r="CH1068" s="88">
        <v>10.3</v>
      </c>
      <c r="CI1068" s="26" t="s">
        <v>209</v>
      </c>
      <c r="CJ1068" s="18" t="s">
        <v>505</v>
      </c>
      <c r="CK1068" s="20"/>
    </row>
    <row r="1069" spans="1:89" x14ac:dyDescent="0.25">
      <c r="A1069" s="18" t="s">
        <v>505</v>
      </c>
      <c r="B1069" s="19" t="s">
        <v>205</v>
      </c>
      <c r="C1069" s="26" t="s">
        <v>210</v>
      </c>
      <c r="D1069" s="6">
        <v>36</v>
      </c>
      <c r="E1069" s="40" t="s">
        <v>83</v>
      </c>
      <c r="F1069" s="6">
        <v>36</v>
      </c>
      <c r="N1069" s="119">
        <v>1.9565217391304301E-2</v>
      </c>
      <c r="O1069" s="119">
        <v>1.9565217391304301E-2</v>
      </c>
      <c r="P1069" s="116" t="s">
        <v>83</v>
      </c>
      <c r="Q1069" s="116" t="s">
        <v>83</v>
      </c>
      <c r="R1069" s="119">
        <v>0</v>
      </c>
      <c r="S1069" s="119">
        <v>1.37254901960784E-2</v>
      </c>
      <c r="T1069" s="119">
        <v>1.8475750577367198E-2</v>
      </c>
      <c r="U1069" s="119">
        <v>1.7073170731707301E-2</v>
      </c>
      <c r="V1069" s="119">
        <v>3.0368763557483702E-2</v>
      </c>
      <c r="W1069" s="6">
        <v>1695</v>
      </c>
      <c r="X1069" s="40">
        <f t="shared" si="74"/>
        <v>1695</v>
      </c>
      <c r="Y1069" s="40">
        <f t="shared" si="75"/>
        <v>1695</v>
      </c>
      <c r="Z1069" s="59">
        <v>0.47849999999999998</v>
      </c>
      <c r="AA1069" s="59">
        <v>0.52149999999999996</v>
      </c>
      <c r="AB1069" s="61">
        <v>2.9498525073746312E-3</v>
      </c>
      <c r="AC1069" s="61">
        <v>2.4188790560471976E-2</v>
      </c>
      <c r="AD1069" s="61">
        <v>0.37699115044247788</v>
      </c>
      <c r="AE1069" s="61">
        <v>6.6076696165191739E-2</v>
      </c>
      <c r="AF1069" s="61">
        <v>5.8997050147492625E-4</v>
      </c>
      <c r="AG1069" s="61">
        <v>0.51681415929203545</v>
      </c>
      <c r="AH1069" s="61">
        <v>1.2389380530973451E-2</v>
      </c>
      <c r="AI1069" s="61">
        <v>0.48318584070796461</v>
      </c>
      <c r="AJ1069" s="59">
        <v>0.66249999999999998</v>
      </c>
      <c r="AK1069" s="59">
        <v>2.5399999999999999E-2</v>
      </c>
      <c r="AL1069" s="3">
        <v>0</v>
      </c>
      <c r="AM1069" s="3">
        <v>0</v>
      </c>
      <c r="AN1069" s="3">
        <v>89</v>
      </c>
      <c r="AO1069" s="3">
        <v>401</v>
      </c>
      <c r="AP1069" s="3">
        <v>402</v>
      </c>
      <c r="AQ1069" s="3">
        <v>413</v>
      </c>
      <c r="AR1069" s="3">
        <v>390</v>
      </c>
      <c r="AS1069" s="59">
        <v>0.1816326530612245</v>
      </c>
      <c r="AT1069" s="3">
        <v>9</v>
      </c>
      <c r="AU1069" s="3">
        <v>6</v>
      </c>
      <c r="AV1069" s="49">
        <v>59.363525091799296</v>
      </c>
      <c r="AW1069" s="49">
        <v>22.888616891064899</v>
      </c>
      <c r="AX1069" s="49">
        <v>17.3806609547124</v>
      </c>
      <c r="AY1069" s="67">
        <v>0.36719706242350103</v>
      </c>
      <c r="AZ1069" s="63">
        <v>0.25232621784345921</v>
      </c>
      <c r="BA1069" s="63">
        <v>1.1494252873563218E-2</v>
      </c>
      <c r="BB1069" s="78">
        <v>91.433291737701495</v>
      </c>
      <c r="BC1069" s="49">
        <v>47.413793103448299</v>
      </c>
      <c r="BD1069" s="3"/>
      <c r="BE1069" s="3"/>
      <c r="BF1069" s="3"/>
      <c r="BG1069" s="3"/>
      <c r="BH1069" s="3"/>
      <c r="BI1069" s="3"/>
      <c r="BJ1069" s="88">
        <v>18.5</v>
      </c>
      <c r="BK1069" s="126">
        <v>9646</v>
      </c>
      <c r="BL1069" s="126">
        <v>48652</v>
      </c>
      <c r="BM1069" s="126">
        <v>46110</v>
      </c>
      <c r="BN1069" s="126">
        <v>42332</v>
      </c>
      <c r="BO1069" s="59">
        <v>2.2000000000000001E-3</v>
      </c>
      <c r="BP1069" s="63">
        <v>0.49559999999999998</v>
      </c>
      <c r="BQ1069" s="63">
        <v>0.14299999999999999</v>
      </c>
      <c r="BR1069" s="63">
        <v>0</v>
      </c>
      <c r="BS1069" s="63">
        <v>0</v>
      </c>
      <c r="BT1069" s="87">
        <v>11.3</v>
      </c>
      <c r="BU1069" s="59">
        <f t="shared" si="76"/>
        <v>0.64079999999999993</v>
      </c>
      <c r="BV1069" s="59">
        <v>3.3099999999999997E-2</v>
      </c>
      <c r="BW1069" s="63">
        <v>0</v>
      </c>
      <c r="BX1069" s="63">
        <v>2.6499999999999999E-2</v>
      </c>
      <c r="BY1069" s="63">
        <v>6.6E-3</v>
      </c>
      <c r="BZ1069" s="63">
        <v>0</v>
      </c>
      <c r="CA1069" s="87">
        <v>16.100000000000001</v>
      </c>
      <c r="CB1069" s="59">
        <f t="shared" si="77"/>
        <v>6.6199999999999995E-2</v>
      </c>
      <c r="CC1069" s="59">
        <v>0.25919999999999999</v>
      </c>
      <c r="CD1069" s="63">
        <v>0.51970000000000005</v>
      </c>
      <c r="CE1069" s="63">
        <v>0.21440000000000001</v>
      </c>
      <c r="CF1069" s="63">
        <v>6.6E-3</v>
      </c>
      <c r="CG1069" s="63">
        <v>0</v>
      </c>
      <c r="CH1069" s="88">
        <v>12.1</v>
      </c>
      <c r="CI1069" s="26" t="s">
        <v>210</v>
      </c>
      <c r="CJ1069" s="18" t="s">
        <v>505</v>
      </c>
      <c r="CK1069" s="20"/>
    </row>
    <row r="1070" spans="1:89" x14ac:dyDescent="0.25">
      <c r="A1070" s="18" t="s">
        <v>505</v>
      </c>
      <c r="B1070" s="19" t="s">
        <v>211</v>
      </c>
      <c r="C1070" s="26" t="s">
        <v>212</v>
      </c>
      <c r="D1070" s="6">
        <v>64</v>
      </c>
      <c r="E1070" s="6">
        <v>30</v>
      </c>
      <c r="F1070" s="6">
        <v>34</v>
      </c>
      <c r="N1070" s="119">
        <v>3.9925140361821598E-2</v>
      </c>
      <c r="O1070" s="119">
        <v>3.3630069238377802E-2</v>
      </c>
      <c r="P1070" s="119">
        <v>6.7567567567567597E-3</v>
      </c>
      <c r="Q1070" s="119">
        <v>9.45945945945946E-2</v>
      </c>
      <c r="R1070" s="119">
        <v>0</v>
      </c>
      <c r="S1070" s="119">
        <v>4.6931407942238303E-2</v>
      </c>
      <c r="T1070" s="119">
        <v>3.6199095022624403E-2</v>
      </c>
      <c r="U1070" s="119">
        <v>3.3613445378151301E-2</v>
      </c>
      <c r="V1070" s="119">
        <v>2.0833333333333301E-2</v>
      </c>
      <c r="W1070" s="6">
        <v>1464</v>
      </c>
      <c r="X1070" s="40">
        <f t="shared" si="74"/>
        <v>935</v>
      </c>
      <c r="Y1070" s="40">
        <f t="shared" si="75"/>
        <v>1464</v>
      </c>
      <c r="Z1070" s="59">
        <v>0.48220000000000002</v>
      </c>
      <c r="AA1070" s="59">
        <v>0.51780000000000004</v>
      </c>
      <c r="AB1070" s="61">
        <v>2.0491803278688526E-3</v>
      </c>
      <c r="AC1070" s="61">
        <v>4.0983606557377051E-3</v>
      </c>
      <c r="AD1070" s="61">
        <v>0.60314207650273222</v>
      </c>
      <c r="AE1070" s="61">
        <v>2.0491803278688523E-2</v>
      </c>
      <c r="AF1070" s="61">
        <v>0</v>
      </c>
      <c r="AG1070" s="61">
        <v>0.36748633879781423</v>
      </c>
      <c r="AH1070" s="61">
        <v>2.7322404371584699E-3</v>
      </c>
      <c r="AI1070" s="61">
        <v>0.63251366120218577</v>
      </c>
      <c r="AJ1070" s="59">
        <v>0.72540000000000004</v>
      </c>
      <c r="AK1070" s="59">
        <v>7.4999999999999997E-3</v>
      </c>
      <c r="AL1070" s="3">
        <v>276</v>
      </c>
      <c r="AM1070" s="3">
        <v>253</v>
      </c>
      <c r="AN1070" s="3">
        <v>38</v>
      </c>
      <c r="AO1070" s="3">
        <v>246</v>
      </c>
      <c r="AP1070" s="3">
        <v>202</v>
      </c>
      <c r="AQ1070" s="3">
        <v>225</v>
      </c>
      <c r="AR1070" s="3">
        <v>224</v>
      </c>
      <c r="AS1070" s="59">
        <v>0.13380281690140844</v>
      </c>
      <c r="AT1070" s="3">
        <v>7</v>
      </c>
      <c r="AU1070" s="3">
        <v>6</v>
      </c>
      <c r="AV1070" s="49">
        <v>75.433911882510003</v>
      </c>
      <c r="AW1070" s="49">
        <v>18.2910547396529</v>
      </c>
      <c r="AX1070" s="49">
        <v>5.8744993324432597</v>
      </c>
      <c r="AY1070" s="67">
        <v>0.40053404539385901</v>
      </c>
      <c r="AZ1070" s="63">
        <v>0.21825143586470963</v>
      </c>
      <c r="BA1070" s="63">
        <v>0.16592214422463306</v>
      </c>
      <c r="BB1070" s="77">
        <v>93.232940352563006</v>
      </c>
      <c r="BC1070" s="49">
        <v>66.708229426433903</v>
      </c>
      <c r="BD1070" s="3"/>
      <c r="BE1070" s="3"/>
      <c r="BF1070" s="3"/>
      <c r="BG1070" s="3"/>
      <c r="BH1070" s="3"/>
      <c r="BI1070" s="3"/>
      <c r="BJ1070" s="88">
        <v>17.7</v>
      </c>
      <c r="BK1070" s="126">
        <v>13433</v>
      </c>
      <c r="BL1070" s="126">
        <v>57772</v>
      </c>
      <c r="BM1070" s="126">
        <v>52356</v>
      </c>
      <c r="BN1070" s="126">
        <v>49209</v>
      </c>
      <c r="BO1070" s="59">
        <v>3.3399999999999999E-2</v>
      </c>
      <c r="BP1070" s="63">
        <v>0.371</v>
      </c>
      <c r="BQ1070" s="63">
        <v>0.1762</v>
      </c>
      <c r="BR1070" s="63">
        <v>1.49E-2</v>
      </c>
      <c r="BS1070" s="63">
        <v>2.5000000000000001E-3</v>
      </c>
      <c r="BT1070" s="87">
        <v>11.3</v>
      </c>
      <c r="BU1070" s="59">
        <f t="shared" si="76"/>
        <v>0.59799999999999998</v>
      </c>
      <c r="BV1070" s="59">
        <v>4.8899999999999999E-2</v>
      </c>
      <c r="BW1070" s="63">
        <v>2.87E-2</v>
      </c>
      <c r="BX1070" s="63">
        <v>2.2100000000000002E-2</v>
      </c>
      <c r="BY1070" s="63">
        <v>0</v>
      </c>
      <c r="BZ1070" s="63">
        <v>1.44E-2</v>
      </c>
      <c r="CA1070" s="87">
        <v>11.2</v>
      </c>
      <c r="CB1070" s="59">
        <f t="shared" si="77"/>
        <v>0.11410000000000001</v>
      </c>
      <c r="CC1070" s="59">
        <v>0.30109999999999998</v>
      </c>
      <c r="CD1070" s="63">
        <v>0.44159999999999999</v>
      </c>
      <c r="CE1070" s="63">
        <v>0.21990000000000001</v>
      </c>
      <c r="CF1070" s="63">
        <v>1.49E-2</v>
      </c>
      <c r="CG1070" s="63">
        <v>2.2499999999999999E-2</v>
      </c>
      <c r="CH1070" s="87">
        <v>11</v>
      </c>
      <c r="CI1070" s="26" t="s">
        <v>212</v>
      </c>
      <c r="CJ1070" s="18" t="s">
        <v>505</v>
      </c>
      <c r="CK1070" s="20"/>
    </row>
    <row r="1071" spans="1:89" x14ac:dyDescent="0.25">
      <c r="A1071" s="18" t="s">
        <v>505</v>
      </c>
      <c r="B1071" s="19" t="s">
        <v>211</v>
      </c>
      <c r="C1071" s="26" t="s">
        <v>213</v>
      </c>
      <c r="D1071" s="6">
        <v>6</v>
      </c>
      <c r="E1071" s="6">
        <v>5</v>
      </c>
      <c r="F1071" s="6">
        <v>1</v>
      </c>
      <c r="N1071" s="119">
        <v>1.9230769230769201E-2</v>
      </c>
      <c r="O1071" s="119">
        <v>4.92610837438424E-3</v>
      </c>
      <c r="P1071" s="119">
        <v>0</v>
      </c>
      <c r="Q1071" s="119">
        <v>7.9365079365079402E-2</v>
      </c>
      <c r="R1071" s="119">
        <v>0</v>
      </c>
      <c r="S1071" s="119">
        <v>0</v>
      </c>
      <c r="T1071" s="119">
        <v>0.02</v>
      </c>
      <c r="U1071" s="119">
        <v>0</v>
      </c>
      <c r="V1071" s="119">
        <v>0</v>
      </c>
      <c r="W1071" s="6">
        <v>296</v>
      </c>
      <c r="X1071" s="40">
        <f t="shared" si="74"/>
        <v>199</v>
      </c>
      <c r="Y1071" s="40">
        <f t="shared" si="75"/>
        <v>296</v>
      </c>
      <c r="Z1071" s="59">
        <v>0.53380000000000005</v>
      </c>
      <c r="AA1071" s="59">
        <v>0.4662</v>
      </c>
      <c r="AB1071" s="61">
        <v>3.3783783783783786E-3</v>
      </c>
      <c r="AC1071" s="61">
        <v>0</v>
      </c>
      <c r="AD1071" s="61">
        <v>0.82770270270270274</v>
      </c>
      <c r="AE1071" s="61">
        <v>2.0270270270270271E-2</v>
      </c>
      <c r="AF1071" s="61">
        <v>0</v>
      </c>
      <c r="AG1071" s="61">
        <v>0.14527027027027026</v>
      </c>
      <c r="AH1071" s="61">
        <v>3.3783783783783786E-3</v>
      </c>
      <c r="AI1071" s="61">
        <v>0.85472972972972971</v>
      </c>
      <c r="AJ1071" s="59">
        <v>0.78039999999999998</v>
      </c>
      <c r="AK1071" s="59">
        <v>1.01E-2</v>
      </c>
      <c r="AL1071" s="3">
        <v>41</v>
      </c>
      <c r="AM1071" s="3">
        <v>56</v>
      </c>
      <c r="AN1071" s="3">
        <v>10</v>
      </c>
      <c r="AO1071" s="3">
        <v>33</v>
      </c>
      <c r="AP1071" s="3">
        <v>48</v>
      </c>
      <c r="AQ1071" s="3">
        <v>57</v>
      </c>
      <c r="AR1071" s="3">
        <v>51</v>
      </c>
      <c r="AS1071" s="59">
        <v>0.23255813953488372</v>
      </c>
      <c r="AT1071" s="3">
        <v>7</v>
      </c>
      <c r="AU1071" s="3">
        <v>6</v>
      </c>
      <c r="AV1071" s="49">
        <v>97.826086956521692</v>
      </c>
      <c r="AW1071" s="49">
        <v>2.1739130434782603</v>
      </c>
      <c r="AX1071" s="49">
        <v>0</v>
      </c>
      <c r="AY1071" s="67">
        <v>0</v>
      </c>
      <c r="AZ1071" s="63">
        <v>0.16612377850162866</v>
      </c>
      <c r="BA1071" s="63">
        <v>0.19218241042345277</v>
      </c>
      <c r="BB1071" s="78">
        <v>94.253661130655303</v>
      </c>
      <c r="BC1071" s="49">
        <v>66.881028938906795</v>
      </c>
      <c r="BD1071" s="3"/>
      <c r="BE1071" s="3"/>
      <c r="BF1071" s="3"/>
      <c r="BG1071" s="3"/>
      <c r="BH1071" s="3"/>
      <c r="BI1071" s="3"/>
      <c r="BJ1071" s="88">
        <v>17.8</v>
      </c>
      <c r="BK1071" s="126">
        <v>21011</v>
      </c>
      <c r="BL1071" s="126">
        <v>58435</v>
      </c>
      <c r="BM1071" s="126">
        <v>62485</v>
      </c>
      <c r="BN1071" s="126">
        <v>50097</v>
      </c>
      <c r="BO1071" s="59">
        <v>3.0999999999999999E-3</v>
      </c>
      <c r="BP1071" s="63">
        <v>0.38740000000000002</v>
      </c>
      <c r="BQ1071" s="63">
        <v>0.2311</v>
      </c>
      <c r="BR1071" s="63">
        <v>1.09E-2</v>
      </c>
      <c r="BS1071" s="63">
        <v>6.3E-3</v>
      </c>
      <c r="BT1071" s="87">
        <v>9.9</v>
      </c>
      <c r="BU1071" s="59">
        <f t="shared" si="76"/>
        <v>0.63880000000000003</v>
      </c>
      <c r="BV1071" s="59">
        <v>1.9300000000000001E-2</v>
      </c>
      <c r="BW1071" s="63">
        <v>0</v>
      </c>
      <c r="BX1071" s="63">
        <v>3.6600000000000001E-2</v>
      </c>
      <c r="BY1071" s="63">
        <v>0</v>
      </c>
      <c r="BZ1071" s="63">
        <v>0</v>
      </c>
      <c r="CA1071" s="87">
        <v>8.4</v>
      </c>
      <c r="CB1071" s="59">
        <f t="shared" si="77"/>
        <v>5.5900000000000005E-2</v>
      </c>
      <c r="CC1071" s="59">
        <v>0.22389999999999999</v>
      </c>
      <c r="CD1071" s="63">
        <v>0.4546</v>
      </c>
      <c r="CE1071" s="63">
        <v>0.30430000000000001</v>
      </c>
      <c r="CF1071" s="63">
        <v>1.09E-2</v>
      </c>
      <c r="CG1071" s="63">
        <v>6.3E-3</v>
      </c>
      <c r="CH1071" s="87">
        <v>9.6999999999999993</v>
      </c>
      <c r="CI1071" s="26" t="s">
        <v>213</v>
      </c>
      <c r="CJ1071" s="18" t="s">
        <v>505</v>
      </c>
      <c r="CK1071" s="20"/>
    </row>
    <row r="1072" spans="1:89" x14ac:dyDescent="0.25">
      <c r="A1072" s="18" t="s">
        <v>505</v>
      </c>
      <c r="B1072" s="19" t="s">
        <v>211</v>
      </c>
      <c r="C1072" s="26" t="s">
        <v>214</v>
      </c>
      <c r="D1072" s="6">
        <v>9</v>
      </c>
      <c r="E1072" s="6">
        <v>4</v>
      </c>
      <c r="F1072" s="6">
        <v>5</v>
      </c>
      <c r="N1072" s="119">
        <v>2.9801324503311299E-2</v>
      </c>
      <c r="O1072" s="119">
        <v>2.68817204301075E-2</v>
      </c>
      <c r="P1072" s="119">
        <v>0</v>
      </c>
      <c r="Q1072" s="119">
        <v>6.8965517241379296E-2</v>
      </c>
      <c r="R1072" s="119">
        <v>0</v>
      </c>
      <c r="S1072" s="119">
        <v>1.6949152542372899E-2</v>
      </c>
      <c r="T1072" s="119">
        <v>7.1428571428571397E-2</v>
      </c>
      <c r="U1072" s="119">
        <v>0</v>
      </c>
      <c r="V1072" s="119">
        <v>2.4390243902439001E-2</v>
      </c>
      <c r="W1072" s="6">
        <v>741</v>
      </c>
      <c r="X1072" s="40">
        <f t="shared" si="74"/>
        <v>176</v>
      </c>
      <c r="Y1072" s="40">
        <f t="shared" si="75"/>
        <v>278</v>
      </c>
      <c r="Z1072" s="59">
        <v>0.52769999999999995</v>
      </c>
      <c r="AA1072" s="59">
        <v>0.4723</v>
      </c>
      <c r="AB1072" s="61">
        <v>0</v>
      </c>
      <c r="AC1072" s="61">
        <v>2.0242914979757085E-2</v>
      </c>
      <c r="AD1072" s="61">
        <v>0.77058029689608643</v>
      </c>
      <c r="AE1072" s="61">
        <v>2.9689608636977057E-2</v>
      </c>
      <c r="AF1072" s="61">
        <v>0</v>
      </c>
      <c r="AG1072" s="61">
        <v>0.16194331983805668</v>
      </c>
      <c r="AH1072" s="61">
        <v>1.7543859649122806E-2</v>
      </c>
      <c r="AI1072" s="61">
        <v>0.83805668016194335</v>
      </c>
      <c r="AJ1072" s="59">
        <v>0.74219999999999997</v>
      </c>
      <c r="AK1072" s="59">
        <v>6.7000000000000002E-3</v>
      </c>
      <c r="AL1072" s="3">
        <v>55</v>
      </c>
      <c r="AM1072" s="3">
        <v>47</v>
      </c>
      <c r="AN1072" s="3">
        <v>1</v>
      </c>
      <c r="AO1072" s="3">
        <v>56</v>
      </c>
      <c r="AP1072" s="3">
        <v>39</v>
      </c>
      <c r="AQ1072" s="3">
        <v>41</v>
      </c>
      <c r="AR1072" s="3">
        <v>39</v>
      </c>
      <c r="AS1072" s="59">
        <v>1.7543859649122806E-2</v>
      </c>
      <c r="AT1072" s="3">
        <v>1</v>
      </c>
      <c r="AU1072" s="3">
        <v>6</v>
      </c>
      <c r="AV1072" s="49">
        <v>81.818181818181799</v>
      </c>
      <c r="AW1072" s="49">
        <v>11.308203991130799</v>
      </c>
      <c r="AX1072" s="49">
        <v>6.2084257206208404</v>
      </c>
      <c r="AY1072" s="67">
        <v>0.66518847006651904</v>
      </c>
      <c r="AZ1072" s="63">
        <v>5.3658536585365853E-2</v>
      </c>
      <c r="BA1072" s="63">
        <v>0.10853658536585366</v>
      </c>
      <c r="BB1072" s="77">
        <v>94.140776658929298</v>
      </c>
      <c r="BC1072" s="49">
        <v>58.950201884252998</v>
      </c>
      <c r="BD1072" s="3"/>
      <c r="BE1072" s="3"/>
      <c r="BF1072" s="3"/>
      <c r="BG1072" s="3"/>
      <c r="BH1072" s="3"/>
      <c r="BI1072" s="3"/>
      <c r="BJ1072" s="88">
        <v>20.3</v>
      </c>
      <c r="BK1072" s="126">
        <v>16340</v>
      </c>
      <c r="BL1072" s="126">
        <v>58323</v>
      </c>
      <c r="BM1072" s="126">
        <v>55178</v>
      </c>
      <c r="BN1072" s="126">
        <v>49235</v>
      </c>
      <c r="BO1072" s="59">
        <v>1.11E-2</v>
      </c>
      <c r="BP1072" s="63">
        <v>0.38419999999999999</v>
      </c>
      <c r="BQ1072" s="63">
        <v>0.22850000000000001</v>
      </c>
      <c r="BR1072" s="63">
        <v>0</v>
      </c>
      <c r="BS1072" s="63">
        <v>3.5000000000000001E-3</v>
      </c>
      <c r="BT1072" s="87">
        <v>13.3</v>
      </c>
      <c r="BU1072" s="59">
        <f t="shared" si="76"/>
        <v>0.62729999999999997</v>
      </c>
      <c r="BV1072" s="59">
        <v>2.06E-2</v>
      </c>
      <c r="BW1072" s="63">
        <v>1.8700000000000001E-2</v>
      </c>
      <c r="BX1072" s="63">
        <v>2.06E-2</v>
      </c>
      <c r="BY1072" s="63">
        <v>1.03E-2</v>
      </c>
      <c r="BZ1072" s="63">
        <v>1.03E-2</v>
      </c>
      <c r="CA1072" s="87">
        <v>11.6</v>
      </c>
      <c r="CB1072" s="59">
        <f t="shared" si="77"/>
        <v>8.0500000000000002E-2</v>
      </c>
      <c r="CC1072" s="59">
        <v>0.25369999999999998</v>
      </c>
      <c r="CD1072" s="63">
        <v>0.432</v>
      </c>
      <c r="CE1072" s="63">
        <v>0.29010000000000002</v>
      </c>
      <c r="CF1072" s="63">
        <v>1.03E-2</v>
      </c>
      <c r="CG1072" s="63">
        <v>1.38E-2</v>
      </c>
      <c r="CH1072" s="87">
        <v>11</v>
      </c>
      <c r="CI1072" s="26" t="s">
        <v>214</v>
      </c>
      <c r="CJ1072" s="18" t="s">
        <v>505</v>
      </c>
      <c r="CK1072" s="20"/>
    </row>
    <row r="1073" spans="1:89" x14ac:dyDescent="0.25">
      <c r="A1073" s="18" t="s">
        <v>505</v>
      </c>
      <c r="B1073" s="19" t="s">
        <v>215</v>
      </c>
      <c r="C1073" s="26" t="s">
        <v>216</v>
      </c>
      <c r="D1073" s="6">
        <v>12</v>
      </c>
      <c r="E1073" s="40" t="s">
        <v>83</v>
      </c>
      <c r="F1073" s="6">
        <v>12</v>
      </c>
      <c r="N1073" s="119">
        <v>3.9215686274509803E-2</v>
      </c>
      <c r="O1073" s="119">
        <v>3.9215686274509803E-2</v>
      </c>
      <c r="P1073" s="116" t="s">
        <v>83</v>
      </c>
      <c r="Q1073" s="116" t="s">
        <v>83</v>
      </c>
      <c r="R1073" s="116" t="s">
        <v>83</v>
      </c>
      <c r="S1073" s="119">
        <v>3.1578947368421102E-2</v>
      </c>
      <c r="T1073" s="119">
        <v>3.8961038961039002E-2</v>
      </c>
      <c r="U1073" s="119">
        <v>4.7619047619047603E-2</v>
      </c>
      <c r="V1073" s="119">
        <v>4.2253521126760597E-2</v>
      </c>
      <c r="W1073" s="6">
        <v>282</v>
      </c>
      <c r="X1073" s="40">
        <f t="shared" si="74"/>
        <v>282</v>
      </c>
      <c r="Y1073" s="40">
        <f t="shared" si="75"/>
        <v>282</v>
      </c>
      <c r="Z1073" s="59">
        <v>0.44330000000000003</v>
      </c>
      <c r="AA1073" s="59">
        <v>0.55669999999999997</v>
      </c>
      <c r="AB1073" s="61">
        <v>0</v>
      </c>
      <c r="AC1073" s="61">
        <v>7.0921985815602835E-3</v>
      </c>
      <c r="AD1073" s="61">
        <v>0.60992907801418439</v>
      </c>
      <c r="AE1073" s="61">
        <v>1.0638297872340425E-2</v>
      </c>
      <c r="AF1073" s="61">
        <v>0</v>
      </c>
      <c r="AG1073" s="61">
        <v>0.36170212765957449</v>
      </c>
      <c r="AH1073" s="61">
        <v>1.0638297872340425E-2</v>
      </c>
      <c r="AI1073" s="61">
        <v>0.63829787234042556</v>
      </c>
      <c r="AJ1073" s="59">
        <v>0.78010000000000002</v>
      </c>
      <c r="AK1073" s="59">
        <v>0</v>
      </c>
      <c r="AL1073" s="3">
        <v>0</v>
      </c>
      <c r="AM1073" s="3">
        <v>0</v>
      </c>
      <c r="AN1073" s="3">
        <v>0</v>
      </c>
      <c r="AO1073" s="3">
        <v>80</v>
      </c>
      <c r="AP1073" s="3">
        <v>73</v>
      </c>
      <c r="AQ1073" s="3">
        <v>66</v>
      </c>
      <c r="AR1073" s="3">
        <v>63</v>
      </c>
      <c r="AS1073" s="59">
        <v>0</v>
      </c>
      <c r="AT1073" s="3">
        <v>9</v>
      </c>
      <c r="AU1073" s="3">
        <v>6</v>
      </c>
      <c r="AV1073" s="49">
        <v>71.969696969696997</v>
      </c>
      <c r="AW1073" s="49">
        <v>18.939393939393902</v>
      </c>
      <c r="AX1073" s="49">
        <v>8.3333333333333304</v>
      </c>
      <c r="AY1073" s="67">
        <v>0.75757575757575801</v>
      </c>
      <c r="AZ1073" s="63">
        <v>0.37704918032786883</v>
      </c>
      <c r="BA1073" s="63">
        <v>3.2786885245901639E-3</v>
      </c>
      <c r="BB1073" s="78">
        <v>89.8844440523971</v>
      </c>
      <c r="BC1073" s="49">
        <v>75.490196078431396</v>
      </c>
      <c r="BD1073" s="3"/>
      <c r="BE1073" s="3"/>
      <c r="BF1073" s="3"/>
      <c r="BG1073" s="3"/>
      <c r="BH1073" s="3"/>
      <c r="BI1073" s="3"/>
      <c r="BJ1073" s="88">
        <v>17</v>
      </c>
      <c r="BK1073" s="126">
        <v>13585</v>
      </c>
      <c r="BL1073" s="126">
        <v>47801</v>
      </c>
      <c r="BM1073" s="126">
        <v>42607</v>
      </c>
      <c r="BN1073" s="126">
        <v>34648</v>
      </c>
      <c r="BO1073" s="59">
        <v>0</v>
      </c>
      <c r="BP1073" s="63">
        <v>0.25390000000000001</v>
      </c>
      <c r="BQ1073" s="63">
        <v>0.15620000000000001</v>
      </c>
      <c r="BR1073" s="63">
        <v>0</v>
      </c>
      <c r="BS1073" s="63">
        <v>0</v>
      </c>
      <c r="BT1073" s="87">
        <v>14.7</v>
      </c>
      <c r="BU1073" s="59">
        <f t="shared" si="76"/>
        <v>0.41010000000000002</v>
      </c>
      <c r="BV1073" s="59">
        <v>3.9100000000000003E-2</v>
      </c>
      <c r="BW1073" s="63">
        <v>0</v>
      </c>
      <c r="BX1073" s="63">
        <v>3.9100000000000003E-2</v>
      </c>
      <c r="BY1073" s="63">
        <v>0</v>
      </c>
      <c r="BZ1073" s="63">
        <v>0</v>
      </c>
      <c r="CA1073" s="87">
        <v>24</v>
      </c>
      <c r="CB1073" s="59">
        <f t="shared" si="77"/>
        <v>7.8200000000000006E-2</v>
      </c>
      <c r="CC1073" s="59">
        <v>0.4718</v>
      </c>
      <c r="CD1073" s="63">
        <v>0.27389999999999998</v>
      </c>
      <c r="CE1073" s="63">
        <v>0.25430000000000003</v>
      </c>
      <c r="CF1073" s="63">
        <v>0</v>
      </c>
      <c r="CG1073" s="63">
        <v>0</v>
      </c>
      <c r="CH1073" s="87">
        <v>13.4</v>
      </c>
      <c r="CI1073" s="26" t="s">
        <v>216</v>
      </c>
      <c r="CJ1073" s="18" t="s">
        <v>505</v>
      </c>
      <c r="CK1073" s="20"/>
    </row>
    <row r="1074" spans="1:89" x14ac:dyDescent="0.25">
      <c r="A1074" s="18" t="s">
        <v>505</v>
      </c>
      <c r="B1074" s="19" t="s">
        <v>215</v>
      </c>
      <c r="C1074" s="26" t="s">
        <v>217</v>
      </c>
      <c r="D1074" s="6">
        <v>6</v>
      </c>
      <c r="E1074" s="6">
        <v>0</v>
      </c>
      <c r="F1074" s="6">
        <v>6</v>
      </c>
      <c r="N1074" s="119">
        <v>1.9292604501607701E-2</v>
      </c>
      <c r="O1074" s="119">
        <v>3.09278350515464E-2</v>
      </c>
      <c r="P1074" s="119">
        <v>0</v>
      </c>
      <c r="Q1074" s="119">
        <v>0</v>
      </c>
      <c r="R1074" s="116" t="s">
        <v>83</v>
      </c>
      <c r="S1074" s="119">
        <v>1.7543859649122799E-2</v>
      </c>
      <c r="T1074" s="119">
        <v>6.8965517241379296E-2</v>
      </c>
      <c r="U1074" s="119">
        <v>0</v>
      </c>
      <c r="V1074" s="119">
        <v>3.125E-2</v>
      </c>
      <c r="W1074" s="6">
        <v>729</v>
      </c>
      <c r="X1074" s="40">
        <f t="shared" si="74"/>
        <v>192</v>
      </c>
      <c r="Y1074" s="40">
        <f t="shared" si="75"/>
        <v>305</v>
      </c>
      <c r="Z1074" s="59">
        <v>0.4829</v>
      </c>
      <c r="AA1074" s="59">
        <v>0.5171</v>
      </c>
      <c r="AB1074" s="61">
        <v>0</v>
      </c>
      <c r="AC1074" s="61">
        <v>8.23045267489712E-3</v>
      </c>
      <c r="AD1074" s="61">
        <v>0.19890260631001372</v>
      </c>
      <c r="AE1074" s="61">
        <v>2.4691358024691357E-2</v>
      </c>
      <c r="AF1074" s="61">
        <v>0</v>
      </c>
      <c r="AG1074" s="61">
        <v>0.7503429355281207</v>
      </c>
      <c r="AH1074" s="61">
        <v>1.7832647462277092E-2</v>
      </c>
      <c r="AI1074" s="61">
        <v>0.2496570644718793</v>
      </c>
      <c r="AJ1074" s="59">
        <v>0.55559999999999998</v>
      </c>
      <c r="AK1074" s="59">
        <v>4.1000000000000003E-3</v>
      </c>
      <c r="AL1074" s="3">
        <v>66</v>
      </c>
      <c r="AM1074" s="3">
        <v>47</v>
      </c>
      <c r="AN1074" s="3">
        <v>0</v>
      </c>
      <c r="AO1074" s="3">
        <v>57</v>
      </c>
      <c r="AP1074" s="3">
        <v>56</v>
      </c>
      <c r="AQ1074" s="3">
        <v>47</v>
      </c>
      <c r="AR1074" s="3">
        <v>32</v>
      </c>
      <c r="AS1074" s="59">
        <v>0</v>
      </c>
      <c r="AT1074" s="3">
        <v>1</v>
      </c>
      <c r="AU1074" s="3">
        <v>6</v>
      </c>
      <c r="AV1074" s="49">
        <v>64.067796610169509</v>
      </c>
      <c r="AW1074" s="49">
        <v>30.169491525423698</v>
      </c>
      <c r="AX1074" s="49">
        <v>4.4067796610169498</v>
      </c>
      <c r="AY1074" s="67">
        <v>1.35593220338983</v>
      </c>
      <c r="AZ1074" s="63">
        <v>0.16149870801033592</v>
      </c>
      <c r="BA1074" s="63">
        <v>3.875968992248062E-3</v>
      </c>
      <c r="BB1074" s="77">
        <v>92.352477487126293</v>
      </c>
      <c r="BC1074" s="49">
        <v>67.733333333333306</v>
      </c>
      <c r="BD1074" s="3"/>
      <c r="BE1074" s="3"/>
      <c r="BF1074" s="3"/>
      <c r="BG1074" s="3"/>
      <c r="BH1074" s="3"/>
      <c r="BI1074" s="3"/>
      <c r="BJ1074" s="88">
        <v>19</v>
      </c>
      <c r="BK1074" s="126">
        <v>10712</v>
      </c>
      <c r="BL1074" s="126">
        <v>51523</v>
      </c>
      <c r="BM1074" s="126">
        <v>44574</v>
      </c>
      <c r="BN1074" s="126">
        <v>40930</v>
      </c>
      <c r="BO1074" s="59">
        <v>0</v>
      </c>
      <c r="BP1074" s="63">
        <v>0.29310000000000003</v>
      </c>
      <c r="BQ1074" s="63">
        <v>0.26860000000000001</v>
      </c>
      <c r="BR1074" s="63">
        <v>0</v>
      </c>
      <c r="BS1074" s="63">
        <v>0</v>
      </c>
      <c r="BT1074" s="87">
        <v>16.899999999999999</v>
      </c>
      <c r="BU1074" s="59">
        <f t="shared" si="76"/>
        <v>0.56170000000000009</v>
      </c>
      <c r="BV1074" s="59">
        <v>2.5600000000000001E-2</v>
      </c>
      <c r="BW1074" s="63">
        <v>8.0000000000000004E-4</v>
      </c>
      <c r="BX1074" s="63">
        <v>1.2800000000000001E-2</v>
      </c>
      <c r="BY1074" s="63">
        <v>1.2800000000000001E-2</v>
      </c>
      <c r="BZ1074" s="63">
        <v>0</v>
      </c>
      <c r="CA1074" s="87">
        <v>11.6</v>
      </c>
      <c r="CB1074" s="59">
        <f t="shared" si="77"/>
        <v>5.1999999999999998E-2</v>
      </c>
      <c r="CC1074" s="59">
        <v>0.33329999999999999</v>
      </c>
      <c r="CD1074" s="63">
        <v>0.33329999999999999</v>
      </c>
      <c r="CE1074" s="63">
        <v>0.32050000000000001</v>
      </c>
      <c r="CF1074" s="63">
        <v>1.2800000000000001E-2</v>
      </c>
      <c r="CG1074" s="63">
        <v>0</v>
      </c>
      <c r="CH1074" s="87">
        <v>15</v>
      </c>
      <c r="CI1074" s="26" t="s">
        <v>217</v>
      </c>
      <c r="CJ1074" s="18" t="s">
        <v>505</v>
      </c>
      <c r="CK1074" s="20"/>
    </row>
    <row r="1075" spans="1:89" x14ac:dyDescent="0.25">
      <c r="A1075" s="18" t="s">
        <v>505</v>
      </c>
      <c r="B1075" s="19" t="s">
        <v>215</v>
      </c>
      <c r="C1075" s="26" t="s">
        <v>218</v>
      </c>
      <c r="D1075" s="6">
        <v>2</v>
      </c>
      <c r="E1075" s="6">
        <v>1</v>
      </c>
      <c r="F1075" s="6">
        <v>1</v>
      </c>
      <c r="N1075" s="119">
        <v>7.0671378091872799E-3</v>
      </c>
      <c r="O1075" s="119">
        <v>5.5865921787709499E-3</v>
      </c>
      <c r="P1075" s="119">
        <v>0</v>
      </c>
      <c r="Q1075" s="119">
        <v>1.8181818181818198E-2</v>
      </c>
      <c r="R1075" s="116" t="s">
        <v>83</v>
      </c>
      <c r="S1075" s="119">
        <v>0</v>
      </c>
      <c r="T1075" s="119">
        <v>2.27272727272727E-2</v>
      </c>
      <c r="U1075" s="119">
        <v>0</v>
      </c>
      <c r="V1075" s="119">
        <v>0</v>
      </c>
      <c r="W1075" s="6">
        <v>668</v>
      </c>
      <c r="X1075" s="40">
        <f t="shared" si="74"/>
        <v>168</v>
      </c>
      <c r="Y1075" s="40">
        <f t="shared" si="75"/>
        <v>262</v>
      </c>
      <c r="Z1075" s="59">
        <v>0.47599999999999998</v>
      </c>
      <c r="AA1075" s="59">
        <v>0.52400000000000002</v>
      </c>
      <c r="AB1075" s="61">
        <v>0</v>
      </c>
      <c r="AC1075" s="61">
        <v>0</v>
      </c>
      <c r="AD1075" s="61">
        <v>0.16766467065868262</v>
      </c>
      <c r="AE1075" s="61">
        <v>3.4431137724550899E-2</v>
      </c>
      <c r="AF1075" s="61">
        <v>0</v>
      </c>
      <c r="AG1075" s="61">
        <v>0.76646706586826352</v>
      </c>
      <c r="AH1075" s="61">
        <v>3.1437125748502992E-2</v>
      </c>
      <c r="AI1075" s="61">
        <v>0.23353293413173654</v>
      </c>
      <c r="AJ1075" s="59">
        <v>0.6452</v>
      </c>
      <c r="AK1075" s="59">
        <v>6.0000000000000001E-3</v>
      </c>
      <c r="AL1075" s="3">
        <v>44</v>
      </c>
      <c r="AM1075" s="3">
        <v>50</v>
      </c>
      <c r="AN1075" s="3">
        <v>0</v>
      </c>
      <c r="AO1075" s="3">
        <v>57</v>
      </c>
      <c r="AP1075" s="3">
        <v>40</v>
      </c>
      <c r="AQ1075" s="3">
        <v>49</v>
      </c>
      <c r="AR1075" s="3">
        <v>22</v>
      </c>
      <c r="AS1075" s="59">
        <v>0</v>
      </c>
      <c r="AT1075" s="3">
        <v>1</v>
      </c>
      <c r="AU1075" s="3">
        <v>6</v>
      </c>
      <c r="AV1075" s="49">
        <v>47.826086956521699</v>
      </c>
      <c r="AW1075" s="49">
        <v>21.304347826087</v>
      </c>
      <c r="AX1075" s="49">
        <v>27.826086956521699</v>
      </c>
      <c r="AY1075" s="67">
        <v>3.0434782608695699</v>
      </c>
      <c r="AZ1075" s="63">
        <v>0.12191780821917808</v>
      </c>
      <c r="BA1075" s="63">
        <v>0</v>
      </c>
      <c r="BB1075" s="78">
        <v>92.683345074339101</v>
      </c>
      <c r="BC1075" s="49">
        <v>65.2173913043478</v>
      </c>
      <c r="BD1075" s="3"/>
      <c r="BE1075" s="3"/>
      <c r="BF1075" s="3"/>
      <c r="BG1075" s="3"/>
      <c r="BH1075" s="3"/>
      <c r="BI1075" s="3"/>
      <c r="BJ1075" s="88">
        <v>18.399999999999999</v>
      </c>
      <c r="BK1075" s="126">
        <v>10424</v>
      </c>
      <c r="BL1075" s="126">
        <v>49458</v>
      </c>
      <c r="BM1075" s="126">
        <v>47305</v>
      </c>
      <c r="BN1075" s="126">
        <v>38503</v>
      </c>
      <c r="BO1075" s="59">
        <v>0</v>
      </c>
      <c r="BP1075" s="63">
        <v>0.3594</v>
      </c>
      <c r="BQ1075" s="63">
        <v>0.14749999999999999</v>
      </c>
      <c r="BR1075" s="63">
        <v>0</v>
      </c>
      <c r="BS1075" s="63">
        <v>0</v>
      </c>
      <c r="BT1075" s="87">
        <v>16.5</v>
      </c>
      <c r="BU1075" s="59">
        <f t="shared" si="76"/>
        <v>0.50690000000000002</v>
      </c>
      <c r="BV1075" s="59">
        <v>2.6700000000000002E-2</v>
      </c>
      <c r="BW1075" s="63">
        <v>0</v>
      </c>
      <c r="BX1075" s="63">
        <v>2.6700000000000002E-2</v>
      </c>
      <c r="BY1075" s="63">
        <v>0</v>
      </c>
      <c r="BZ1075" s="63">
        <v>0</v>
      </c>
      <c r="CA1075" s="87">
        <v>24.5</v>
      </c>
      <c r="CB1075" s="59">
        <f t="shared" si="77"/>
        <v>5.3400000000000003E-2</v>
      </c>
      <c r="CC1075" s="59">
        <v>0.4133</v>
      </c>
      <c r="CD1075" s="63">
        <v>0.38669999999999999</v>
      </c>
      <c r="CE1075" s="63">
        <v>0.2</v>
      </c>
      <c r="CF1075" s="63">
        <v>0</v>
      </c>
      <c r="CG1075" s="63">
        <v>0</v>
      </c>
      <c r="CH1075" s="87">
        <v>15.4</v>
      </c>
      <c r="CI1075" s="26" t="s">
        <v>218</v>
      </c>
      <c r="CJ1075" s="18" t="s">
        <v>505</v>
      </c>
      <c r="CK1075" s="20"/>
    </row>
    <row r="1076" spans="1:89" x14ac:dyDescent="0.25">
      <c r="A1076" s="18" t="s">
        <v>505</v>
      </c>
      <c r="B1076" s="19" t="s">
        <v>219</v>
      </c>
      <c r="C1076" s="26" t="s">
        <v>220</v>
      </c>
      <c r="D1076" s="6">
        <v>129</v>
      </c>
      <c r="E1076" s="40" t="s">
        <v>83</v>
      </c>
      <c r="F1076" s="6">
        <v>129</v>
      </c>
      <c r="N1076" s="119">
        <v>8.32795351839897E-2</v>
      </c>
      <c r="O1076" s="119">
        <v>8.32795351839897E-2</v>
      </c>
      <c r="P1076" s="116" t="s">
        <v>83</v>
      </c>
      <c r="Q1076" s="116" t="s">
        <v>83</v>
      </c>
      <c r="R1076" s="119">
        <v>0</v>
      </c>
      <c r="S1076" s="119">
        <v>9.375E-2</v>
      </c>
      <c r="T1076" s="119">
        <v>9.3663911845730002E-2</v>
      </c>
      <c r="U1076" s="119">
        <v>0.116207951070336</v>
      </c>
      <c r="V1076" s="119">
        <v>3.03030303030303E-2</v>
      </c>
      <c r="W1076" s="6">
        <v>1366</v>
      </c>
      <c r="X1076" s="40">
        <f t="shared" si="74"/>
        <v>1366</v>
      </c>
      <c r="Y1076" s="40">
        <f t="shared" si="75"/>
        <v>1366</v>
      </c>
      <c r="Z1076" s="59">
        <v>0.44</v>
      </c>
      <c r="AA1076" s="59">
        <v>0.56000000000000005</v>
      </c>
      <c r="AB1076" s="61">
        <v>0</v>
      </c>
      <c r="AC1076" s="61">
        <v>2.1961932650073207E-2</v>
      </c>
      <c r="AD1076" s="61">
        <v>0.37115666178623719</v>
      </c>
      <c r="AE1076" s="61">
        <v>0.43265007320644217</v>
      </c>
      <c r="AF1076" s="61">
        <v>7.320644216691069E-4</v>
      </c>
      <c r="AG1076" s="61">
        <v>0.14421669106881405</v>
      </c>
      <c r="AH1076" s="61">
        <v>2.9282576866764276E-2</v>
      </c>
      <c r="AI1076" s="61">
        <v>0.85578330893118593</v>
      </c>
      <c r="AJ1076" s="59">
        <v>0.83089999999999997</v>
      </c>
      <c r="AK1076" s="59">
        <v>0.25259999999999999</v>
      </c>
      <c r="AL1076" s="3">
        <v>0</v>
      </c>
      <c r="AM1076" s="3">
        <v>0</v>
      </c>
      <c r="AN1076" s="3">
        <v>44</v>
      </c>
      <c r="AO1076" s="3">
        <v>432</v>
      </c>
      <c r="AP1076" s="3">
        <v>324</v>
      </c>
      <c r="AQ1076" s="3">
        <v>300</v>
      </c>
      <c r="AR1076" s="3">
        <v>266</v>
      </c>
      <c r="AS1076" s="59">
        <v>9.2436974789915971E-2</v>
      </c>
      <c r="AT1076" s="3">
        <v>9</v>
      </c>
      <c r="AU1076" s="3">
        <v>6</v>
      </c>
      <c r="AV1076" s="49">
        <v>40.390879478827401</v>
      </c>
      <c r="AW1076" s="49">
        <v>22.3127035830619</v>
      </c>
      <c r="AX1076" s="49">
        <v>28.175895765472298</v>
      </c>
      <c r="AY1076" s="67">
        <v>9.1205211726384405</v>
      </c>
      <c r="AZ1076" s="63">
        <v>0.23997326203208555</v>
      </c>
      <c r="BA1076" s="63">
        <v>0.16310160427807488</v>
      </c>
      <c r="BB1076" s="77">
        <v>87.366387269672899</v>
      </c>
      <c r="BC1076" s="49">
        <v>73.509933774834394</v>
      </c>
      <c r="BD1076" s="3"/>
      <c r="BE1076" s="3"/>
      <c r="BF1076" s="3"/>
      <c r="BG1076" s="3"/>
      <c r="BH1076" s="3"/>
      <c r="BI1076" s="3"/>
      <c r="BJ1076" s="88">
        <v>17.600000000000001</v>
      </c>
      <c r="BK1076" s="126">
        <v>11813</v>
      </c>
      <c r="BL1076" s="126">
        <v>51599</v>
      </c>
      <c r="BM1076" s="126">
        <v>52231</v>
      </c>
      <c r="BN1076" s="126">
        <v>44677</v>
      </c>
      <c r="BO1076" s="59">
        <v>6.4999999999999997E-3</v>
      </c>
      <c r="BP1076" s="63">
        <v>0.32219999999999999</v>
      </c>
      <c r="BQ1076" s="63">
        <v>0.22670000000000001</v>
      </c>
      <c r="BR1076" s="63">
        <v>6.4999999999999997E-3</v>
      </c>
      <c r="BS1076" s="63">
        <v>6.6E-3</v>
      </c>
      <c r="BT1076" s="87">
        <v>12.6</v>
      </c>
      <c r="BU1076" s="59">
        <f t="shared" si="76"/>
        <v>0.56850000000000001</v>
      </c>
      <c r="BV1076" s="59">
        <v>3.9300000000000002E-2</v>
      </c>
      <c r="BW1076" s="63">
        <v>1.2999999999999999E-2</v>
      </c>
      <c r="BX1076" s="63">
        <v>5.7000000000000002E-2</v>
      </c>
      <c r="BY1076" s="63">
        <v>0</v>
      </c>
      <c r="BZ1076" s="63">
        <v>0</v>
      </c>
      <c r="CA1076" s="87">
        <v>19.7</v>
      </c>
      <c r="CB1076" s="59">
        <f t="shared" si="77"/>
        <v>0.10930000000000001</v>
      </c>
      <c r="CC1076" s="59">
        <v>0.2414</v>
      </c>
      <c r="CD1076" s="63">
        <v>0.39710000000000001</v>
      </c>
      <c r="CE1076" s="63">
        <v>0.33560000000000001</v>
      </c>
      <c r="CF1076" s="63">
        <v>1.9400000000000001E-2</v>
      </c>
      <c r="CG1076" s="63">
        <v>6.6E-3</v>
      </c>
      <c r="CH1076" s="87">
        <v>13.7</v>
      </c>
      <c r="CI1076" s="26" t="s">
        <v>220</v>
      </c>
      <c r="CJ1076" s="18" t="s">
        <v>505</v>
      </c>
      <c r="CK1076" s="20"/>
    </row>
    <row r="1077" spans="1:89" x14ac:dyDescent="0.25">
      <c r="A1077" s="18" t="s">
        <v>505</v>
      </c>
      <c r="B1077" s="19" t="s">
        <v>219</v>
      </c>
      <c r="C1077" s="26" t="s">
        <v>221</v>
      </c>
      <c r="D1077" s="6">
        <v>14</v>
      </c>
      <c r="E1077" s="40" t="s">
        <v>83</v>
      </c>
      <c r="F1077" s="6">
        <v>14</v>
      </c>
      <c r="N1077" s="119">
        <v>1.1884550084889599E-2</v>
      </c>
      <c r="O1077" s="119">
        <v>1.1884550084889599E-2</v>
      </c>
      <c r="P1077" s="116" t="s">
        <v>83</v>
      </c>
      <c r="Q1077" s="116" t="s">
        <v>83</v>
      </c>
      <c r="R1077" s="119">
        <v>0</v>
      </c>
      <c r="S1077" s="119">
        <v>3.7174721189591098E-3</v>
      </c>
      <c r="T1077" s="119">
        <v>6.8728522336769802E-3</v>
      </c>
      <c r="U1077" s="119">
        <v>1.07913669064748E-2</v>
      </c>
      <c r="V1077" s="119">
        <v>3.1007751937984499E-2</v>
      </c>
      <c r="W1077" s="6">
        <v>1068</v>
      </c>
      <c r="X1077" s="40">
        <f t="shared" si="74"/>
        <v>1068</v>
      </c>
      <c r="Y1077" s="40">
        <f t="shared" si="75"/>
        <v>1068</v>
      </c>
      <c r="Z1077" s="59">
        <v>0.49249999999999999</v>
      </c>
      <c r="AA1077" s="59">
        <v>0.50749999999999995</v>
      </c>
      <c r="AB1077" s="61">
        <v>2.8089887640449437E-3</v>
      </c>
      <c r="AC1077" s="61">
        <v>3.9325842696629212E-2</v>
      </c>
      <c r="AD1077" s="61">
        <v>0.64513108614232206</v>
      </c>
      <c r="AE1077" s="61">
        <v>0.14887640449438203</v>
      </c>
      <c r="AF1077" s="61">
        <v>0</v>
      </c>
      <c r="AG1077" s="61">
        <v>0.13764044943820225</v>
      </c>
      <c r="AH1077" s="61">
        <v>2.6217228464419477E-2</v>
      </c>
      <c r="AI1077" s="61">
        <v>0.86235955056179781</v>
      </c>
      <c r="AJ1077" s="59">
        <v>0.80520000000000003</v>
      </c>
      <c r="AK1077" s="59">
        <v>0.13950000000000001</v>
      </c>
      <c r="AL1077" s="3">
        <v>0</v>
      </c>
      <c r="AM1077" s="3">
        <v>0</v>
      </c>
      <c r="AN1077" s="3">
        <v>74</v>
      </c>
      <c r="AO1077" s="3">
        <v>238</v>
      </c>
      <c r="AP1077" s="3">
        <v>261</v>
      </c>
      <c r="AQ1077" s="3">
        <v>256</v>
      </c>
      <c r="AR1077" s="3">
        <v>239</v>
      </c>
      <c r="AS1077" s="59">
        <v>0.23717948717948717</v>
      </c>
      <c r="AT1077" s="3">
        <v>9</v>
      </c>
      <c r="AU1077" s="3">
        <v>6</v>
      </c>
      <c r="AV1077" s="49">
        <v>53.411764705882305</v>
      </c>
      <c r="AW1077" s="49">
        <v>15.764705882352899</v>
      </c>
      <c r="AX1077" s="49">
        <v>22.117647058823501</v>
      </c>
      <c r="AY1077" s="67">
        <v>8.7058823529411793</v>
      </c>
      <c r="AZ1077" s="63">
        <v>0.25128205128205128</v>
      </c>
      <c r="BA1077" s="63">
        <v>0.20683760683760682</v>
      </c>
      <c r="BB1077" s="78">
        <v>93.725056628195404</v>
      </c>
      <c r="BC1077" s="49">
        <v>54.961832061068698</v>
      </c>
      <c r="BD1077" s="3"/>
      <c r="BE1077" s="3"/>
      <c r="BF1077" s="3"/>
      <c r="BG1077" s="3"/>
      <c r="BH1077" s="3"/>
      <c r="BI1077" s="3"/>
      <c r="BJ1077" s="88">
        <v>17.2</v>
      </c>
      <c r="BK1077" s="126">
        <v>9968</v>
      </c>
      <c r="BL1077" s="126">
        <v>52072</v>
      </c>
      <c r="BM1077" s="126">
        <v>53770</v>
      </c>
      <c r="BN1077" s="126">
        <v>46540</v>
      </c>
      <c r="BO1077" s="59">
        <v>0</v>
      </c>
      <c r="BP1077" s="63">
        <v>0.30909999999999999</v>
      </c>
      <c r="BQ1077" s="63">
        <v>0.22409999999999999</v>
      </c>
      <c r="BR1077" s="63">
        <v>0</v>
      </c>
      <c r="BS1077" s="63">
        <v>2.24E-2</v>
      </c>
      <c r="BT1077" s="87">
        <v>13.6</v>
      </c>
      <c r="BU1077" s="59">
        <f t="shared" si="76"/>
        <v>0.55559999999999998</v>
      </c>
      <c r="BV1077" s="59">
        <v>5.6000000000000001E-2</v>
      </c>
      <c r="BW1077" s="63">
        <v>0</v>
      </c>
      <c r="BX1077" s="63">
        <v>7.8399999999999997E-2</v>
      </c>
      <c r="BY1077" s="63">
        <v>0</v>
      </c>
      <c r="BZ1077" s="63">
        <v>0</v>
      </c>
      <c r="CA1077" s="87">
        <v>16.8</v>
      </c>
      <c r="CB1077" s="59">
        <f t="shared" si="77"/>
        <v>0.13439999999999999</v>
      </c>
      <c r="CC1077" s="59">
        <v>0.2311</v>
      </c>
      <c r="CD1077" s="63">
        <v>0.36459999999999998</v>
      </c>
      <c r="CE1077" s="63">
        <v>0.37630000000000002</v>
      </c>
      <c r="CF1077" s="63">
        <v>5.5999999999999999E-3</v>
      </c>
      <c r="CG1077" s="63">
        <v>2.24E-2</v>
      </c>
      <c r="CH1077" s="87">
        <v>13.7</v>
      </c>
      <c r="CI1077" s="26" t="s">
        <v>221</v>
      </c>
      <c r="CJ1077" s="18" t="s">
        <v>505</v>
      </c>
      <c r="CK1077" s="20"/>
    </row>
    <row r="1078" spans="1:89" x14ac:dyDescent="0.25">
      <c r="A1078" s="18" t="s">
        <v>505</v>
      </c>
      <c r="B1078" s="19" t="s">
        <v>219</v>
      </c>
      <c r="C1078" s="26" t="s">
        <v>222</v>
      </c>
      <c r="D1078" s="6">
        <v>109</v>
      </c>
      <c r="E1078" s="40" t="s">
        <v>83</v>
      </c>
      <c r="F1078" s="6">
        <v>109</v>
      </c>
      <c r="N1078" s="119">
        <v>8.1709145427286398E-2</v>
      </c>
      <c r="O1078" s="119">
        <v>8.1709145427286398E-2</v>
      </c>
      <c r="P1078" s="116" t="s">
        <v>83</v>
      </c>
      <c r="Q1078" s="116" t="s">
        <v>83</v>
      </c>
      <c r="R1078" s="119">
        <v>0</v>
      </c>
      <c r="S1078" s="119">
        <v>0.12084592145015099</v>
      </c>
      <c r="T1078" s="119">
        <v>6.3636363636363602E-2</v>
      </c>
      <c r="U1078" s="119">
        <v>7.9872204472843406E-2</v>
      </c>
      <c r="V1078" s="119">
        <v>8.0985915492957805E-2</v>
      </c>
      <c r="W1078" s="6">
        <v>1203</v>
      </c>
      <c r="X1078" s="40">
        <f t="shared" si="74"/>
        <v>1203</v>
      </c>
      <c r="Y1078" s="40">
        <f t="shared" si="75"/>
        <v>1203</v>
      </c>
      <c r="Z1078" s="59">
        <v>0.45889999999999997</v>
      </c>
      <c r="AA1078" s="59">
        <v>0.54110000000000003</v>
      </c>
      <c r="AB1078" s="61">
        <v>2.4937655860349127E-3</v>
      </c>
      <c r="AC1078" s="61">
        <v>1.5793848711554447E-2</v>
      </c>
      <c r="AD1078" s="61">
        <v>0.31920199501246882</v>
      </c>
      <c r="AE1078" s="61">
        <v>0.30590191188694932</v>
      </c>
      <c r="AF1078" s="61">
        <v>0</v>
      </c>
      <c r="AG1078" s="61">
        <v>0.32751454696591853</v>
      </c>
      <c r="AH1078" s="61">
        <v>2.9093931837073983E-2</v>
      </c>
      <c r="AI1078" s="61">
        <v>0.67248545303408147</v>
      </c>
      <c r="AJ1078" s="59">
        <v>0.76480000000000004</v>
      </c>
      <c r="AK1078" s="59">
        <v>0.13969999999999999</v>
      </c>
      <c r="AL1078" s="3">
        <v>0</v>
      </c>
      <c r="AM1078" s="3">
        <v>0</v>
      </c>
      <c r="AN1078" s="3">
        <v>84</v>
      </c>
      <c r="AO1078" s="3">
        <v>268</v>
      </c>
      <c r="AP1078" s="3">
        <v>306</v>
      </c>
      <c r="AQ1078" s="3">
        <v>294</v>
      </c>
      <c r="AR1078" s="3">
        <v>251</v>
      </c>
      <c r="AS1078" s="59">
        <v>0.23863636363636365</v>
      </c>
      <c r="AT1078" s="3">
        <v>9</v>
      </c>
      <c r="AU1078" s="3">
        <v>6</v>
      </c>
      <c r="AV1078" s="49">
        <v>54.901960784313694</v>
      </c>
      <c r="AW1078" s="49">
        <v>10.3921568627451</v>
      </c>
      <c r="AX1078" s="49">
        <v>28.235294117647097</v>
      </c>
      <c r="AY1078" s="67">
        <v>6.4705882352941195</v>
      </c>
      <c r="AZ1078" s="63">
        <v>0.22308288148721922</v>
      </c>
      <c r="BA1078" s="63">
        <v>0.14407436096049575</v>
      </c>
      <c r="BB1078" s="77">
        <v>91.097149324892797</v>
      </c>
      <c r="BC1078" s="49">
        <v>65.100154083204899</v>
      </c>
      <c r="BD1078" s="3"/>
      <c r="BE1078" s="3"/>
      <c r="BF1078" s="3"/>
      <c r="BG1078" s="3"/>
      <c r="BH1078" s="3"/>
      <c r="BI1078" s="3"/>
      <c r="BJ1078" s="88">
        <v>17.600000000000001</v>
      </c>
      <c r="BK1078" s="126">
        <v>11487</v>
      </c>
      <c r="BL1078" s="126">
        <v>56859</v>
      </c>
      <c r="BM1078" s="126">
        <v>56260</v>
      </c>
      <c r="BN1078" s="126">
        <v>46660</v>
      </c>
      <c r="BO1078" s="59">
        <v>0</v>
      </c>
      <c r="BP1078" s="63">
        <v>0.29299999999999998</v>
      </c>
      <c r="BQ1078" s="63">
        <v>0.22450000000000001</v>
      </c>
      <c r="BR1078" s="63">
        <v>0</v>
      </c>
      <c r="BS1078" s="63">
        <v>2.4400000000000002E-2</v>
      </c>
      <c r="BT1078" s="87">
        <v>20.6</v>
      </c>
      <c r="BU1078" s="59">
        <f t="shared" si="76"/>
        <v>0.54189999999999994</v>
      </c>
      <c r="BV1078" s="59">
        <v>3.6499999999999998E-2</v>
      </c>
      <c r="BW1078" s="63">
        <v>0</v>
      </c>
      <c r="BX1078" s="63">
        <v>5.79E-2</v>
      </c>
      <c r="BY1078" s="63">
        <v>0</v>
      </c>
      <c r="BZ1078" s="63">
        <v>1.1999999999999999E-3</v>
      </c>
      <c r="CA1078" s="87">
        <v>22.1</v>
      </c>
      <c r="CB1078" s="59">
        <f t="shared" si="77"/>
        <v>9.5600000000000004E-2</v>
      </c>
      <c r="CC1078" s="59">
        <v>0.29160000000000003</v>
      </c>
      <c r="CD1078" s="63">
        <v>0.34460000000000002</v>
      </c>
      <c r="CE1078" s="63">
        <v>0.33829999999999999</v>
      </c>
      <c r="CF1078" s="63">
        <v>0</v>
      </c>
      <c r="CG1078" s="63">
        <v>2.5600000000000001E-2</v>
      </c>
      <c r="CH1078" s="87">
        <v>17.399999999999999</v>
      </c>
      <c r="CI1078" s="26" t="s">
        <v>222</v>
      </c>
      <c r="CJ1078" s="18" t="s">
        <v>505</v>
      </c>
      <c r="CK1078" s="20"/>
    </row>
    <row r="1079" spans="1:89" x14ac:dyDescent="0.25">
      <c r="A1079" s="18" t="s">
        <v>505</v>
      </c>
      <c r="B1079" s="19" t="s">
        <v>219</v>
      </c>
      <c r="C1079" s="26" t="s">
        <v>223</v>
      </c>
      <c r="D1079" s="6">
        <v>92</v>
      </c>
      <c r="E1079" s="40" t="s">
        <v>83</v>
      </c>
      <c r="F1079" s="6">
        <v>92</v>
      </c>
      <c r="N1079" s="119">
        <v>3.7938144329896901E-2</v>
      </c>
      <c r="O1079" s="119">
        <v>3.7938144329896901E-2</v>
      </c>
      <c r="P1079" s="116" t="s">
        <v>83</v>
      </c>
      <c r="Q1079" s="116" t="s">
        <v>83</v>
      </c>
      <c r="R1079" s="119">
        <v>0</v>
      </c>
      <c r="S1079" s="119">
        <v>5.9753954305799599E-2</v>
      </c>
      <c r="T1079" s="119">
        <v>3.3333333333333298E-2</v>
      </c>
      <c r="U1079" s="119">
        <v>4.0998217468805699E-2</v>
      </c>
      <c r="V1079" s="119">
        <v>2.6501766784452301E-2</v>
      </c>
      <c r="W1079" s="6">
        <v>2193</v>
      </c>
      <c r="X1079" s="40">
        <f t="shared" si="74"/>
        <v>2193</v>
      </c>
      <c r="Y1079" s="40">
        <f t="shared" si="75"/>
        <v>2193</v>
      </c>
      <c r="Z1079" s="59">
        <v>0.50570000000000004</v>
      </c>
      <c r="AA1079" s="59">
        <v>0.49430000000000002</v>
      </c>
      <c r="AB1079" s="61">
        <v>1.1399908800729594E-2</v>
      </c>
      <c r="AC1079" s="61">
        <v>7.3871409028727769E-2</v>
      </c>
      <c r="AD1079" s="61">
        <v>0.54035567715458277</v>
      </c>
      <c r="AE1079" s="61">
        <v>0.13087095303237575</v>
      </c>
      <c r="AF1079" s="61">
        <v>0</v>
      </c>
      <c r="AG1079" s="61">
        <v>0.21203830369357046</v>
      </c>
      <c r="AH1079" s="61">
        <v>3.1463748290013679E-2</v>
      </c>
      <c r="AI1079" s="61">
        <v>0.78796169630642954</v>
      </c>
      <c r="AJ1079" s="59">
        <v>0.7802</v>
      </c>
      <c r="AK1079" s="59">
        <v>4.0099999999999997E-2</v>
      </c>
      <c r="AL1079" s="3">
        <v>0</v>
      </c>
      <c r="AM1079" s="3">
        <v>0</v>
      </c>
      <c r="AN1079" s="3">
        <v>125</v>
      </c>
      <c r="AO1079" s="3">
        <v>485</v>
      </c>
      <c r="AP1079" s="3">
        <v>542</v>
      </c>
      <c r="AQ1079" s="3">
        <v>539</v>
      </c>
      <c r="AR1079" s="3">
        <v>502</v>
      </c>
      <c r="AS1079" s="59">
        <v>0.20491803278688525</v>
      </c>
      <c r="AT1079" s="3">
        <v>9</v>
      </c>
      <c r="AU1079" s="3">
        <v>6</v>
      </c>
      <c r="AV1079" s="49">
        <v>38.978829389788302</v>
      </c>
      <c r="AW1079" s="49">
        <v>13.698630136986301</v>
      </c>
      <c r="AX1079" s="49">
        <v>33.872976338729799</v>
      </c>
      <c r="AY1079" s="67">
        <v>13.449564134495601</v>
      </c>
      <c r="AZ1079" s="63">
        <v>0.1796157059314954</v>
      </c>
      <c r="BA1079" s="63">
        <v>0.17000835421888053</v>
      </c>
      <c r="BB1079" s="78">
        <v>87.918112159431104</v>
      </c>
      <c r="BC1079" s="49">
        <v>65.879917184264997</v>
      </c>
      <c r="BD1079" s="3"/>
      <c r="BE1079" s="3"/>
      <c r="BF1079" s="3"/>
      <c r="BG1079" s="3"/>
      <c r="BH1079" s="3"/>
      <c r="BI1079" s="3"/>
      <c r="BJ1079" s="88">
        <v>17.899999999999999</v>
      </c>
      <c r="BK1079" s="126">
        <v>10786</v>
      </c>
      <c r="BL1079" s="126">
        <v>53685</v>
      </c>
      <c r="BM1079" s="126">
        <v>50391</v>
      </c>
      <c r="BN1079" s="126">
        <v>46094</v>
      </c>
      <c r="BO1079" s="59">
        <v>0</v>
      </c>
      <c r="BP1079" s="63">
        <v>0.35639999999999999</v>
      </c>
      <c r="BQ1079" s="63">
        <v>0.216</v>
      </c>
      <c r="BR1079" s="63">
        <v>4.7999999999999996E-3</v>
      </c>
      <c r="BS1079" s="63">
        <v>4.7999999999999996E-3</v>
      </c>
      <c r="BT1079" s="87">
        <v>12.9</v>
      </c>
      <c r="BU1079" s="59">
        <f t="shared" si="76"/>
        <v>0.58200000000000007</v>
      </c>
      <c r="BV1079" s="59">
        <v>4.7399999999999998E-2</v>
      </c>
      <c r="BW1079" s="63">
        <v>0</v>
      </c>
      <c r="BX1079" s="63">
        <v>5.3400000000000003E-2</v>
      </c>
      <c r="BY1079" s="63">
        <v>0</v>
      </c>
      <c r="BZ1079" s="63">
        <v>4.7999999999999996E-3</v>
      </c>
      <c r="CA1079" s="87">
        <v>13.2</v>
      </c>
      <c r="CB1079" s="59">
        <f t="shared" si="77"/>
        <v>0.1056</v>
      </c>
      <c r="CC1079" s="59">
        <v>0.25890000000000002</v>
      </c>
      <c r="CD1079" s="63">
        <v>0.4017</v>
      </c>
      <c r="CE1079" s="63">
        <v>0.31790000000000002</v>
      </c>
      <c r="CF1079" s="63">
        <v>1.1900000000000001E-2</v>
      </c>
      <c r="CG1079" s="63">
        <v>9.4999999999999998E-3</v>
      </c>
      <c r="CH1079" s="87">
        <v>13.2</v>
      </c>
      <c r="CI1079" s="26" t="s">
        <v>223</v>
      </c>
      <c r="CJ1079" s="18" t="s">
        <v>505</v>
      </c>
      <c r="CK1079" s="20"/>
    </row>
    <row r="1080" spans="1:89" x14ac:dyDescent="0.25">
      <c r="A1080" s="18" t="s">
        <v>505</v>
      </c>
      <c r="B1080" s="19" t="s">
        <v>219</v>
      </c>
      <c r="C1080" s="26" t="s">
        <v>224</v>
      </c>
      <c r="D1080" s="6">
        <v>9</v>
      </c>
      <c r="E1080" s="6">
        <v>1</v>
      </c>
      <c r="F1080" s="6">
        <v>8</v>
      </c>
      <c r="N1080" s="119">
        <v>1.9522776572668099E-2</v>
      </c>
      <c r="O1080" s="119">
        <v>2.5889967637540499E-2</v>
      </c>
      <c r="P1080" s="119">
        <v>1.2987012987013E-2</v>
      </c>
      <c r="Q1080" s="119">
        <v>0</v>
      </c>
      <c r="R1080" s="119">
        <v>3.3333333333333298E-2</v>
      </c>
      <c r="S1080" s="119">
        <v>0.04</v>
      </c>
      <c r="T1080" s="119">
        <v>2.5000000000000001E-2</v>
      </c>
      <c r="U1080" s="119">
        <v>4.1095890410958902E-2</v>
      </c>
      <c r="V1080" s="119">
        <v>0</v>
      </c>
      <c r="W1080" s="6">
        <v>504</v>
      </c>
      <c r="X1080" s="40">
        <f t="shared" si="74"/>
        <v>289</v>
      </c>
      <c r="Y1080" s="40">
        <f t="shared" si="75"/>
        <v>432</v>
      </c>
      <c r="Z1080" s="59">
        <v>0.48609999999999998</v>
      </c>
      <c r="AA1080" s="59">
        <v>0.51390000000000002</v>
      </c>
      <c r="AB1080" s="61">
        <v>2.3809523809523808E-2</v>
      </c>
      <c r="AC1080" s="61">
        <v>3.968253968253968E-3</v>
      </c>
      <c r="AD1080" s="61">
        <v>9.9206349206349201E-3</v>
      </c>
      <c r="AE1080" s="61">
        <v>0.10317460317460317</v>
      </c>
      <c r="AF1080" s="61">
        <v>0</v>
      </c>
      <c r="AG1080" s="61">
        <v>0.80952380952380953</v>
      </c>
      <c r="AH1080" s="61">
        <v>4.96031746031746E-2</v>
      </c>
      <c r="AI1080" s="61">
        <v>0.19047619047619047</v>
      </c>
      <c r="AJ1080" s="59">
        <v>0.65480000000000005</v>
      </c>
      <c r="AK1080" s="59">
        <v>2.18E-2</v>
      </c>
      <c r="AL1080" s="3">
        <v>72</v>
      </c>
      <c r="AM1080" s="3">
        <v>71</v>
      </c>
      <c r="AN1080" s="3">
        <v>0</v>
      </c>
      <c r="AO1080" s="3">
        <v>74</v>
      </c>
      <c r="AP1080" s="3">
        <v>72</v>
      </c>
      <c r="AQ1080" s="3">
        <v>69</v>
      </c>
      <c r="AR1080" s="3">
        <v>74</v>
      </c>
      <c r="AS1080" s="59">
        <v>0</v>
      </c>
      <c r="AT1080" s="3">
        <v>6</v>
      </c>
      <c r="AU1080" s="3">
        <v>6</v>
      </c>
      <c r="AV1080" s="49">
        <v>67.588932806324095</v>
      </c>
      <c r="AW1080" s="49">
        <v>21.343873517786598</v>
      </c>
      <c r="AX1080" s="49">
        <v>9.4861660079051404</v>
      </c>
      <c r="AY1080" s="67">
        <v>1.5810276679841899</v>
      </c>
      <c r="AZ1080" s="63">
        <v>0.13295880149812733</v>
      </c>
      <c r="BA1080" s="63">
        <v>0.11423220973782772</v>
      </c>
      <c r="BB1080" s="77">
        <v>92.496123140543304</v>
      </c>
      <c r="BC1080" s="49">
        <v>59.554730983302399</v>
      </c>
      <c r="BD1080" s="3"/>
      <c r="BE1080" s="3"/>
      <c r="BF1080" s="3"/>
      <c r="BG1080" s="3"/>
      <c r="BH1080" s="3"/>
      <c r="BI1080" s="3"/>
      <c r="BJ1080" s="88">
        <v>17.3</v>
      </c>
      <c r="BK1080" s="126">
        <v>11990</v>
      </c>
      <c r="BL1080" s="126">
        <v>56081</v>
      </c>
      <c r="BM1080" s="126">
        <v>43929</v>
      </c>
      <c r="BN1080" s="126">
        <v>44727</v>
      </c>
      <c r="BO1080" s="59">
        <v>0</v>
      </c>
      <c r="BP1080" s="63">
        <v>0.39550000000000002</v>
      </c>
      <c r="BQ1080" s="63">
        <v>8.5199999999999998E-2</v>
      </c>
      <c r="BR1080" s="63">
        <v>0</v>
      </c>
      <c r="BS1080" s="63">
        <v>1.7000000000000001E-2</v>
      </c>
      <c r="BT1080" s="87">
        <v>15.5</v>
      </c>
      <c r="BU1080" s="59">
        <f t="shared" si="76"/>
        <v>0.49770000000000003</v>
      </c>
      <c r="BV1080" s="59">
        <v>7.5800000000000006E-2</v>
      </c>
      <c r="BW1080" s="63">
        <v>0</v>
      </c>
      <c r="BX1080" s="63">
        <v>5.11E-2</v>
      </c>
      <c r="BY1080" s="63">
        <v>0</v>
      </c>
      <c r="BZ1080" s="63">
        <v>0</v>
      </c>
      <c r="CA1080" s="87">
        <v>17.2</v>
      </c>
      <c r="CB1080" s="59">
        <f t="shared" si="77"/>
        <v>0.12690000000000001</v>
      </c>
      <c r="CC1080" s="59">
        <v>0.38379999999999997</v>
      </c>
      <c r="CD1080" s="63">
        <v>0.42880000000000001</v>
      </c>
      <c r="CE1080" s="63">
        <v>0.1704</v>
      </c>
      <c r="CF1080" s="63">
        <v>0</v>
      </c>
      <c r="CG1080" s="63">
        <v>1.7000000000000001E-2</v>
      </c>
      <c r="CH1080" s="87">
        <v>14.9</v>
      </c>
      <c r="CI1080" s="26" t="s">
        <v>224</v>
      </c>
      <c r="CJ1080" s="18" t="s">
        <v>505</v>
      </c>
      <c r="CK1080" s="20"/>
    </row>
    <row r="1081" spans="1:89" x14ac:dyDescent="0.25">
      <c r="A1081" s="18" t="s">
        <v>505</v>
      </c>
      <c r="B1081" s="19" t="s">
        <v>219</v>
      </c>
      <c r="C1081" s="26" t="s">
        <v>225</v>
      </c>
      <c r="D1081" s="6">
        <v>0</v>
      </c>
      <c r="E1081" s="6">
        <v>0</v>
      </c>
      <c r="F1081" s="6">
        <v>0</v>
      </c>
      <c r="N1081" s="119">
        <v>0</v>
      </c>
      <c r="O1081" s="119">
        <v>0</v>
      </c>
      <c r="P1081" s="119">
        <v>0</v>
      </c>
      <c r="Q1081" s="119">
        <v>0</v>
      </c>
      <c r="R1081" s="119">
        <v>0</v>
      </c>
      <c r="S1081" s="119">
        <v>0</v>
      </c>
      <c r="T1081" s="119">
        <v>0</v>
      </c>
      <c r="U1081" s="119">
        <v>0</v>
      </c>
      <c r="V1081" s="119">
        <v>0</v>
      </c>
      <c r="W1081" s="6">
        <v>143</v>
      </c>
      <c r="X1081" s="40">
        <f t="shared" si="74"/>
        <v>40</v>
      </c>
      <c r="Y1081" s="40">
        <f t="shared" si="75"/>
        <v>60</v>
      </c>
      <c r="Z1081" s="59">
        <v>0.54549999999999998</v>
      </c>
      <c r="AA1081" s="59">
        <v>0.45450000000000002</v>
      </c>
      <c r="AB1081" s="61">
        <v>7.6923076923076927E-2</v>
      </c>
      <c r="AC1081" s="61">
        <v>0</v>
      </c>
      <c r="AD1081" s="61">
        <v>6.993006993006993E-3</v>
      </c>
      <c r="AE1081" s="61">
        <v>5.5944055944055944E-2</v>
      </c>
      <c r="AF1081" s="61">
        <v>0</v>
      </c>
      <c r="AG1081" s="61">
        <v>0.81818181818181823</v>
      </c>
      <c r="AH1081" s="61">
        <v>4.195804195804196E-2</v>
      </c>
      <c r="AI1081" s="61">
        <v>0.18181818181818182</v>
      </c>
      <c r="AJ1081" s="59">
        <v>0.59440000000000004</v>
      </c>
      <c r="AK1081" s="59">
        <v>4.2000000000000003E-2</v>
      </c>
      <c r="AL1081" s="3">
        <v>11</v>
      </c>
      <c r="AM1081" s="3">
        <v>9</v>
      </c>
      <c r="AN1081" s="3">
        <v>1</v>
      </c>
      <c r="AO1081" s="3">
        <v>8</v>
      </c>
      <c r="AP1081" s="3">
        <v>13</v>
      </c>
      <c r="AQ1081" s="3">
        <v>9</v>
      </c>
      <c r="AR1081" s="3">
        <v>9</v>
      </c>
      <c r="AS1081" s="59">
        <v>0.1111111111111111</v>
      </c>
      <c r="AT1081" s="3">
        <v>1</v>
      </c>
      <c r="AU1081" s="3">
        <v>6</v>
      </c>
      <c r="AV1081" s="49">
        <v>100</v>
      </c>
      <c r="AW1081" s="49">
        <v>0</v>
      </c>
      <c r="AX1081" s="49">
        <v>0</v>
      </c>
      <c r="AY1081" s="67">
        <v>0</v>
      </c>
      <c r="AZ1081" s="63">
        <v>7.1428571428571425E-2</v>
      </c>
      <c r="BA1081" s="63">
        <v>5.3571428571428568E-2</v>
      </c>
      <c r="BB1081" s="78">
        <v>93.938716625350494</v>
      </c>
      <c r="BC1081" s="49">
        <v>54.901960784313701</v>
      </c>
      <c r="BD1081" s="3"/>
      <c r="BE1081" s="3"/>
      <c r="BF1081" s="3"/>
      <c r="BG1081" s="3"/>
      <c r="BH1081" s="3"/>
      <c r="BI1081" s="3"/>
      <c r="BJ1081" s="87"/>
      <c r="BK1081" s="126">
        <v>24330</v>
      </c>
      <c r="BL1081" s="126">
        <v>57966</v>
      </c>
      <c r="BM1081" s="126">
        <v>38842</v>
      </c>
      <c r="BN1081" s="126">
        <v>46128</v>
      </c>
      <c r="BO1081" s="59">
        <v>0</v>
      </c>
      <c r="BP1081" s="63">
        <v>0.4274</v>
      </c>
      <c r="BQ1081" s="63">
        <v>0.1124</v>
      </c>
      <c r="BR1081" s="63">
        <v>0</v>
      </c>
      <c r="BS1081" s="63">
        <v>2.4400000000000002E-2</v>
      </c>
      <c r="BT1081" s="87">
        <v>16.8</v>
      </c>
      <c r="BU1081" s="59">
        <f t="shared" si="76"/>
        <v>0.56420000000000003</v>
      </c>
      <c r="BV1081" s="59">
        <v>4.8800000000000003E-2</v>
      </c>
      <c r="BW1081" s="63">
        <v>3.8399999999999997E-2</v>
      </c>
      <c r="BX1081" s="63">
        <v>0</v>
      </c>
      <c r="BY1081" s="63">
        <v>0</v>
      </c>
      <c r="BZ1081" s="63">
        <v>2.4400000000000002E-2</v>
      </c>
      <c r="CA1081" s="87">
        <v>17.600000000000001</v>
      </c>
      <c r="CB1081" s="59">
        <f t="shared" si="77"/>
        <v>0.1116</v>
      </c>
      <c r="CC1081" s="59">
        <v>0.26939999999999997</v>
      </c>
      <c r="CD1081" s="63">
        <v>0.52049999999999996</v>
      </c>
      <c r="CE1081" s="63">
        <v>0.16120000000000001</v>
      </c>
      <c r="CF1081" s="63">
        <v>0</v>
      </c>
      <c r="CG1081" s="63">
        <v>4.8800000000000003E-2</v>
      </c>
      <c r="CH1081" s="87">
        <v>15.1</v>
      </c>
      <c r="CI1081" s="26" t="s">
        <v>225</v>
      </c>
      <c r="CJ1081" s="18" t="s">
        <v>505</v>
      </c>
      <c r="CK1081" s="20"/>
    </row>
    <row r="1082" spans="1:89" x14ac:dyDescent="0.25">
      <c r="A1082" s="18" t="s">
        <v>505</v>
      </c>
      <c r="B1082" s="19" t="s">
        <v>219</v>
      </c>
      <c r="C1082" s="26" t="s">
        <v>226</v>
      </c>
      <c r="D1082" s="6">
        <v>0</v>
      </c>
      <c r="E1082" s="6">
        <v>0</v>
      </c>
      <c r="F1082" s="6">
        <v>0</v>
      </c>
      <c r="N1082" s="119">
        <v>0</v>
      </c>
      <c r="O1082" s="119">
        <v>0</v>
      </c>
      <c r="P1082" s="119">
        <v>0</v>
      </c>
      <c r="Q1082" s="119">
        <v>0</v>
      </c>
      <c r="R1082" s="116" t="s">
        <v>83</v>
      </c>
      <c r="S1082" s="119">
        <v>0</v>
      </c>
      <c r="T1082" s="119">
        <v>0</v>
      </c>
      <c r="U1082" s="119">
        <v>0</v>
      </c>
      <c r="V1082" s="119">
        <v>0</v>
      </c>
      <c r="W1082" s="6">
        <v>823</v>
      </c>
      <c r="X1082" s="40">
        <f t="shared" si="74"/>
        <v>453</v>
      </c>
      <c r="Y1082" s="40">
        <f t="shared" si="75"/>
        <v>698</v>
      </c>
      <c r="Z1082" s="59">
        <v>0.55889999999999995</v>
      </c>
      <c r="AA1082" s="59">
        <v>0.44109999999999999</v>
      </c>
      <c r="AB1082" s="61">
        <v>1.215066828675577E-3</v>
      </c>
      <c r="AC1082" s="61">
        <v>0.16889428918590524</v>
      </c>
      <c r="AD1082" s="61">
        <v>5.5893074119076548E-2</v>
      </c>
      <c r="AE1082" s="61">
        <v>0.13487241798298907</v>
      </c>
      <c r="AF1082" s="61">
        <v>0</v>
      </c>
      <c r="AG1082" s="61">
        <v>0.59173754556500613</v>
      </c>
      <c r="AH1082" s="61">
        <v>4.7387606318347507E-2</v>
      </c>
      <c r="AI1082" s="61">
        <v>0.40826245443499393</v>
      </c>
      <c r="AJ1082" s="59">
        <v>0.33539999999999998</v>
      </c>
      <c r="AK1082" s="59">
        <v>0</v>
      </c>
      <c r="AL1082" s="3">
        <v>123</v>
      </c>
      <c r="AM1082" s="3">
        <v>122</v>
      </c>
      <c r="AN1082" s="3">
        <v>0</v>
      </c>
      <c r="AO1082" s="3">
        <v>124</v>
      </c>
      <c r="AP1082" s="3">
        <v>119</v>
      </c>
      <c r="AQ1082" s="3">
        <v>118</v>
      </c>
      <c r="AR1082" s="3">
        <v>92</v>
      </c>
      <c r="AS1082" s="59">
        <v>0</v>
      </c>
      <c r="AT1082" s="3">
        <v>6</v>
      </c>
      <c r="AU1082" s="3">
        <v>7</v>
      </c>
      <c r="AV1082" s="49">
        <v>48.048048048047995</v>
      </c>
      <c r="AW1082" s="49">
        <v>25.225225225225202</v>
      </c>
      <c r="AX1082" s="49">
        <v>24.324324324324301</v>
      </c>
      <c r="AY1082" s="67">
        <v>2.4024024024023998</v>
      </c>
      <c r="AZ1082" s="63">
        <v>1.6826923076923076E-2</v>
      </c>
      <c r="BA1082" s="63">
        <v>9.6153846153846159E-3</v>
      </c>
      <c r="BB1082" s="77">
        <v>96.914496328191404</v>
      </c>
      <c r="BC1082" s="49">
        <v>24.9699879951981</v>
      </c>
      <c r="BD1082" s="3"/>
      <c r="BE1082" s="3"/>
      <c r="BF1082" s="3"/>
      <c r="BG1082" s="3"/>
      <c r="BH1082" s="3"/>
      <c r="BI1082" s="3"/>
      <c r="BJ1082" s="88">
        <v>29.8</v>
      </c>
      <c r="BK1082" s="126">
        <v>10106</v>
      </c>
      <c r="BL1082" s="126">
        <v>56471</v>
      </c>
      <c r="BM1082" s="126">
        <v>55922</v>
      </c>
      <c r="BN1082" s="126">
        <v>53801</v>
      </c>
      <c r="BO1082" s="59">
        <v>0</v>
      </c>
      <c r="BP1082" s="63">
        <v>0.39269999999999999</v>
      </c>
      <c r="BQ1082" s="63">
        <v>0.33460000000000001</v>
      </c>
      <c r="BR1082" s="63">
        <v>0</v>
      </c>
      <c r="BS1082" s="63">
        <v>1.46E-2</v>
      </c>
      <c r="BT1082" s="87">
        <v>19.2</v>
      </c>
      <c r="BU1082" s="59">
        <f t="shared" si="76"/>
        <v>0.7419</v>
      </c>
      <c r="BV1082" s="59">
        <v>4.3900000000000002E-2</v>
      </c>
      <c r="BW1082" s="63">
        <v>1.46E-2</v>
      </c>
      <c r="BX1082" s="63">
        <v>4.9799999999999997E-2</v>
      </c>
      <c r="BY1082" s="63">
        <v>0</v>
      </c>
      <c r="BZ1082" s="63">
        <v>0</v>
      </c>
      <c r="CA1082" s="87">
        <v>19.5</v>
      </c>
      <c r="CB1082" s="59">
        <f t="shared" si="77"/>
        <v>0.10830000000000001</v>
      </c>
      <c r="CC1082" s="59">
        <v>0.14249999999999999</v>
      </c>
      <c r="CD1082" s="63">
        <v>0.4219</v>
      </c>
      <c r="CE1082" s="63">
        <v>0.4209</v>
      </c>
      <c r="CF1082" s="63">
        <v>0</v>
      </c>
      <c r="CG1082" s="63">
        <v>1.46E-2</v>
      </c>
      <c r="CH1082" s="87">
        <v>18.600000000000001</v>
      </c>
      <c r="CI1082" s="26" t="s">
        <v>226</v>
      </c>
      <c r="CJ1082" s="18" t="s">
        <v>505</v>
      </c>
      <c r="CK1082" s="20"/>
    </row>
    <row r="1083" spans="1:89" x14ac:dyDescent="0.25">
      <c r="A1083" s="18" t="s">
        <v>505</v>
      </c>
      <c r="B1083" s="19" t="s">
        <v>219</v>
      </c>
      <c r="C1083" s="26" t="s">
        <v>227</v>
      </c>
      <c r="D1083" s="6">
        <v>88</v>
      </c>
      <c r="E1083" s="40" t="s">
        <v>83</v>
      </c>
      <c r="F1083" s="6">
        <v>88</v>
      </c>
      <c r="N1083" s="119">
        <v>5.86666666666667E-2</v>
      </c>
      <c r="O1083" s="119">
        <v>5.86666666666667E-2</v>
      </c>
      <c r="P1083" s="116" t="s">
        <v>83</v>
      </c>
      <c r="Q1083" s="116" t="s">
        <v>83</v>
      </c>
      <c r="R1083" s="119">
        <v>0</v>
      </c>
      <c r="S1083" s="119">
        <v>8.9605734767025103E-2</v>
      </c>
      <c r="T1083" s="119">
        <v>9.0909090909090898E-2</v>
      </c>
      <c r="U1083" s="119">
        <v>6.7901234567901203E-2</v>
      </c>
      <c r="V1083" s="119">
        <v>1.8461538461538501E-2</v>
      </c>
      <c r="W1083" s="6">
        <v>1302</v>
      </c>
      <c r="X1083" s="40">
        <f t="shared" si="74"/>
        <v>1302</v>
      </c>
      <c r="Y1083" s="40">
        <f t="shared" si="75"/>
        <v>1302</v>
      </c>
      <c r="Z1083" s="59">
        <v>0.50460000000000005</v>
      </c>
      <c r="AA1083" s="59">
        <v>0.49540000000000001</v>
      </c>
      <c r="AB1083" s="61">
        <v>3.8402457757296467E-3</v>
      </c>
      <c r="AC1083" s="61">
        <v>4.4546850998463901E-2</v>
      </c>
      <c r="AD1083" s="61">
        <v>0.63364055299539168</v>
      </c>
      <c r="AE1083" s="61">
        <v>0.14976958525345621</v>
      </c>
      <c r="AF1083" s="61">
        <v>7.6804915514592934E-4</v>
      </c>
      <c r="AG1083" s="61">
        <v>0.14669738863287252</v>
      </c>
      <c r="AH1083" s="61">
        <v>2.0737327188940093E-2</v>
      </c>
      <c r="AI1083" s="61">
        <v>0.85330261136712748</v>
      </c>
      <c r="AJ1083" s="59">
        <v>0.85250000000000004</v>
      </c>
      <c r="AK1083" s="59">
        <v>7.9899999999999999E-2</v>
      </c>
      <c r="AL1083" s="3">
        <v>0</v>
      </c>
      <c r="AM1083" s="3">
        <v>0</v>
      </c>
      <c r="AN1083" s="3">
        <v>197</v>
      </c>
      <c r="AO1083" s="3">
        <v>199</v>
      </c>
      <c r="AP1083" s="3">
        <v>322</v>
      </c>
      <c r="AQ1083" s="3">
        <v>277</v>
      </c>
      <c r="AR1083" s="3">
        <v>307</v>
      </c>
      <c r="AS1083" s="59">
        <v>0.49747474747474746</v>
      </c>
      <c r="AT1083" s="3">
        <v>9</v>
      </c>
      <c r="AU1083" s="3">
        <v>6</v>
      </c>
      <c r="AV1083" s="49">
        <v>48.7544483985765</v>
      </c>
      <c r="AW1083" s="49">
        <v>15.1245551601424</v>
      </c>
      <c r="AX1083" s="49">
        <v>21.886120996441299</v>
      </c>
      <c r="AY1083" s="67">
        <v>14.234875444839901</v>
      </c>
      <c r="AZ1083" s="63">
        <v>0.2419904567143831</v>
      </c>
      <c r="BA1083" s="63">
        <v>0.40013633265167009</v>
      </c>
      <c r="BB1083" s="78">
        <v>88.745331077352503</v>
      </c>
      <c r="BC1083" s="49">
        <v>65.405046480743707</v>
      </c>
      <c r="BD1083" s="3"/>
      <c r="BE1083" s="3"/>
      <c r="BF1083" s="3"/>
      <c r="BG1083" s="3"/>
      <c r="BH1083" s="3"/>
      <c r="BI1083" s="3"/>
      <c r="BJ1083" s="88">
        <v>17.3</v>
      </c>
      <c r="BK1083" s="126">
        <v>11608</v>
      </c>
      <c r="BL1083" s="126">
        <v>50276</v>
      </c>
      <c r="BM1083" s="126">
        <v>52418</v>
      </c>
      <c r="BN1083" s="126">
        <v>44007</v>
      </c>
      <c r="BO1083" s="59">
        <v>0</v>
      </c>
      <c r="BP1083" s="63">
        <v>0.3755</v>
      </c>
      <c r="BQ1083" s="63">
        <v>0.17280000000000001</v>
      </c>
      <c r="BR1083" s="63">
        <v>7.6E-3</v>
      </c>
      <c r="BS1083" s="63">
        <v>0</v>
      </c>
      <c r="BT1083" s="87">
        <v>11.2</v>
      </c>
      <c r="BU1083" s="59">
        <f t="shared" si="76"/>
        <v>0.55590000000000006</v>
      </c>
      <c r="BV1083" s="59">
        <v>2.2800000000000001E-2</v>
      </c>
      <c r="BW1083" s="63">
        <v>1.52E-2</v>
      </c>
      <c r="BX1083" s="63">
        <v>6.7000000000000004E-2</v>
      </c>
      <c r="BY1083" s="63">
        <v>0</v>
      </c>
      <c r="BZ1083" s="63">
        <v>0</v>
      </c>
      <c r="CA1083" s="87">
        <v>16</v>
      </c>
      <c r="CB1083" s="59">
        <f t="shared" si="77"/>
        <v>0.10500000000000001</v>
      </c>
      <c r="CC1083" s="59">
        <v>0.255</v>
      </c>
      <c r="CD1083" s="63">
        <v>0.44429999999999997</v>
      </c>
      <c r="CE1083" s="63">
        <v>0.28170000000000001</v>
      </c>
      <c r="CF1083" s="63">
        <v>1.9E-2</v>
      </c>
      <c r="CG1083" s="63">
        <v>0</v>
      </c>
      <c r="CH1083" s="87">
        <v>11.7</v>
      </c>
      <c r="CI1083" s="26" t="s">
        <v>227</v>
      </c>
      <c r="CJ1083" s="18" t="s">
        <v>505</v>
      </c>
      <c r="CK1083" s="20"/>
    </row>
    <row r="1084" spans="1:89" x14ac:dyDescent="0.25">
      <c r="A1084" s="18" t="s">
        <v>505</v>
      </c>
      <c r="B1084" s="19" t="s">
        <v>219</v>
      </c>
      <c r="C1084" s="26" t="s">
        <v>228</v>
      </c>
      <c r="D1084" s="6">
        <v>106</v>
      </c>
      <c r="E1084" s="40" t="s">
        <v>83</v>
      </c>
      <c r="F1084" s="6">
        <v>106</v>
      </c>
      <c r="N1084" s="119">
        <v>6.6291432145090701E-2</v>
      </c>
      <c r="O1084" s="119">
        <v>6.6291432145090701E-2</v>
      </c>
      <c r="P1084" s="116" t="s">
        <v>83</v>
      </c>
      <c r="Q1084" s="116" t="s">
        <v>83</v>
      </c>
      <c r="R1084" s="119">
        <v>0</v>
      </c>
      <c r="S1084" s="119">
        <v>0.11227154046997399</v>
      </c>
      <c r="T1084" s="119">
        <v>6.6985645933014398E-2</v>
      </c>
      <c r="U1084" s="119">
        <v>6.4690026954177901E-2</v>
      </c>
      <c r="V1084" s="119">
        <v>3.47003154574132E-2</v>
      </c>
      <c r="W1084" s="6">
        <v>1390</v>
      </c>
      <c r="X1084" s="40">
        <f t="shared" si="74"/>
        <v>1390</v>
      </c>
      <c r="Y1084" s="40">
        <f t="shared" si="75"/>
        <v>1390</v>
      </c>
      <c r="Z1084" s="59">
        <v>0.46550000000000002</v>
      </c>
      <c r="AA1084" s="59">
        <v>0.53449999999999998</v>
      </c>
      <c r="AB1084" s="61">
        <v>2.158273381294964E-3</v>
      </c>
      <c r="AC1084" s="61">
        <v>6.1151079136690649E-2</v>
      </c>
      <c r="AD1084" s="61">
        <v>0.21942446043165467</v>
      </c>
      <c r="AE1084" s="61">
        <v>0.49928057553956834</v>
      </c>
      <c r="AF1084" s="61">
        <v>0</v>
      </c>
      <c r="AG1084" s="61">
        <v>0.20071942446043164</v>
      </c>
      <c r="AH1084" s="61">
        <v>1.7266187050359712E-2</v>
      </c>
      <c r="AI1084" s="61">
        <v>0.79928057553956833</v>
      </c>
      <c r="AJ1084" s="59">
        <v>0.79139999999999999</v>
      </c>
      <c r="AK1084" s="59">
        <v>0.32300000000000001</v>
      </c>
      <c r="AL1084" s="3">
        <v>0</v>
      </c>
      <c r="AM1084" s="3">
        <v>0</v>
      </c>
      <c r="AN1084" s="3">
        <v>107</v>
      </c>
      <c r="AO1084" s="3">
        <v>284</v>
      </c>
      <c r="AP1084" s="3">
        <v>362</v>
      </c>
      <c r="AQ1084" s="3">
        <v>349</v>
      </c>
      <c r="AR1084" s="3">
        <v>288</v>
      </c>
      <c r="AS1084" s="59">
        <v>0.27365728900255754</v>
      </c>
      <c r="AT1084" s="3">
        <v>9</v>
      </c>
      <c r="AU1084" s="3">
        <v>6</v>
      </c>
      <c r="AV1084" s="49">
        <v>46.568627450980401</v>
      </c>
      <c r="AW1084" s="49">
        <v>22.2222222222222</v>
      </c>
      <c r="AX1084" s="49">
        <v>28.921568627450998</v>
      </c>
      <c r="AY1084" s="67">
        <v>2.28758169934641</v>
      </c>
      <c r="AZ1084" s="63">
        <v>0.15799614643545279</v>
      </c>
      <c r="BA1084" s="63">
        <v>9.4412331406551059E-2</v>
      </c>
      <c r="BB1084" s="77">
        <v>91.705060367143702</v>
      </c>
      <c r="BC1084" s="49">
        <v>54.707379134859998</v>
      </c>
      <c r="BD1084" s="3"/>
      <c r="BE1084" s="3"/>
      <c r="BF1084" s="3"/>
      <c r="BG1084" s="3"/>
      <c r="BH1084" s="3"/>
      <c r="BI1084" s="3"/>
      <c r="BJ1084" s="88">
        <v>17.7</v>
      </c>
      <c r="BK1084" s="126">
        <v>10909</v>
      </c>
      <c r="BL1084" s="126">
        <v>50602</v>
      </c>
      <c r="BM1084" s="126">
        <v>56039</v>
      </c>
      <c r="BN1084" s="126">
        <v>43823</v>
      </c>
      <c r="BO1084" s="59">
        <v>0</v>
      </c>
      <c r="BP1084" s="63">
        <v>0.35820000000000002</v>
      </c>
      <c r="BQ1084" s="63">
        <v>0.1918</v>
      </c>
      <c r="BR1084" s="63">
        <v>0</v>
      </c>
      <c r="BS1084" s="63">
        <v>1.43E-2</v>
      </c>
      <c r="BT1084" s="87">
        <v>8.3000000000000007</v>
      </c>
      <c r="BU1084" s="59">
        <f t="shared" si="76"/>
        <v>0.56430000000000002</v>
      </c>
      <c r="BV1084" s="59">
        <v>3.5700000000000003E-2</v>
      </c>
      <c r="BW1084" s="63">
        <v>0</v>
      </c>
      <c r="BX1084" s="63">
        <v>4.7199999999999999E-2</v>
      </c>
      <c r="BY1084" s="63">
        <v>0</v>
      </c>
      <c r="BZ1084" s="63">
        <v>0</v>
      </c>
      <c r="CA1084" s="87">
        <v>15.5</v>
      </c>
      <c r="CB1084" s="59">
        <f t="shared" si="77"/>
        <v>8.2900000000000001E-2</v>
      </c>
      <c r="CC1084" s="59">
        <v>0.28170000000000001</v>
      </c>
      <c r="CD1084" s="63">
        <v>0.41689999999999999</v>
      </c>
      <c r="CE1084" s="63">
        <v>0.28710000000000002</v>
      </c>
      <c r="CF1084" s="63">
        <v>0</v>
      </c>
      <c r="CG1084" s="63">
        <v>1.43E-2</v>
      </c>
      <c r="CH1084" s="87">
        <v>9.5</v>
      </c>
      <c r="CI1084" s="26" t="s">
        <v>228</v>
      </c>
      <c r="CJ1084" s="18" t="s">
        <v>505</v>
      </c>
      <c r="CK1084" s="20"/>
    </row>
    <row r="1085" spans="1:89" x14ac:dyDescent="0.25">
      <c r="A1085" s="18" t="s">
        <v>505</v>
      </c>
      <c r="B1085" s="19" t="s">
        <v>219</v>
      </c>
      <c r="C1085" s="26" t="s">
        <v>229</v>
      </c>
      <c r="D1085" s="6">
        <v>38</v>
      </c>
      <c r="E1085" s="40" t="s">
        <v>83</v>
      </c>
      <c r="F1085" s="6">
        <v>38</v>
      </c>
      <c r="N1085" s="119">
        <v>3.0230708035004002E-2</v>
      </c>
      <c r="O1085" s="119">
        <v>3.0230708035004002E-2</v>
      </c>
      <c r="P1085" s="116" t="s">
        <v>83</v>
      </c>
      <c r="Q1085" s="116" t="s">
        <v>83</v>
      </c>
      <c r="R1085" s="119">
        <v>0</v>
      </c>
      <c r="S1085" s="119">
        <v>2.4844720496894401E-2</v>
      </c>
      <c r="T1085" s="119">
        <v>3.8997214484679701E-2</v>
      </c>
      <c r="U1085" s="119">
        <v>2.34375E-2</v>
      </c>
      <c r="V1085" s="119">
        <v>3.5087719298245598E-2</v>
      </c>
      <c r="W1085" s="6">
        <v>1162</v>
      </c>
      <c r="X1085" s="40">
        <f t="shared" si="74"/>
        <v>1162</v>
      </c>
      <c r="Y1085" s="40">
        <f t="shared" si="75"/>
        <v>1162</v>
      </c>
      <c r="Z1085" s="59">
        <v>0.52929999999999999</v>
      </c>
      <c r="AA1085" s="59">
        <v>0.47070000000000001</v>
      </c>
      <c r="AB1085" s="61">
        <v>5.1635111876075735E-3</v>
      </c>
      <c r="AC1085" s="61">
        <v>4.2168674698795178E-2</v>
      </c>
      <c r="AD1085" s="61">
        <v>0.30464716006884679</v>
      </c>
      <c r="AE1085" s="61">
        <v>0.25645438898450945</v>
      </c>
      <c r="AF1085" s="61">
        <v>0</v>
      </c>
      <c r="AG1085" s="61">
        <v>0.35972461273666095</v>
      </c>
      <c r="AH1085" s="61">
        <v>3.1841652323580036E-2</v>
      </c>
      <c r="AI1085" s="61">
        <v>0.6402753872633391</v>
      </c>
      <c r="AJ1085" s="59">
        <v>0.70050000000000001</v>
      </c>
      <c r="AK1085" s="59">
        <v>7.1400000000000005E-2</v>
      </c>
      <c r="AL1085" s="3">
        <v>0</v>
      </c>
      <c r="AM1085" s="3">
        <v>0</v>
      </c>
      <c r="AN1085" s="3">
        <v>28</v>
      </c>
      <c r="AO1085" s="3">
        <v>297</v>
      </c>
      <c r="AP1085" s="3">
        <v>335</v>
      </c>
      <c r="AQ1085" s="3">
        <v>236</v>
      </c>
      <c r="AR1085" s="3">
        <v>266</v>
      </c>
      <c r="AS1085" s="59">
        <v>8.615384615384615E-2</v>
      </c>
      <c r="AT1085" s="3">
        <v>9</v>
      </c>
      <c r="AU1085" s="3">
        <v>6</v>
      </c>
      <c r="AV1085" s="49">
        <v>38.870431893687702</v>
      </c>
      <c r="AW1085" s="49">
        <v>24.418604651162802</v>
      </c>
      <c r="AX1085" s="49">
        <v>35.2159468438538</v>
      </c>
      <c r="AY1085" s="67">
        <v>1.49501661129568</v>
      </c>
      <c r="AZ1085" s="63">
        <v>0.24614134849715677</v>
      </c>
      <c r="BA1085" s="63">
        <v>9.6669374492282703E-2</v>
      </c>
      <c r="BB1085" s="78">
        <v>93.778962177098506</v>
      </c>
      <c r="BC1085" s="49">
        <v>66.720647773279396</v>
      </c>
      <c r="BD1085" s="3"/>
      <c r="BE1085" s="3"/>
      <c r="BF1085" s="3"/>
      <c r="BG1085" s="3"/>
      <c r="BH1085" s="3"/>
      <c r="BI1085" s="3"/>
      <c r="BJ1085" s="88">
        <v>19.899999999999999</v>
      </c>
      <c r="BK1085" s="126">
        <v>10356</v>
      </c>
      <c r="BL1085" s="126">
        <v>52281</v>
      </c>
      <c r="BM1085" s="126">
        <v>52680</v>
      </c>
      <c r="BN1085" s="126">
        <v>45312</v>
      </c>
      <c r="BO1085" s="59">
        <v>0</v>
      </c>
      <c r="BP1085" s="63">
        <v>0.41320000000000001</v>
      </c>
      <c r="BQ1085" s="63">
        <v>0.16</v>
      </c>
      <c r="BR1085" s="63">
        <v>9.1999999999999998E-3</v>
      </c>
      <c r="BS1085" s="63">
        <v>4.3E-3</v>
      </c>
      <c r="BT1085" s="87">
        <v>10.199999999999999</v>
      </c>
      <c r="BU1085" s="59">
        <f t="shared" si="76"/>
        <v>0.5867</v>
      </c>
      <c r="BV1085" s="59">
        <v>3.8100000000000002E-2</v>
      </c>
      <c r="BW1085" s="63">
        <v>0</v>
      </c>
      <c r="BX1085" s="63">
        <v>6.4299999999999996E-2</v>
      </c>
      <c r="BY1085" s="63">
        <v>0</v>
      </c>
      <c r="BZ1085" s="63">
        <v>0</v>
      </c>
      <c r="CA1085" s="87">
        <v>10.6</v>
      </c>
      <c r="CB1085" s="59">
        <f t="shared" si="77"/>
        <v>0.10239999999999999</v>
      </c>
      <c r="CC1085" s="59">
        <v>0.24349999999999999</v>
      </c>
      <c r="CD1085" s="63">
        <v>0.44990000000000002</v>
      </c>
      <c r="CE1085" s="63">
        <v>0.27929999999999999</v>
      </c>
      <c r="CF1085" s="63">
        <v>2.3E-2</v>
      </c>
      <c r="CG1085" s="63">
        <v>4.3E-3</v>
      </c>
      <c r="CH1085" s="87">
        <v>10.9</v>
      </c>
      <c r="CI1085" s="26" t="s">
        <v>229</v>
      </c>
      <c r="CJ1085" s="18" t="s">
        <v>505</v>
      </c>
      <c r="CK1085" s="20"/>
    </row>
    <row r="1086" spans="1:89" x14ac:dyDescent="0.25">
      <c r="A1086" s="18" t="s">
        <v>505</v>
      </c>
      <c r="B1086" s="19" t="s">
        <v>219</v>
      </c>
      <c r="C1086" s="26" t="s">
        <v>230</v>
      </c>
      <c r="D1086" s="6">
        <v>154</v>
      </c>
      <c r="E1086" s="40" t="s">
        <v>83</v>
      </c>
      <c r="F1086" s="6">
        <v>154</v>
      </c>
      <c r="N1086" s="119">
        <v>9.4827586206896505E-2</v>
      </c>
      <c r="O1086" s="119">
        <v>9.4827586206896505E-2</v>
      </c>
      <c r="P1086" s="116" t="s">
        <v>83</v>
      </c>
      <c r="Q1086" s="116" t="s">
        <v>83</v>
      </c>
      <c r="R1086" s="119">
        <v>9.5238095238095195E-3</v>
      </c>
      <c r="S1086" s="119">
        <v>0.134146341463415</v>
      </c>
      <c r="T1086" s="119">
        <v>0.112709832134293</v>
      </c>
      <c r="U1086" s="119">
        <v>9.7500000000000003E-2</v>
      </c>
      <c r="V1086" s="119">
        <v>4.1095890410958902E-2</v>
      </c>
      <c r="W1086" s="6">
        <v>1390</v>
      </c>
      <c r="X1086" s="40">
        <f t="shared" si="74"/>
        <v>1390</v>
      </c>
      <c r="Y1086" s="40">
        <f t="shared" si="75"/>
        <v>1390</v>
      </c>
      <c r="Z1086" s="59">
        <v>0.48630000000000001</v>
      </c>
      <c r="AA1086" s="59">
        <v>0.51370000000000005</v>
      </c>
      <c r="AB1086" s="61">
        <v>1.4388489208633094E-3</v>
      </c>
      <c r="AC1086" s="61">
        <v>2.5899280575539568E-2</v>
      </c>
      <c r="AD1086" s="61">
        <v>0.52302158273381294</v>
      </c>
      <c r="AE1086" s="61">
        <v>0.32589928057553957</v>
      </c>
      <c r="AF1086" s="61">
        <v>0</v>
      </c>
      <c r="AG1086" s="61">
        <v>0.10647482014388489</v>
      </c>
      <c r="AH1086" s="61">
        <v>1.7266187050359712E-2</v>
      </c>
      <c r="AI1086" s="61">
        <v>0.89352517985611513</v>
      </c>
      <c r="AJ1086" s="59">
        <v>0.88490000000000002</v>
      </c>
      <c r="AK1086" s="59">
        <v>0.23530000000000001</v>
      </c>
      <c r="AL1086" s="3">
        <v>0</v>
      </c>
      <c r="AM1086" s="3">
        <v>0</v>
      </c>
      <c r="AN1086" s="3">
        <v>58</v>
      </c>
      <c r="AO1086" s="3">
        <v>347</v>
      </c>
      <c r="AP1086" s="3">
        <v>357</v>
      </c>
      <c r="AQ1086" s="3">
        <v>360</v>
      </c>
      <c r="AR1086" s="3">
        <v>268</v>
      </c>
      <c r="AS1086" s="59">
        <v>0.14320987654320988</v>
      </c>
      <c r="AT1086" s="3">
        <v>9</v>
      </c>
      <c r="AU1086" s="3">
        <v>6</v>
      </c>
      <c r="AV1086" s="49">
        <v>32.4420677361854</v>
      </c>
      <c r="AW1086" s="49">
        <v>16.2210338680927</v>
      </c>
      <c r="AX1086" s="49">
        <v>38.680926916220997</v>
      </c>
      <c r="AY1086" s="67">
        <v>12.655971479500899</v>
      </c>
      <c r="AZ1086" s="63">
        <v>0.24614395886889459</v>
      </c>
      <c r="BA1086" s="63">
        <v>0.16195372750642673</v>
      </c>
      <c r="BB1086" s="77">
        <v>88.752402475341597</v>
      </c>
      <c r="BC1086" s="49">
        <v>73.037974683544306</v>
      </c>
      <c r="BD1086" s="3"/>
      <c r="BE1086" s="3"/>
      <c r="BF1086" s="3"/>
      <c r="BG1086" s="3"/>
      <c r="BH1086" s="3"/>
      <c r="BI1086" s="3"/>
      <c r="BJ1086" s="88">
        <v>16.7</v>
      </c>
      <c r="BK1086" s="126">
        <v>10864</v>
      </c>
      <c r="BL1086" s="126">
        <v>50558</v>
      </c>
      <c r="BM1086" s="126">
        <v>47535</v>
      </c>
      <c r="BN1086" s="126">
        <v>44029</v>
      </c>
      <c r="BO1086" s="59">
        <v>7.3000000000000001E-3</v>
      </c>
      <c r="BP1086" s="63">
        <v>0.30719999999999997</v>
      </c>
      <c r="BQ1086" s="63">
        <v>0.2697</v>
      </c>
      <c r="BR1086" s="63">
        <v>0</v>
      </c>
      <c r="BS1086" s="63">
        <v>3.3999999999999998E-3</v>
      </c>
      <c r="BT1086" s="87">
        <v>10</v>
      </c>
      <c r="BU1086" s="59">
        <f t="shared" si="76"/>
        <v>0.5875999999999999</v>
      </c>
      <c r="BV1086" s="59">
        <v>3.1600000000000003E-2</v>
      </c>
      <c r="BW1086" s="63">
        <v>1.15E-2</v>
      </c>
      <c r="BX1086" s="63">
        <v>5.1900000000000002E-2</v>
      </c>
      <c r="BY1086" s="63">
        <v>0</v>
      </c>
      <c r="BZ1086" s="63">
        <v>0</v>
      </c>
      <c r="CA1086" s="87">
        <v>8.1</v>
      </c>
      <c r="CB1086" s="59">
        <f t="shared" si="77"/>
        <v>9.5000000000000001E-2</v>
      </c>
      <c r="CC1086" s="59">
        <v>0.25030000000000002</v>
      </c>
      <c r="CD1086" s="63">
        <v>0.36259999999999998</v>
      </c>
      <c r="CE1086" s="63">
        <v>0.37640000000000001</v>
      </c>
      <c r="CF1086" s="63">
        <v>7.3000000000000001E-3</v>
      </c>
      <c r="CG1086" s="63">
        <v>3.3999999999999998E-3</v>
      </c>
      <c r="CH1086" s="87">
        <v>10</v>
      </c>
      <c r="CI1086" s="26" t="s">
        <v>230</v>
      </c>
      <c r="CJ1086" s="18" t="s">
        <v>505</v>
      </c>
      <c r="CK1086" s="20"/>
    </row>
    <row r="1087" spans="1:89" x14ac:dyDescent="0.25">
      <c r="A1087" s="18" t="s">
        <v>505</v>
      </c>
      <c r="B1087" s="19" t="s">
        <v>219</v>
      </c>
      <c r="C1087" s="26" t="s">
        <v>231</v>
      </c>
      <c r="D1087" s="6">
        <v>0</v>
      </c>
      <c r="E1087" s="6">
        <v>0</v>
      </c>
      <c r="F1087" s="6">
        <v>0</v>
      </c>
      <c r="N1087" s="119">
        <v>0</v>
      </c>
      <c r="O1087" s="119">
        <v>0</v>
      </c>
      <c r="P1087" s="119">
        <v>0</v>
      </c>
      <c r="Q1087" s="119">
        <v>0</v>
      </c>
      <c r="R1087" s="116" t="s">
        <v>83</v>
      </c>
      <c r="S1087" s="119">
        <v>0</v>
      </c>
      <c r="T1087" s="119">
        <v>0</v>
      </c>
      <c r="U1087" s="119">
        <v>0</v>
      </c>
      <c r="V1087" s="119">
        <v>0</v>
      </c>
      <c r="W1087" s="6">
        <v>678</v>
      </c>
      <c r="X1087" s="40">
        <f t="shared" si="74"/>
        <v>340</v>
      </c>
      <c r="Y1087" s="40">
        <f t="shared" si="75"/>
        <v>556</v>
      </c>
      <c r="Z1087" s="59">
        <v>0.46610000000000001</v>
      </c>
      <c r="AA1087" s="59">
        <v>0.53390000000000004</v>
      </c>
      <c r="AB1087" s="61">
        <v>2.9498525073746312E-3</v>
      </c>
      <c r="AC1087" s="61">
        <v>0.1415929203539823</v>
      </c>
      <c r="AD1087" s="61">
        <v>0.19321533923303835</v>
      </c>
      <c r="AE1087" s="61">
        <v>0.13421828908554573</v>
      </c>
      <c r="AF1087" s="61">
        <v>0</v>
      </c>
      <c r="AG1087" s="61">
        <v>0.49852507374631266</v>
      </c>
      <c r="AH1087" s="61">
        <v>2.9498525073746312E-2</v>
      </c>
      <c r="AI1087" s="61">
        <v>0.50147492625368728</v>
      </c>
      <c r="AJ1087" s="59">
        <v>0.4012</v>
      </c>
      <c r="AK1087" s="59">
        <v>0</v>
      </c>
      <c r="AL1087" s="3">
        <v>98</v>
      </c>
      <c r="AM1087" s="3">
        <v>118</v>
      </c>
      <c r="AN1087" s="3">
        <v>0</v>
      </c>
      <c r="AO1087" s="3">
        <v>105</v>
      </c>
      <c r="AP1087" s="3">
        <v>91</v>
      </c>
      <c r="AQ1087" s="3">
        <v>80</v>
      </c>
      <c r="AR1087" s="3">
        <v>64</v>
      </c>
      <c r="AS1087" s="59">
        <v>0</v>
      </c>
      <c r="AT1087" s="3">
        <v>6</v>
      </c>
      <c r="AU1087" s="3">
        <v>7</v>
      </c>
      <c r="AV1087" s="49">
        <v>34.146341463414601</v>
      </c>
      <c r="AW1087" s="49">
        <v>17.886178861788597</v>
      </c>
      <c r="AX1087" s="49">
        <v>36.585365853658502</v>
      </c>
      <c r="AY1087" s="67">
        <v>11.3821138211382</v>
      </c>
      <c r="AZ1087" s="63">
        <v>4.3415340086830683E-3</v>
      </c>
      <c r="BA1087" s="63">
        <v>2.4602026049204053E-2</v>
      </c>
      <c r="BB1087" s="78">
        <v>96.886409126442103</v>
      </c>
      <c r="BC1087" s="49">
        <v>21.181556195965399</v>
      </c>
      <c r="BD1087" s="3"/>
      <c r="BE1087" s="3"/>
      <c r="BF1087" s="3"/>
      <c r="BG1087" s="3"/>
      <c r="BH1087" s="3"/>
      <c r="BI1087" s="3"/>
      <c r="BJ1087" s="88">
        <v>28.4</v>
      </c>
      <c r="BK1087" s="126">
        <v>9983</v>
      </c>
      <c r="BL1087" s="126">
        <v>54219</v>
      </c>
      <c r="BM1087" s="126">
        <v>56084</v>
      </c>
      <c r="BN1087" s="126">
        <v>49461</v>
      </c>
      <c r="BO1087" s="59">
        <v>0</v>
      </c>
      <c r="BP1087" s="63">
        <v>0.26369999999999999</v>
      </c>
      <c r="BQ1087" s="63">
        <v>0.34510000000000002</v>
      </c>
      <c r="BR1087" s="63">
        <v>1.7000000000000001E-2</v>
      </c>
      <c r="BS1087" s="63">
        <v>1.7000000000000001E-2</v>
      </c>
      <c r="BT1087" s="87">
        <v>10.7</v>
      </c>
      <c r="BU1087" s="59">
        <f t="shared" si="76"/>
        <v>0.64280000000000004</v>
      </c>
      <c r="BV1087" s="59">
        <v>3.1E-2</v>
      </c>
      <c r="BW1087" s="63">
        <v>1.6400000000000001E-2</v>
      </c>
      <c r="BX1087" s="63">
        <v>3.4000000000000002E-2</v>
      </c>
      <c r="BY1087" s="63">
        <v>0</v>
      </c>
      <c r="BZ1087" s="63">
        <v>8.5000000000000006E-3</v>
      </c>
      <c r="CA1087" s="87">
        <v>11.1</v>
      </c>
      <c r="CB1087" s="59">
        <f t="shared" si="77"/>
        <v>8.9900000000000008E-2</v>
      </c>
      <c r="CC1087" s="59">
        <v>0.2132</v>
      </c>
      <c r="CD1087" s="63">
        <v>0.29709999999999998</v>
      </c>
      <c r="CE1087" s="63">
        <v>0.44719999999999999</v>
      </c>
      <c r="CF1087" s="63">
        <v>1.7000000000000001E-2</v>
      </c>
      <c r="CG1087" s="63">
        <v>2.5499999999999998E-2</v>
      </c>
      <c r="CH1087" s="87">
        <v>10.199999999999999</v>
      </c>
      <c r="CI1087" s="26" t="s">
        <v>231</v>
      </c>
      <c r="CJ1087" s="18" t="s">
        <v>505</v>
      </c>
      <c r="CK1087" s="20"/>
    </row>
    <row r="1088" spans="1:89" x14ac:dyDescent="0.25">
      <c r="A1088" s="18" t="s">
        <v>505</v>
      </c>
      <c r="B1088" s="19" t="s">
        <v>219</v>
      </c>
      <c r="C1088" s="26" t="s">
        <v>232</v>
      </c>
      <c r="D1088" s="6">
        <v>1</v>
      </c>
      <c r="E1088" s="40" t="s">
        <v>83</v>
      </c>
      <c r="F1088" s="6">
        <v>1</v>
      </c>
      <c r="N1088" s="119">
        <v>2.4390243902438998E-3</v>
      </c>
      <c r="O1088" s="119">
        <v>2.4390243902438998E-3</v>
      </c>
      <c r="P1088" s="116" t="s">
        <v>83</v>
      </c>
      <c r="Q1088" s="116" t="s">
        <v>83</v>
      </c>
      <c r="R1088" s="116" t="s">
        <v>83</v>
      </c>
      <c r="S1088" s="119">
        <v>0</v>
      </c>
      <c r="T1088" s="119">
        <v>8.6206896551724102E-3</v>
      </c>
      <c r="U1088" s="119">
        <v>0</v>
      </c>
      <c r="V1088" s="119">
        <v>0</v>
      </c>
      <c r="W1088" s="6">
        <v>405</v>
      </c>
      <c r="X1088" s="40">
        <f t="shared" si="74"/>
        <v>405</v>
      </c>
      <c r="Y1088" s="40">
        <f t="shared" si="75"/>
        <v>405</v>
      </c>
      <c r="Z1088" s="59">
        <v>0.48399999999999999</v>
      </c>
      <c r="AA1088" s="59">
        <v>0.51600000000000001</v>
      </c>
      <c r="AB1088" s="61">
        <v>7.4074074074074077E-3</v>
      </c>
      <c r="AC1088" s="61">
        <v>0.18271604938271604</v>
      </c>
      <c r="AD1088" s="61">
        <v>0.27654320987654318</v>
      </c>
      <c r="AE1088" s="61">
        <v>9.1358024691358022E-2</v>
      </c>
      <c r="AF1088" s="61">
        <v>0</v>
      </c>
      <c r="AG1088" s="61">
        <v>0.4123456790123457</v>
      </c>
      <c r="AH1088" s="61">
        <v>2.9629629629629631E-2</v>
      </c>
      <c r="AI1088" s="61">
        <v>0.58765432098765435</v>
      </c>
      <c r="AJ1088" s="59">
        <v>0.50860000000000005</v>
      </c>
      <c r="AK1088" s="59">
        <v>0</v>
      </c>
      <c r="AL1088" s="3">
        <v>0</v>
      </c>
      <c r="AM1088" s="3">
        <v>0</v>
      </c>
      <c r="AN1088" s="3">
        <v>0</v>
      </c>
      <c r="AO1088" s="3">
        <v>103</v>
      </c>
      <c r="AP1088" s="3">
        <v>115</v>
      </c>
      <c r="AQ1088" s="3">
        <v>100</v>
      </c>
      <c r="AR1088" s="3">
        <v>87</v>
      </c>
      <c r="AS1088" s="59">
        <v>0</v>
      </c>
      <c r="AT1088" s="3">
        <v>9</v>
      </c>
      <c r="AU1088" s="3">
        <v>7</v>
      </c>
      <c r="AV1088" s="49">
        <v>60.913705583756396</v>
      </c>
      <c r="AW1088" s="49">
        <v>18.7817258883249</v>
      </c>
      <c r="AX1088" s="49">
        <v>19.7969543147208</v>
      </c>
      <c r="AY1088" s="67">
        <v>0.50761421319797007</v>
      </c>
      <c r="AZ1088" s="63">
        <v>0</v>
      </c>
      <c r="BA1088" s="63">
        <v>3.9119804400977995E-2</v>
      </c>
      <c r="BB1088" s="77">
        <v>96.326507166039605</v>
      </c>
      <c r="BC1088" s="49">
        <v>17.067307692307701</v>
      </c>
      <c r="BD1088" s="3"/>
      <c r="BE1088" s="3"/>
      <c r="BF1088" s="3"/>
      <c r="BG1088" s="3"/>
      <c r="BH1088" s="3"/>
      <c r="BI1088" s="3"/>
      <c r="BJ1088" s="88">
        <v>26.8</v>
      </c>
      <c r="BK1088" s="126">
        <v>11440</v>
      </c>
      <c r="BL1088" s="126">
        <v>56389</v>
      </c>
      <c r="BM1088" s="126">
        <v>45107</v>
      </c>
      <c r="BN1088" s="126">
        <v>48504</v>
      </c>
      <c r="BO1088" s="59">
        <v>0</v>
      </c>
      <c r="BP1088" s="63">
        <v>0.3402</v>
      </c>
      <c r="BQ1088" s="63">
        <v>0.254</v>
      </c>
      <c r="BR1088" s="63">
        <v>0</v>
      </c>
      <c r="BS1088" s="63">
        <v>0</v>
      </c>
      <c r="BT1088" s="87">
        <v>14.8</v>
      </c>
      <c r="BU1088" s="59">
        <f t="shared" si="76"/>
        <v>0.59420000000000006</v>
      </c>
      <c r="BV1088" s="59">
        <v>5.4300000000000001E-2</v>
      </c>
      <c r="BW1088" s="63">
        <v>2.3099999999999999E-2</v>
      </c>
      <c r="BX1088" s="63">
        <v>4.6199999999999998E-2</v>
      </c>
      <c r="BY1088" s="63">
        <v>0</v>
      </c>
      <c r="BZ1088" s="63">
        <v>0</v>
      </c>
      <c r="CA1088" s="87">
        <v>14.3</v>
      </c>
      <c r="CB1088" s="59">
        <f t="shared" si="77"/>
        <v>0.12359999999999999</v>
      </c>
      <c r="CC1088" s="59">
        <v>0.25559999999999999</v>
      </c>
      <c r="CD1088" s="63">
        <v>0.36330000000000001</v>
      </c>
      <c r="CE1088" s="63">
        <v>0.3695</v>
      </c>
      <c r="CF1088" s="63">
        <v>1.15E-2</v>
      </c>
      <c r="CG1088" s="63">
        <v>0</v>
      </c>
      <c r="CH1088" s="87">
        <v>14.3</v>
      </c>
      <c r="CI1088" s="26" t="s">
        <v>232</v>
      </c>
      <c r="CJ1088" s="18" t="s">
        <v>505</v>
      </c>
      <c r="CK1088" s="20"/>
    </row>
    <row r="1089" spans="1:99" x14ac:dyDescent="0.25">
      <c r="A1089" s="18" t="s">
        <v>505</v>
      </c>
      <c r="B1089" s="19" t="s">
        <v>219</v>
      </c>
      <c r="C1089" s="26" t="s">
        <v>493</v>
      </c>
      <c r="D1089" s="6">
        <v>1</v>
      </c>
      <c r="E1089" s="6">
        <v>0</v>
      </c>
      <c r="F1089" s="6">
        <v>1</v>
      </c>
      <c r="N1089" s="119">
        <v>2.1929824561403499E-3</v>
      </c>
      <c r="O1089" s="119">
        <v>4.11522633744856E-3</v>
      </c>
      <c r="P1089" s="119">
        <v>0</v>
      </c>
      <c r="Q1089" s="119">
        <v>0</v>
      </c>
      <c r="R1089" s="116" t="s">
        <v>83</v>
      </c>
      <c r="S1089" s="119">
        <v>0</v>
      </c>
      <c r="T1089" s="119">
        <v>9.2592592592592605E-3</v>
      </c>
      <c r="U1089" s="116" t="s">
        <v>83</v>
      </c>
      <c r="V1089" s="116" t="s">
        <v>83</v>
      </c>
      <c r="W1089" s="6">
        <v>1216</v>
      </c>
      <c r="X1089" s="40">
        <f t="shared" si="74"/>
        <v>240</v>
      </c>
      <c r="Y1089" s="40">
        <f t="shared" si="75"/>
        <v>449</v>
      </c>
      <c r="Z1089" s="59">
        <v>0.49340000000000001</v>
      </c>
      <c r="AA1089" s="59">
        <v>0.50660000000000005</v>
      </c>
      <c r="AB1089" s="61">
        <v>3.2894736842105261E-3</v>
      </c>
      <c r="AC1089" s="61">
        <v>4.6052631578947366E-2</v>
      </c>
      <c r="AD1089" s="61">
        <v>0.17434210526315788</v>
      </c>
      <c r="AE1089" s="61">
        <v>0.23355263157894737</v>
      </c>
      <c r="AF1089" s="61">
        <v>0</v>
      </c>
      <c r="AG1089" s="61">
        <v>0.51644736842105265</v>
      </c>
      <c r="AH1089" s="61">
        <v>2.6315789473684209E-2</v>
      </c>
      <c r="AI1089" s="61">
        <v>0.48355263157894735</v>
      </c>
      <c r="AJ1089" s="59">
        <v>0.63729999999999998</v>
      </c>
      <c r="AK1089" s="59">
        <v>3.8699999999999998E-2</v>
      </c>
      <c r="AL1089" s="3">
        <v>105</v>
      </c>
      <c r="AM1089" s="3">
        <v>104</v>
      </c>
      <c r="AN1089" s="3">
        <v>0</v>
      </c>
      <c r="AO1089" s="3">
        <v>135</v>
      </c>
      <c r="AP1089" s="3">
        <v>105</v>
      </c>
      <c r="AQ1089" s="3">
        <v>0</v>
      </c>
      <c r="AR1089" s="3">
        <v>0</v>
      </c>
      <c r="AS1089" s="59">
        <v>0</v>
      </c>
      <c r="AT1089" s="3">
        <v>1</v>
      </c>
      <c r="AU1089" s="3">
        <v>1</v>
      </c>
      <c r="AV1089" s="49">
        <v>17.101449275362299</v>
      </c>
      <c r="AW1089" s="49">
        <v>70.144927536231904</v>
      </c>
      <c r="AX1089" s="49">
        <v>12.173913043478301</v>
      </c>
      <c r="AY1089" s="67">
        <v>0.57971014492753603</v>
      </c>
      <c r="AZ1089" s="63">
        <v>6.6176470588235295E-2</v>
      </c>
      <c r="BA1089" s="63">
        <v>5.3921568627450983E-2</v>
      </c>
      <c r="BB1089" s="78">
        <v>96.699016788489502</v>
      </c>
      <c r="BC1089" s="49">
        <v>32.044673539518897</v>
      </c>
      <c r="BD1089" s="3"/>
      <c r="BE1089" s="3"/>
      <c r="BF1089" s="3"/>
      <c r="BG1089" s="3"/>
      <c r="BH1089" s="3"/>
      <c r="BI1089" s="3"/>
      <c r="BJ1089" s="49"/>
      <c r="BK1089" s="126">
        <v>11661</v>
      </c>
      <c r="BL1089" s="126">
        <v>43920</v>
      </c>
      <c r="BM1089" s="126">
        <v>71271</v>
      </c>
      <c r="BN1089" s="126">
        <v>45369</v>
      </c>
      <c r="BO1089" s="59">
        <v>2.3599999999999999E-2</v>
      </c>
      <c r="BP1089" s="59">
        <v>0.39600000000000002</v>
      </c>
      <c r="BQ1089" s="59">
        <v>0.1792</v>
      </c>
      <c r="BR1089" s="59">
        <v>5.0000000000000001E-3</v>
      </c>
      <c r="BS1089" s="59">
        <v>7.0000000000000001E-3</v>
      </c>
      <c r="BT1089" s="49">
        <v>9.6</v>
      </c>
      <c r="BU1089" s="59">
        <f t="shared" si="76"/>
        <v>0.61080000000000001</v>
      </c>
      <c r="BV1089" s="59">
        <v>3.49E-2</v>
      </c>
      <c r="BW1089" s="59">
        <v>0</v>
      </c>
      <c r="BX1089" s="59">
        <v>3.49E-2</v>
      </c>
      <c r="BY1089" s="59">
        <v>0</v>
      </c>
      <c r="BZ1089" s="59">
        <v>2.8000000000000001E-2</v>
      </c>
      <c r="CA1089" s="49">
        <v>13.6</v>
      </c>
      <c r="CB1089" s="59">
        <f t="shared" si="77"/>
        <v>9.7799999999999998E-2</v>
      </c>
      <c r="CC1089" s="59">
        <v>0.1588</v>
      </c>
      <c r="CD1089" s="59">
        <v>0.50439999999999996</v>
      </c>
      <c r="CE1089" s="59">
        <v>0.2969</v>
      </c>
      <c r="CF1089" s="59">
        <v>5.0000000000000001E-3</v>
      </c>
      <c r="CG1089" s="59">
        <v>3.49E-2</v>
      </c>
      <c r="CH1089" s="49">
        <v>10.199999999999999</v>
      </c>
      <c r="CI1089" s="26" t="s">
        <v>493</v>
      </c>
      <c r="CJ1089" s="18" t="s">
        <v>505</v>
      </c>
      <c r="CK1089" s="20" t="s">
        <v>509</v>
      </c>
    </row>
    <row r="1090" spans="1:99" s="1" customFormat="1" ht="21" customHeight="1" x14ac:dyDescent="0.25">
      <c r="A1090" s="21" t="s">
        <v>0</v>
      </c>
      <c r="B1090" s="22" t="s">
        <v>1</v>
      </c>
      <c r="C1090" s="22" t="s">
        <v>2</v>
      </c>
      <c r="D1090" s="9" t="s">
        <v>3</v>
      </c>
      <c r="E1090" s="9" t="s">
        <v>4</v>
      </c>
      <c r="F1090" s="9" t="s">
        <v>5</v>
      </c>
      <c r="G1090" s="167"/>
      <c r="H1090" s="168"/>
      <c r="I1090" s="168"/>
      <c r="J1090" s="168"/>
      <c r="K1090" s="168"/>
      <c r="L1090" s="168"/>
      <c r="M1090" s="168"/>
      <c r="N1090" s="120" t="s">
        <v>6</v>
      </c>
      <c r="O1090" s="120" t="s">
        <v>7</v>
      </c>
      <c r="P1090" s="120" t="s">
        <v>8</v>
      </c>
      <c r="Q1090" s="120" t="s">
        <v>9</v>
      </c>
      <c r="R1090" s="120" t="s">
        <v>10</v>
      </c>
      <c r="S1090" s="120" t="s">
        <v>11</v>
      </c>
      <c r="T1090" s="120" t="s">
        <v>12</v>
      </c>
      <c r="U1090" s="120" t="s">
        <v>13</v>
      </c>
      <c r="V1090" s="120" t="s">
        <v>14</v>
      </c>
      <c r="W1090" s="41" t="s">
        <v>15</v>
      </c>
      <c r="X1090" s="41" t="s">
        <v>16</v>
      </c>
      <c r="Y1090" s="41" t="s">
        <v>17</v>
      </c>
      <c r="Z1090" s="107" t="s">
        <v>18</v>
      </c>
      <c r="AA1090" s="107" t="s">
        <v>19</v>
      </c>
      <c r="AB1090" s="95" t="s">
        <v>20</v>
      </c>
      <c r="AC1090" s="95" t="s">
        <v>21</v>
      </c>
      <c r="AD1090" s="95" t="s">
        <v>22</v>
      </c>
      <c r="AE1090" s="95" t="s">
        <v>23</v>
      </c>
      <c r="AF1090" s="95" t="s">
        <v>24</v>
      </c>
      <c r="AG1090" s="95" t="s">
        <v>25</v>
      </c>
      <c r="AH1090" s="95" t="s">
        <v>26</v>
      </c>
      <c r="AI1090" s="95" t="s">
        <v>27</v>
      </c>
      <c r="AJ1090" s="95" t="s">
        <v>28</v>
      </c>
      <c r="AK1090" s="107" t="s">
        <v>29</v>
      </c>
      <c r="AL1090" s="42" t="s">
        <v>30</v>
      </c>
      <c r="AM1090" s="42" t="s">
        <v>31</v>
      </c>
      <c r="AN1090" s="42" t="s">
        <v>32</v>
      </c>
      <c r="AO1090" s="42" t="s">
        <v>33</v>
      </c>
      <c r="AP1090" s="42" t="s">
        <v>34</v>
      </c>
      <c r="AQ1090" s="42" t="s">
        <v>35</v>
      </c>
      <c r="AR1090" s="42" t="s">
        <v>36</v>
      </c>
      <c r="AS1090" s="100" t="s">
        <v>37</v>
      </c>
      <c r="AT1090" s="41" t="s">
        <v>38</v>
      </c>
      <c r="AU1090" s="23" t="s">
        <v>39</v>
      </c>
      <c r="AV1090" s="51" t="s">
        <v>40</v>
      </c>
      <c r="AW1090" s="51" t="s">
        <v>41</v>
      </c>
      <c r="AX1090" s="51" t="s">
        <v>42</v>
      </c>
      <c r="AY1090" s="66" t="s">
        <v>43</v>
      </c>
      <c r="AZ1090" s="58" t="s">
        <v>44</v>
      </c>
      <c r="BA1090" s="58" t="s">
        <v>45</v>
      </c>
      <c r="BB1090" s="75" t="s">
        <v>46</v>
      </c>
      <c r="BC1090" s="83" t="s">
        <v>47</v>
      </c>
      <c r="BD1090" s="89" t="s">
        <v>48</v>
      </c>
      <c r="BE1090" s="89" t="s">
        <v>49</v>
      </c>
      <c r="BF1090" s="89" t="s">
        <v>50</v>
      </c>
      <c r="BG1090" s="89" t="s">
        <v>51</v>
      </c>
      <c r="BH1090" s="89" t="s">
        <v>52</v>
      </c>
      <c r="BI1090" s="89" t="s">
        <v>53</v>
      </c>
      <c r="BJ1090" s="86" t="s">
        <v>54</v>
      </c>
      <c r="BK1090" s="123" t="s">
        <v>55</v>
      </c>
      <c r="BL1090" s="123" t="s">
        <v>56</v>
      </c>
      <c r="BM1090" s="123" t="s">
        <v>57</v>
      </c>
      <c r="BN1090" s="123" t="s">
        <v>58</v>
      </c>
      <c r="BO1090" s="131" t="s">
        <v>59</v>
      </c>
      <c r="BP1090" s="131" t="s">
        <v>60</v>
      </c>
      <c r="BQ1090" s="131" t="s">
        <v>61</v>
      </c>
      <c r="BR1090" s="131" t="s">
        <v>62</v>
      </c>
      <c r="BS1090" s="131" t="s">
        <v>63</v>
      </c>
      <c r="BT1090" s="131" t="s">
        <v>64</v>
      </c>
      <c r="BU1090" s="131" t="s">
        <v>65</v>
      </c>
      <c r="BV1090" s="132" t="s">
        <v>66</v>
      </c>
      <c r="BW1090" s="132" t="s">
        <v>67</v>
      </c>
      <c r="BX1090" s="132" t="s">
        <v>68</v>
      </c>
      <c r="BY1090" s="132" t="s">
        <v>69</v>
      </c>
      <c r="BZ1090" s="132" t="s">
        <v>70</v>
      </c>
      <c r="CA1090" s="132" t="s">
        <v>71</v>
      </c>
      <c r="CB1090" s="132" t="s">
        <v>72</v>
      </c>
      <c r="CC1090" s="123" t="s">
        <v>73</v>
      </c>
      <c r="CD1090" s="123" t="s">
        <v>74</v>
      </c>
      <c r="CE1090" s="123" t="s">
        <v>75</v>
      </c>
      <c r="CF1090" s="123" t="s">
        <v>76</v>
      </c>
      <c r="CG1090" s="123" t="s">
        <v>77</v>
      </c>
      <c r="CH1090" s="123" t="s">
        <v>78</v>
      </c>
      <c r="CI1090" s="22" t="s">
        <v>2</v>
      </c>
      <c r="CJ1090" s="21" t="s">
        <v>0</v>
      </c>
      <c r="CK1090" s="24" t="s">
        <v>79</v>
      </c>
      <c r="CL1090"/>
      <c r="CM1090"/>
      <c r="CN1090"/>
      <c r="CO1090"/>
      <c r="CP1090"/>
      <c r="CQ1090"/>
      <c r="CR1090"/>
      <c r="CS1090"/>
      <c r="CT1090"/>
      <c r="CU1090"/>
    </row>
    <row r="1091" spans="1:99" x14ac:dyDescent="0.25">
      <c r="A1091" s="18" t="s">
        <v>505</v>
      </c>
      <c r="B1091" s="19" t="s">
        <v>233</v>
      </c>
      <c r="C1091" s="26" t="s">
        <v>234</v>
      </c>
      <c r="D1091" s="6">
        <v>1</v>
      </c>
      <c r="E1091" s="6">
        <v>1</v>
      </c>
      <c r="F1091" s="6">
        <v>0</v>
      </c>
      <c r="N1091" s="118">
        <v>4.2735042735042696E-3</v>
      </c>
      <c r="O1091" s="118">
        <v>0</v>
      </c>
      <c r="P1091" s="118">
        <v>1.88679245283019E-2</v>
      </c>
      <c r="Q1091" s="118">
        <v>0</v>
      </c>
      <c r="R1091" s="116" t="s">
        <v>83</v>
      </c>
      <c r="S1091" s="118">
        <v>0</v>
      </c>
      <c r="T1091" s="118">
        <v>0</v>
      </c>
      <c r="U1091" s="118">
        <v>0</v>
      </c>
      <c r="V1091" s="118">
        <v>0</v>
      </c>
      <c r="W1091" s="6">
        <v>260</v>
      </c>
      <c r="X1091" s="40">
        <f t="shared" ref="X1091:X1154" si="78">SUM(AN1091:AR1091)</f>
        <v>143</v>
      </c>
      <c r="Y1091" s="40">
        <f t="shared" ref="Y1091:Y1154" si="79">SUM(AL1091:AR1091)</f>
        <v>221</v>
      </c>
      <c r="Z1091" s="59">
        <v>0.49230000000000002</v>
      </c>
      <c r="AA1091" s="59">
        <v>0.50770000000000004</v>
      </c>
      <c r="AB1091" s="61">
        <v>0.1423076923076923</v>
      </c>
      <c r="AC1091" s="61">
        <v>7.6923076923076927E-3</v>
      </c>
      <c r="AD1091" s="61">
        <v>0.29230769230769232</v>
      </c>
      <c r="AE1091" s="61">
        <v>4.230769230769231E-2</v>
      </c>
      <c r="AF1091" s="61">
        <v>0</v>
      </c>
      <c r="AG1091" s="61">
        <v>0.43076923076923079</v>
      </c>
      <c r="AH1091" s="61">
        <v>8.461538461538462E-2</v>
      </c>
      <c r="AI1091" s="61">
        <v>0.56923076923076921</v>
      </c>
      <c r="AJ1091" s="59">
        <v>0.61539999999999995</v>
      </c>
      <c r="AK1091" s="59">
        <v>3.8E-3</v>
      </c>
      <c r="AL1091" s="3">
        <v>48</v>
      </c>
      <c r="AM1091" s="3">
        <v>30</v>
      </c>
      <c r="AN1091" s="3">
        <v>0</v>
      </c>
      <c r="AO1091" s="3">
        <v>34</v>
      </c>
      <c r="AP1091" s="3">
        <v>38</v>
      </c>
      <c r="AQ1091" s="3">
        <v>34</v>
      </c>
      <c r="AR1091" s="3">
        <v>37</v>
      </c>
      <c r="AS1091" s="59">
        <v>0</v>
      </c>
      <c r="AT1091" s="3">
        <v>6</v>
      </c>
      <c r="AU1091" s="3">
        <v>6</v>
      </c>
      <c r="AV1091" s="49">
        <v>79.865771812080496</v>
      </c>
      <c r="AW1091" s="49">
        <v>18.7919463087248</v>
      </c>
      <c r="AX1091" s="49">
        <v>0.67114093959731502</v>
      </c>
      <c r="AY1091" s="67">
        <v>0.67114093959731502</v>
      </c>
      <c r="AZ1091" s="63">
        <v>3.6363636363636362E-2</v>
      </c>
      <c r="BA1091" s="63">
        <v>0.11636363636363636</v>
      </c>
      <c r="BB1091" s="77">
        <v>93.308390863179397</v>
      </c>
      <c r="BC1091" s="49">
        <v>61.510791366906503</v>
      </c>
      <c r="BD1091" s="3"/>
      <c r="BE1091" s="3"/>
      <c r="BF1091" s="3"/>
      <c r="BG1091" s="3"/>
      <c r="BH1091" s="3"/>
      <c r="BI1091" s="3"/>
      <c r="BJ1091" s="88">
        <v>19.600000000000001</v>
      </c>
      <c r="BK1091" s="126">
        <v>11737</v>
      </c>
      <c r="BL1091" s="126">
        <v>52671</v>
      </c>
      <c r="BM1091" s="126">
        <v>42090</v>
      </c>
      <c r="BN1091" s="126">
        <v>43320</v>
      </c>
      <c r="BO1091" s="59">
        <v>5.1000000000000004E-3</v>
      </c>
      <c r="BP1091" s="63">
        <v>0.28689999999999999</v>
      </c>
      <c r="BQ1091" s="63">
        <v>0.246</v>
      </c>
      <c r="BR1091" s="63">
        <v>0</v>
      </c>
      <c r="BS1091" s="63">
        <v>0</v>
      </c>
      <c r="BT1091" s="88">
        <v>14.5</v>
      </c>
      <c r="BU1091" s="59">
        <f t="shared" si="76"/>
        <v>0.53800000000000003</v>
      </c>
      <c r="BV1091" s="59">
        <v>9.1700000000000004E-2</v>
      </c>
      <c r="BW1091" s="63">
        <v>3.0700000000000002E-2</v>
      </c>
      <c r="BX1091" s="63">
        <v>0.03</v>
      </c>
      <c r="BY1091" s="63">
        <v>0</v>
      </c>
      <c r="BZ1091" s="63">
        <v>0</v>
      </c>
      <c r="CA1091" s="88">
        <v>16.2</v>
      </c>
      <c r="CB1091" s="59">
        <f t="shared" si="77"/>
        <v>0.15240000000000001</v>
      </c>
      <c r="CC1091" s="59">
        <v>0.3397</v>
      </c>
      <c r="CD1091" s="63">
        <v>0.34839999999999999</v>
      </c>
      <c r="CE1091" s="63">
        <v>0.31180000000000002</v>
      </c>
      <c r="CF1091" s="63">
        <v>0</v>
      </c>
      <c r="CG1091" s="63">
        <v>0</v>
      </c>
      <c r="CH1091" s="88">
        <v>14.3</v>
      </c>
      <c r="CI1091" s="26" t="s">
        <v>234</v>
      </c>
      <c r="CJ1091" s="18" t="s">
        <v>505</v>
      </c>
      <c r="CK1091" s="20"/>
    </row>
    <row r="1092" spans="1:99" x14ac:dyDescent="0.25">
      <c r="A1092" s="18" t="s">
        <v>505</v>
      </c>
      <c r="B1092" s="19" t="s">
        <v>233</v>
      </c>
      <c r="C1092" s="26" t="s">
        <v>235</v>
      </c>
      <c r="D1092" s="6">
        <v>0</v>
      </c>
      <c r="E1092" s="6">
        <v>0</v>
      </c>
      <c r="F1092" s="6">
        <v>0</v>
      </c>
      <c r="N1092" s="118">
        <v>0</v>
      </c>
      <c r="O1092" s="118">
        <v>0</v>
      </c>
      <c r="P1092" s="118">
        <v>0</v>
      </c>
      <c r="Q1092" s="118">
        <v>0</v>
      </c>
      <c r="R1092" s="116" t="s">
        <v>83</v>
      </c>
      <c r="S1092" s="118">
        <v>0</v>
      </c>
      <c r="T1092" s="118">
        <v>0</v>
      </c>
      <c r="U1092" s="118">
        <v>0</v>
      </c>
      <c r="V1092" s="118">
        <v>0</v>
      </c>
      <c r="W1092" s="6">
        <v>565</v>
      </c>
      <c r="X1092" s="40">
        <f t="shared" si="78"/>
        <v>146</v>
      </c>
      <c r="Y1092" s="40">
        <f t="shared" si="79"/>
        <v>232</v>
      </c>
      <c r="Z1092" s="59">
        <v>0.46899999999999997</v>
      </c>
      <c r="AA1092" s="59">
        <v>0.53100000000000003</v>
      </c>
      <c r="AB1092" s="61">
        <v>5.3097345132743362E-3</v>
      </c>
      <c r="AC1092" s="61">
        <v>1.7699115044247787E-3</v>
      </c>
      <c r="AD1092" s="61">
        <v>7.0796460176991149E-3</v>
      </c>
      <c r="AE1092" s="61">
        <v>3.0088495575221239E-2</v>
      </c>
      <c r="AF1092" s="61">
        <v>0</v>
      </c>
      <c r="AG1092" s="61">
        <v>0.92212389380530968</v>
      </c>
      <c r="AH1092" s="61">
        <v>3.3628318584070796E-2</v>
      </c>
      <c r="AI1092" s="61">
        <v>7.7876106194690264E-2</v>
      </c>
      <c r="AJ1092" s="59">
        <v>0.48139999999999999</v>
      </c>
      <c r="AK1092" s="59">
        <v>1.8E-3</v>
      </c>
      <c r="AL1092" s="3">
        <v>43</v>
      </c>
      <c r="AM1092" s="3">
        <v>43</v>
      </c>
      <c r="AN1092" s="3">
        <v>0</v>
      </c>
      <c r="AO1092" s="3">
        <v>45</v>
      </c>
      <c r="AP1092" s="3">
        <v>35</v>
      </c>
      <c r="AQ1092" s="3">
        <v>37</v>
      </c>
      <c r="AR1092" s="3">
        <v>29</v>
      </c>
      <c r="AS1092" s="59">
        <v>0</v>
      </c>
      <c r="AT1092" s="3">
        <v>1</v>
      </c>
      <c r="AU1092" s="3">
        <v>6</v>
      </c>
      <c r="AV1092" s="49">
        <v>60.679611650485398</v>
      </c>
      <c r="AW1092" s="49">
        <v>34.4660194174757</v>
      </c>
      <c r="AX1092" s="49">
        <v>1.94174757281553</v>
      </c>
      <c r="AY1092" s="67">
        <v>2.9126213592233001</v>
      </c>
      <c r="AZ1092" s="63">
        <v>4.7138047138047139E-2</v>
      </c>
      <c r="BA1092" s="63">
        <v>2.8619528619528621E-2</v>
      </c>
      <c r="BB1092" s="78">
        <v>95.126912578307198</v>
      </c>
      <c r="BC1092" s="49">
        <v>45.960502692998197</v>
      </c>
      <c r="BD1092" s="3"/>
      <c r="BE1092" s="3"/>
      <c r="BF1092" s="3"/>
      <c r="BG1092" s="3"/>
      <c r="BH1092" s="3"/>
      <c r="BI1092" s="3"/>
      <c r="BJ1092" s="88">
        <v>21.9</v>
      </c>
      <c r="BK1092" s="126">
        <v>9738</v>
      </c>
      <c r="BL1092" s="126">
        <v>49282</v>
      </c>
      <c r="BM1092" s="126">
        <v>48188</v>
      </c>
      <c r="BN1092" s="137">
        <v>39977</v>
      </c>
      <c r="BO1092" s="59">
        <v>2.8E-3</v>
      </c>
      <c r="BP1092" s="63">
        <v>0.35730000000000001</v>
      </c>
      <c r="BQ1092" s="63">
        <v>0.18820000000000001</v>
      </c>
      <c r="BR1092" s="63">
        <v>0</v>
      </c>
      <c r="BS1092" s="63">
        <v>0</v>
      </c>
      <c r="BT1092" s="88">
        <v>12.4</v>
      </c>
      <c r="BU1092" s="59">
        <f t="shared" ref="BU1092:BU1155" si="80">SUM(BO1092:BS1092)</f>
        <v>0.54830000000000001</v>
      </c>
      <c r="BV1092" s="59">
        <v>3.3399999999999999E-2</v>
      </c>
      <c r="BW1092" s="63">
        <v>1.67E-2</v>
      </c>
      <c r="BX1092" s="63">
        <v>3.3399999999999999E-2</v>
      </c>
      <c r="BY1092" s="63">
        <v>0</v>
      </c>
      <c r="BZ1092" s="63">
        <v>0</v>
      </c>
      <c r="CA1092" s="88">
        <v>13.6</v>
      </c>
      <c r="CB1092" s="59">
        <f t="shared" ref="CB1092:CB1155" si="81">SUM(BV1092:BZ1092)</f>
        <v>8.3499999999999991E-2</v>
      </c>
      <c r="CC1092" s="59">
        <v>0.35170000000000001</v>
      </c>
      <c r="CD1092" s="63">
        <v>0.37390000000000001</v>
      </c>
      <c r="CE1092" s="63">
        <v>0.27439999999999998</v>
      </c>
      <c r="CF1092" s="63">
        <v>0</v>
      </c>
      <c r="CG1092" s="63">
        <v>0</v>
      </c>
      <c r="CH1092" s="88">
        <v>12.4</v>
      </c>
      <c r="CI1092" s="26" t="s">
        <v>235</v>
      </c>
      <c r="CJ1092" s="18" t="s">
        <v>505</v>
      </c>
      <c r="CK1092" s="20"/>
    </row>
    <row r="1093" spans="1:99" x14ac:dyDescent="0.25">
      <c r="A1093" s="18" t="s">
        <v>505</v>
      </c>
      <c r="B1093" s="19" t="s">
        <v>233</v>
      </c>
      <c r="C1093" s="26" t="s">
        <v>236</v>
      </c>
      <c r="D1093" s="6">
        <v>2</v>
      </c>
      <c r="E1093" s="6">
        <v>0</v>
      </c>
      <c r="F1093" s="6">
        <v>2</v>
      </c>
      <c r="N1093" s="118">
        <v>2.07900207900208E-3</v>
      </c>
      <c r="O1093" s="118">
        <v>3.0911901081916498E-3</v>
      </c>
      <c r="P1093" s="118">
        <v>0</v>
      </c>
      <c r="Q1093" s="118">
        <v>0</v>
      </c>
      <c r="R1093" s="116" t="s">
        <v>83</v>
      </c>
      <c r="S1093" s="118">
        <v>0</v>
      </c>
      <c r="T1093" s="118">
        <v>6.2111801242236003E-3</v>
      </c>
      <c r="U1093" s="118">
        <v>6.2500000000000003E-3</v>
      </c>
      <c r="V1093" s="118">
        <v>0</v>
      </c>
      <c r="W1093" s="6">
        <v>912</v>
      </c>
      <c r="X1093" s="40">
        <f t="shared" si="78"/>
        <v>613</v>
      </c>
      <c r="Y1093" s="40">
        <f t="shared" si="79"/>
        <v>912</v>
      </c>
      <c r="Z1093" s="59">
        <v>0.46929999999999999</v>
      </c>
      <c r="AA1093" s="59">
        <v>0.53069999999999995</v>
      </c>
      <c r="AB1093" s="61">
        <v>1.0964912280701754E-3</v>
      </c>
      <c r="AC1093" s="61">
        <v>6.5789473684210523E-3</v>
      </c>
      <c r="AD1093" s="61">
        <v>0.30921052631578949</v>
      </c>
      <c r="AE1093" s="61">
        <v>2.9605263157894735E-2</v>
      </c>
      <c r="AF1093" s="61">
        <v>0</v>
      </c>
      <c r="AG1093" s="61">
        <v>0.60964912280701755</v>
      </c>
      <c r="AH1093" s="61">
        <v>4.3859649122807015E-2</v>
      </c>
      <c r="AI1093" s="61">
        <v>0.39035087719298245</v>
      </c>
      <c r="AJ1093" s="59">
        <v>0.66890000000000005</v>
      </c>
      <c r="AK1093" s="59">
        <v>6.6E-3</v>
      </c>
      <c r="AL1093" s="3">
        <v>143</v>
      </c>
      <c r="AM1093" s="3">
        <v>156</v>
      </c>
      <c r="AN1093" s="3">
        <v>0</v>
      </c>
      <c r="AO1093" s="3">
        <v>169</v>
      </c>
      <c r="AP1093" s="3">
        <v>153</v>
      </c>
      <c r="AQ1093" s="3">
        <v>154</v>
      </c>
      <c r="AR1093" s="3">
        <v>137</v>
      </c>
      <c r="AS1093" s="59">
        <v>0</v>
      </c>
      <c r="AT1093" s="3">
        <v>7</v>
      </c>
      <c r="AU1093" s="3">
        <v>6</v>
      </c>
      <c r="AV1093" s="49">
        <v>63.265306122449005</v>
      </c>
      <c r="AW1093" s="49">
        <v>27.755102040816297</v>
      </c>
      <c r="AX1093" s="49">
        <v>6.9387755102040805</v>
      </c>
      <c r="AY1093" s="67">
        <v>2.0408163265306101</v>
      </c>
      <c r="AZ1093" s="63">
        <v>0.17793964620187305</v>
      </c>
      <c r="BA1093" s="63">
        <v>0.20187304890738814</v>
      </c>
      <c r="BB1093" s="77">
        <v>92.460844259882904</v>
      </c>
      <c r="BC1093" s="49">
        <v>58.8842975206612</v>
      </c>
      <c r="BD1093" s="3"/>
      <c r="BE1093" s="3"/>
      <c r="BF1093" s="3"/>
      <c r="BG1093" s="3"/>
      <c r="BH1093" s="3"/>
      <c r="BI1093" s="3"/>
      <c r="BJ1093" s="88">
        <v>19.399999999999999</v>
      </c>
      <c r="BK1093" s="126">
        <v>9994</v>
      </c>
      <c r="BL1093" s="126">
        <v>49257</v>
      </c>
      <c r="BM1093" s="126">
        <v>46103</v>
      </c>
      <c r="BN1093" s="126">
        <v>40301</v>
      </c>
      <c r="BO1093" s="59">
        <v>1.6999999999999999E-3</v>
      </c>
      <c r="BP1093" s="63">
        <v>0.38159999999999999</v>
      </c>
      <c r="BQ1093" s="63">
        <v>0.16039999999999999</v>
      </c>
      <c r="BR1093" s="63">
        <v>0</v>
      </c>
      <c r="BS1093" s="63">
        <v>0</v>
      </c>
      <c r="BT1093" s="88">
        <v>12.3</v>
      </c>
      <c r="BU1093" s="59">
        <f t="shared" si="80"/>
        <v>0.54369999999999996</v>
      </c>
      <c r="BV1093" s="59">
        <v>4.0399999999999998E-2</v>
      </c>
      <c r="BW1093" s="63">
        <v>1.9900000000000001E-2</v>
      </c>
      <c r="BX1093" s="63">
        <v>3.0300000000000001E-2</v>
      </c>
      <c r="BY1093" s="63">
        <v>0</v>
      </c>
      <c r="BZ1093" s="63">
        <v>0</v>
      </c>
      <c r="CA1093" s="88">
        <v>15.8</v>
      </c>
      <c r="CB1093" s="59">
        <f t="shared" si="81"/>
        <v>9.06E-2</v>
      </c>
      <c r="CC1093" s="59">
        <v>0.35060000000000002</v>
      </c>
      <c r="CD1093" s="63">
        <v>0.41170000000000001</v>
      </c>
      <c r="CE1093" s="63">
        <v>0.23769999999999999</v>
      </c>
      <c r="CF1093" s="63">
        <v>0</v>
      </c>
      <c r="CG1093" s="63">
        <v>0</v>
      </c>
      <c r="CH1093" s="88">
        <v>12.7</v>
      </c>
      <c r="CI1093" s="26" t="s">
        <v>236</v>
      </c>
      <c r="CJ1093" s="18" t="s">
        <v>505</v>
      </c>
      <c r="CK1093" s="20"/>
    </row>
    <row r="1094" spans="1:99" x14ac:dyDescent="0.25">
      <c r="A1094" s="18" t="s">
        <v>505</v>
      </c>
      <c r="B1094" s="19" t="s">
        <v>233</v>
      </c>
      <c r="C1094" s="26" t="s">
        <v>237</v>
      </c>
      <c r="D1094" s="6">
        <v>0</v>
      </c>
      <c r="E1094" s="6">
        <v>0</v>
      </c>
      <c r="F1094" s="6">
        <v>0</v>
      </c>
      <c r="N1094" s="118">
        <v>0</v>
      </c>
      <c r="O1094" s="118">
        <v>0</v>
      </c>
      <c r="P1094" s="118">
        <v>0</v>
      </c>
      <c r="Q1094" s="118">
        <v>0</v>
      </c>
      <c r="R1094" s="118">
        <v>0</v>
      </c>
      <c r="S1094" s="118">
        <v>0</v>
      </c>
      <c r="T1094" s="118">
        <v>0</v>
      </c>
      <c r="U1094" s="118">
        <v>0</v>
      </c>
      <c r="V1094" s="118">
        <v>0</v>
      </c>
      <c r="W1094" s="6">
        <v>681</v>
      </c>
      <c r="X1094" s="40">
        <f t="shared" si="78"/>
        <v>212</v>
      </c>
      <c r="Y1094" s="40">
        <f t="shared" si="79"/>
        <v>294</v>
      </c>
      <c r="Z1094" s="59">
        <v>0.50070000000000003</v>
      </c>
      <c r="AA1094" s="59">
        <v>0.49930000000000002</v>
      </c>
      <c r="AB1094" s="61">
        <v>0</v>
      </c>
      <c r="AC1094" s="61">
        <v>1.4684287812041115E-3</v>
      </c>
      <c r="AD1094" s="61">
        <v>6.6079295154185022E-2</v>
      </c>
      <c r="AE1094" s="61">
        <v>2.2026431718061675E-2</v>
      </c>
      <c r="AF1094" s="61">
        <v>0</v>
      </c>
      <c r="AG1094" s="61">
        <v>0.87077826725403817</v>
      </c>
      <c r="AH1094" s="61">
        <v>3.9647577092511016E-2</v>
      </c>
      <c r="AI1094" s="61">
        <v>0.12922173274596183</v>
      </c>
      <c r="AJ1094" s="59">
        <v>0.56240000000000001</v>
      </c>
      <c r="AK1094" s="59">
        <v>2.8999999999999998E-3</v>
      </c>
      <c r="AL1094" s="3">
        <v>39</v>
      </c>
      <c r="AM1094" s="3">
        <v>43</v>
      </c>
      <c r="AN1094" s="3">
        <v>1</v>
      </c>
      <c r="AO1094" s="3">
        <v>64</v>
      </c>
      <c r="AP1094" s="3">
        <v>50</v>
      </c>
      <c r="AQ1094" s="3">
        <v>58</v>
      </c>
      <c r="AR1094" s="3">
        <v>39</v>
      </c>
      <c r="AS1094" s="59">
        <v>1.5384615384615385E-2</v>
      </c>
      <c r="AT1094" s="3">
        <v>1</v>
      </c>
      <c r="AU1094" s="3">
        <v>6</v>
      </c>
      <c r="AV1094" s="49">
        <v>67.383512544802898</v>
      </c>
      <c r="AW1094" s="49">
        <v>25.806451612903196</v>
      </c>
      <c r="AX1094" s="49">
        <v>5.7347670250896101</v>
      </c>
      <c r="AY1094" s="67">
        <v>1.0752688172042999</v>
      </c>
      <c r="AZ1094" s="63">
        <v>6.7307692307692304E-2</v>
      </c>
      <c r="BA1094" s="63">
        <v>7.6923076923076927E-2</v>
      </c>
      <c r="BB1094" s="78">
        <v>94.941083362645102</v>
      </c>
      <c r="BC1094" s="49">
        <v>48.7769784172662</v>
      </c>
      <c r="BD1094" s="3"/>
      <c r="BE1094" s="3"/>
      <c r="BF1094" s="3"/>
      <c r="BG1094" s="3"/>
      <c r="BH1094" s="3"/>
      <c r="BI1094" s="3"/>
      <c r="BJ1094" s="88">
        <v>18.899999999999999</v>
      </c>
      <c r="BK1094" s="126">
        <v>9933</v>
      </c>
      <c r="BL1094" s="126">
        <v>49540</v>
      </c>
      <c r="BM1094" s="126">
        <v>47593</v>
      </c>
      <c r="BN1094" s="126">
        <v>38929</v>
      </c>
      <c r="BO1094" s="59">
        <v>2.2000000000000001E-3</v>
      </c>
      <c r="BP1094" s="63">
        <v>0.41799999999999998</v>
      </c>
      <c r="BQ1094" s="63">
        <v>8.7099999999999997E-2</v>
      </c>
      <c r="BR1094" s="63">
        <v>1.3299999999999999E-2</v>
      </c>
      <c r="BS1094" s="63">
        <v>0</v>
      </c>
      <c r="BT1094" s="88">
        <v>14.3</v>
      </c>
      <c r="BU1094" s="59">
        <f t="shared" si="80"/>
        <v>0.52059999999999995</v>
      </c>
      <c r="BV1094" s="59">
        <v>3.8800000000000001E-2</v>
      </c>
      <c r="BW1094" s="63">
        <v>2.1600000000000001E-2</v>
      </c>
      <c r="BX1094" s="63">
        <v>6.0000000000000001E-3</v>
      </c>
      <c r="BY1094" s="63">
        <v>1.2800000000000001E-2</v>
      </c>
      <c r="BZ1094" s="63">
        <v>0</v>
      </c>
      <c r="CA1094" s="88">
        <v>17.899999999999999</v>
      </c>
      <c r="CB1094" s="59">
        <f t="shared" si="81"/>
        <v>7.9200000000000007E-2</v>
      </c>
      <c r="CC1094" s="59">
        <v>0.37990000000000002</v>
      </c>
      <c r="CD1094" s="63">
        <v>0.4587</v>
      </c>
      <c r="CE1094" s="63">
        <v>0.1353</v>
      </c>
      <c r="CF1094" s="63">
        <v>2.6100000000000002E-2</v>
      </c>
      <c r="CG1094" s="63">
        <v>0</v>
      </c>
      <c r="CH1094" s="88">
        <v>12.8</v>
      </c>
      <c r="CI1094" s="26" t="s">
        <v>237</v>
      </c>
      <c r="CJ1094" s="18" t="s">
        <v>505</v>
      </c>
      <c r="CK1094" s="20"/>
    </row>
    <row r="1095" spans="1:99" x14ac:dyDescent="0.25">
      <c r="A1095" s="18" t="s">
        <v>505</v>
      </c>
      <c r="B1095" s="19" t="s">
        <v>233</v>
      </c>
      <c r="C1095" s="26" t="s">
        <v>238</v>
      </c>
      <c r="D1095" s="6">
        <v>0</v>
      </c>
      <c r="E1095" s="6">
        <v>0</v>
      </c>
      <c r="F1095" s="6">
        <v>0</v>
      </c>
      <c r="N1095" s="118">
        <v>0</v>
      </c>
      <c r="O1095" s="118">
        <v>0</v>
      </c>
      <c r="P1095" s="118">
        <v>0</v>
      </c>
      <c r="Q1095" s="118">
        <v>0</v>
      </c>
      <c r="R1095" s="116" t="s">
        <v>83</v>
      </c>
      <c r="S1095" s="118">
        <v>0</v>
      </c>
      <c r="T1095" s="118">
        <v>0</v>
      </c>
      <c r="U1095" s="118">
        <v>0</v>
      </c>
      <c r="V1095" s="118">
        <v>0</v>
      </c>
      <c r="W1095" s="6">
        <v>426</v>
      </c>
      <c r="X1095" s="40">
        <f t="shared" si="78"/>
        <v>282</v>
      </c>
      <c r="Y1095" s="40">
        <f t="shared" si="79"/>
        <v>426</v>
      </c>
      <c r="Z1095" s="59">
        <v>0.45069999999999999</v>
      </c>
      <c r="AA1095" s="59">
        <v>0.54930000000000001</v>
      </c>
      <c r="AB1095" s="61">
        <v>7.0422535211267607E-3</v>
      </c>
      <c r="AC1095" s="61">
        <v>0</v>
      </c>
      <c r="AD1095" s="61">
        <v>0.11267605633802817</v>
      </c>
      <c r="AE1095" s="61">
        <v>2.3474178403755869E-3</v>
      </c>
      <c r="AF1095" s="61">
        <v>0</v>
      </c>
      <c r="AG1095" s="61">
        <v>0.81455399061032863</v>
      </c>
      <c r="AH1095" s="61">
        <v>6.3380281690140844E-2</v>
      </c>
      <c r="AI1095" s="61">
        <v>0.18544600938967137</v>
      </c>
      <c r="AJ1095" s="59">
        <v>0.57040000000000002</v>
      </c>
      <c r="AK1095" s="59">
        <v>0</v>
      </c>
      <c r="AL1095" s="3">
        <v>68</v>
      </c>
      <c r="AM1095" s="3">
        <v>76</v>
      </c>
      <c r="AN1095" s="3">
        <v>0</v>
      </c>
      <c r="AO1095" s="3">
        <v>71</v>
      </c>
      <c r="AP1095" s="3">
        <v>69</v>
      </c>
      <c r="AQ1095" s="3">
        <v>68</v>
      </c>
      <c r="AR1095" s="3">
        <v>74</v>
      </c>
      <c r="AS1095" s="59">
        <v>0</v>
      </c>
      <c r="AT1095" s="3">
        <v>7</v>
      </c>
      <c r="AU1095" s="3">
        <v>6</v>
      </c>
      <c r="AV1095" s="49">
        <v>75.319148936170194</v>
      </c>
      <c r="AW1095" s="49">
        <v>17.872340425531899</v>
      </c>
      <c r="AX1095" s="49">
        <v>6.8085106382978697</v>
      </c>
      <c r="AY1095" s="74">
        <v>0</v>
      </c>
      <c r="AZ1095" s="63">
        <v>0.167420814479638</v>
      </c>
      <c r="BA1095" s="63">
        <v>0.16289592760180996</v>
      </c>
      <c r="BB1095" s="77">
        <v>92.810826050183294</v>
      </c>
      <c r="BC1095" s="49">
        <v>57.882882882882903</v>
      </c>
      <c r="BD1095" s="3"/>
      <c r="BE1095" s="3"/>
      <c r="BF1095" s="3"/>
      <c r="BG1095" s="3"/>
      <c r="BH1095" s="3"/>
      <c r="BI1095" s="3"/>
      <c r="BJ1095" s="88">
        <v>18.600000000000001</v>
      </c>
      <c r="BK1095" s="126">
        <v>10285</v>
      </c>
      <c r="BL1095" s="126">
        <v>52695</v>
      </c>
      <c r="BM1095" s="126">
        <v>44140</v>
      </c>
      <c r="BN1095" s="126">
        <v>39757</v>
      </c>
      <c r="BO1095" s="59">
        <v>3.5000000000000001E-3</v>
      </c>
      <c r="BP1095" s="63">
        <v>0.31830000000000003</v>
      </c>
      <c r="BQ1095" s="63">
        <v>0.17019999999999999</v>
      </c>
      <c r="BR1095" s="63">
        <v>0</v>
      </c>
      <c r="BS1095" s="63">
        <v>0</v>
      </c>
      <c r="BT1095" s="87">
        <v>13</v>
      </c>
      <c r="BU1095" s="59">
        <f t="shared" si="80"/>
        <v>0.49199999999999999</v>
      </c>
      <c r="BV1095" s="59">
        <v>4.1500000000000002E-2</v>
      </c>
      <c r="BW1095" s="63">
        <v>0</v>
      </c>
      <c r="BX1095" s="63">
        <v>2.8899999999999999E-2</v>
      </c>
      <c r="BY1095" s="63">
        <v>0</v>
      </c>
      <c r="BZ1095" s="63">
        <v>0</v>
      </c>
      <c r="CA1095" s="88">
        <v>11.4</v>
      </c>
      <c r="CB1095" s="59">
        <f t="shared" si="81"/>
        <v>7.0400000000000004E-2</v>
      </c>
      <c r="CC1095" s="59">
        <v>0.39639999999999997</v>
      </c>
      <c r="CD1095" s="63">
        <v>0.35980000000000001</v>
      </c>
      <c r="CE1095" s="63">
        <v>0.24379999999999999</v>
      </c>
      <c r="CF1095" s="63">
        <v>0</v>
      </c>
      <c r="CG1095" s="63">
        <v>0</v>
      </c>
      <c r="CH1095" s="88">
        <v>12.7</v>
      </c>
      <c r="CI1095" s="26" t="s">
        <v>238</v>
      </c>
      <c r="CJ1095" s="18" t="s">
        <v>505</v>
      </c>
      <c r="CK1095" s="20"/>
    </row>
    <row r="1096" spans="1:99" x14ac:dyDescent="0.25">
      <c r="A1096" s="18" t="s">
        <v>505</v>
      </c>
      <c r="B1096" s="19" t="s">
        <v>233</v>
      </c>
      <c r="C1096" s="26" t="s">
        <v>239</v>
      </c>
      <c r="D1096" s="6">
        <v>0</v>
      </c>
      <c r="E1096" s="40" t="s">
        <v>83</v>
      </c>
      <c r="F1096" s="6">
        <v>0</v>
      </c>
      <c r="N1096" s="118">
        <v>0</v>
      </c>
      <c r="O1096" s="118">
        <v>0</v>
      </c>
      <c r="P1096" s="116" t="s">
        <v>83</v>
      </c>
      <c r="Q1096" s="116" t="s">
        <v>83</v>
      </c>
      <c r="R1096" s="116" t="s">
        <v>83</v>
      </c>
      <c r="S1096" s="118">
        <v>0</v>
      </c>
      <c r="T1096" s="118">
        <v>0</v>
      </c>
      <c r="U1096" s="118">
        <v>0</v>
      </c>
      <c r="V1096" s="118">
        <v>0</v>
      </c>
      <c r="W1096" s="6">
        <v>346</v>
      </c>
      <c r="X1096" s="40">
        <f t="shared" si="78"/>
        <v>346</v>
      </c>
      <c r="Y1096" s="40">
        <f t="shared" si="79"/>
        <v>346</v>
      </c>
      <c r="Z1096" s="59">
        <v>0.49709999999999999</v>
      </c>
      <c r="AA1096" s="59">
        <v>0.50290000000000001</v>
      </c>
      <c r="AB1096" s="61">
        <v>2.8901734104046241E-3</v>
      </c>
      <c r="AC1096" s="61">
        <v>2.8901734104046241E-3</v>
      </c>
      <c r="AD1096" s="61">
        <v>0.22832369942196531</v>
      </c>
      <c r="AE1096" s="61">
        <v>1.1560693641618497E-2</v>
      </c>
      <c r="AF1096" s="61">
        <v>0</v>
      </c>
      <c r="AG1096" s="61">
        <v>0.7052023121387283</v>
      </c>
      <c r="AH1096" s="61">
        <v>4.9132947976878616E-2</v>
      </c>
      <c r="AI1096" s="61">
        <v>0.2947976878612717</v>
      </c>
      <c r="AJ1096" s="59">
        <v>0.59830000000000005</v>
      </c>
      <c r="AK1096" s="59">
        <v>0</v>
      </c>
      <c r="AL1096" s="3">
        <v>0</v>
      </c>
      <c r="AM1096" s="3">
        <v>0</v>
      </c>
      <c r="AN1096" s="3">
        <v>0</v>
      </c>
      <c r="AO1096" s="3">
        <v>86</v>
      </c>
      <c r="AP1096" s="3">
        <v>85</v>
      </c>
      <c r="AQ1096" s="3">
        <v>90</v>
      </c>
      <c r="AR1096" s="3">
        <v>85</v>
      </c>
      <c r="AS1096" s="59">
        <v>0</v>
      </c>
      <c r="AT1096" s="3">
        <v>9</v>
      </c>
      <c r="AU1096" s="3">
        <v>6</v>
      </c>
      <c r="AV1096" s="49">
        <v>76.958525345622093</v>
      </c>
      <c r="AW1096" s="49">
        <v>18.433179723502299</v>
      </c>
      <c r="AX1096" s="49">
        <v>4.1474654377880196</v>
      </c>
      <c r="AY1096" s="67">
        <v>0.46082949308755805</v>
      </c>
      <c r="AZ1096" s="63">
        <v>1.4124293785310734E-2</v>
      </c>
      <c r="BA1096" s="63">
        <v>0.2344632768361582</v>
      </c>
      <c r="BB1096" s="78">
        <v>91.286054557782904</v>
      </c>
      <c r="BC1096" s="49">
        <v>71.629213483146103</v>
      </c>
      <c r="BD1096" s="3"/>
      <c r="BE1096" s="3"/>
      <c r="BF1096" s="3"/>
      <c r="BG1096" s="3"/>
      <c r="BH1096" s="3"/>
      <c r="BI1096" s="3"/>
      <c r="BJ1096" s="88">
        <v>18.600000000000001</v>
      </c>
      <c r="BK1096" s="126">
        <v>10844</v>
      </c>
      <c r="BL1096" s="126">
        <v>51947</v>
      </c>
      <c r="BM1096" s="126">
        <v>39737</v>
      </c>
      <c r="BN1096" s="126">
        <v>40529</v>
      </c>
      <c r="BO1096" s="59">
        <v>4.0000000000000001E-3</v>
      </c>
      <c r="BP1096" s="63">
        <v>0.37669999999999998</v>
      </c>
      <c r="BQ1096" s="63">
        <v>0.12670000000000001</v>
      </c>
      <c r="BR1096" s="63">
        <v>0</v>
      </c>
      <c r="BS1096" s="63">
        <v>0</v>
      </c>
      <c r="BT1096" s="88">
        <v>12.8</v>
      </c>
      <c r="BU1096" s="59">
        <f t="shared" si="80"/>
        <v>0.50739999999999996</v>
      </c>
      <c r="BV1096" s="59">
        <v>7.1999999999999995E-2</v>
      </c>
      <c r="BW1096" s="63">
        <v>0</v>
      </c>
      <c r="BX1096" s="63">
        <v>4.8000000000000001E-2</v>
      </c>
      <c r="BY1096" s="63">
        <v>0</v>
      </c>
      <c r="BZ1096" s="63">
        <v>0</v>
      </c>
      <c r="CA1096" s="88">
        <v>16.8</v>
      </c>
      <c r="CB1096" s="59">
        <f t="shared" si="81"/>
        <v>0.12</v>
      </c>
      <c r="CC1096" s="59">
        <v>0.39660000000000001</v>
      </c>
      <c r="CD1096" s="63">
        <v>0.4007</v>
      </c>
      <c r="CE1096" s="63">
        <v>0.20269999999999999</v>
      </c>
      <c r="CF1096" s="63">
        <v>0</v>
      </c>
      <c r="CG1096" s="63">
        <v>0</v>
      </c>
      <c r="CH1096" s="88">
        <v>13.6</v>
      </c>
      <c r="CI1096" s="26" t="s">
        <v>239</v>
      </c>
      <c r="CJ1096" s="18" t="s">
        <v>505</v>
      </c>
      <c r="CK1096" s="20"/>
    </row>
    <row r="1097" spans="1:99" x14ac:dyDescent="0.25">
      <c r="A1097" s="18" t="s">
        <v>505</v>
      </c>
      <c r="B1097" s="19" t="s">
        <v>240</v>
      </c>
      <c r="C1097" s="26" t="s">
        <v>241</v>
      </c>
      <c r="D1097" s="6">
        <v>60</v>
      </c>
      <c r="E1097" s="40" t="s">
        <v>83</v>
      </c>
      <c r="F1097" s="6">
        <v>60</v>
      </c>
      <c r="N1097" s="118">
        <v>3.1880977683315603E-2</v>
      </c>
      <c r="O1097" s="118">
        <v>3.1880977683315603E-2</v>
      </c>
      <c r="P1097" s="116" t="s">
        <v>83</v>
      </c>
      <c r="Q1097" s="116" t="s">
        <v>83</v>
      </c>
      <c r="R1097" s="118">
        <v>0</v>
      </c>
      <c r="S1097" s="118">
        <v>3.8543897216274103E-2</v>
      </c>
      <c r="T1097" s="118">
        <v>3.4482758620689703E-2</v>
      </c>
      <c r="U1097" s="118">
        <v>3.8374717832957102E-2</v>
      </c>
      <c r="V1097" s="118">
        <v>2.0725388601036301E-2</v>
      </c>
      <c r="W1097" s="6">
        <v>1678</v>
      </c>
      <c r="X1097" s="40">
        <f t="shared" si="78"/>
        <v>1678</v>
      </c>
      <c r="Y1097" s="40">
        <f t="shared" si="79"/>
        <v>1678</v>
      </c>
      <c r="Z1097" s="59">
        <v>0.49519999999999997</v>
      </c>
      <c r="AA1097" s="59">
        <v>0.50480000000000003</v>
      </c>
      <c r="AB1097" s="61">
        <v>3.5756853396901071E-3</v>
      </c>
      <c r="AC1097" s="61">
        <v>1.2514898688915376E-2</v>
      </c>
      <c r="AD1097" s="61">
        <v>0.3909415971394517</v>
      </c>
      <c r="AE1097" s="61">
        <v>0.10071513706793803</v>
      </c>
      <c r="AF1097" s="61">
        <v>5.9594755661501785E-4</v>
      </c>
      <c r="AG1097" s="61">
        <v>0.48331346841477951</v>
      </c>
      <c r="AH1097" s="61">
        <v>8.3432657926102508E-3</v>
      </c>
      <c r="AI1097" s="61">
        <v>0.51668653158522049</v>
      </c>
      <c r="AJ1097" s="59">
        <v>0.65610000000000002</v>
      </c>
      <c r="AK1097" s="59">
        <v>4.53E-2</v>
      </c>
      <c r="AL1097" s="3">
        <v>0</v>
      </c>
      <c r="AM1097" s="3">
        <v>0</v>
      </c>
      <c r="AN1097" s="3">
        <v>89</v>
      </c>
      <c r="AO1097" s="3">
        <v>388</v>
      </c>
      <c r="AP1097" s="3">
        <v>424</v>
      </c>
      <c r="AQ1097" s="3">
        <v>410</v>
      </c>
      <c r="AR1097" s="3">
        <v>367</v>
      </c>
      <c r="AS1097" s="59">
        <v>0.18658280922431866</v>
      </c>
      <c r="AT1097" s="3">
        <v>9</v>
      </c>
      <c r="AU1097" s="3">
        <v>6</v>
      </c>
      <c r="AV1097" s="49">
        <v>47.442455242966801</v>
      </c>
      <c r="AW1097" s="49">
        <v>27.8772378516624</v>
      </c>
      <c r="AX1097" s="49">
        <v>24.040920716112499</v>
      </c>
      <c r="AY1097" s="67">
        <v>0.63938618925831203</v>
      </c>
      <c r="AZ1097" s="63">
        <v>0.20849005910800644</v>
      </c>
      <c r="BA1097" s="63">
        <v>0.14400859752821063</v>
      </c>
      <c r="BB1097" s="77">
        <v>92.906651150951006</v>
      </c>
      <c r="BC1097" s="49">
        <v>65.144356955380601</v>
      </c>
      <c r="BD1097" s="3"/>
      <c r="BE1097" s="3"/>
      <c r="BF1097" s="3"/>
      <c r="BG1097" s="3"/>
      <c r="BH1097" s="3"/>
      <c r="BI1097" s="3"/>
      <c r="BJ1097" s="88">
        <v>18.7</v>
      </c>
      <c r="BK1097" s="126">
        <v>9213</v>
      </c>
      <c r="BL1097" s="126">
        <v>49777</v>
      </c>
      <c r="BM1097" s="126">
        <v>37950</v>
      </c>
      <c r="BN1097" s="126">
        <v>42190</v>
      </c>
      <c r="BO1097" s="59">
        <v>7.3000000000000001E-3</v>
      </c>
      <c r="BP1097" s="63">
        <v>0.41699999999999998</v>
      </c>
      <c r="BQ1097" s="63">
        <v>0.17760000000000001</v>
      </c>
      <c r="BR1097" s="63">
        <v>7.3000000000000001E-3</v>
      </c>
      <c r="BS1097" s="63">
        <v>0</v>
      </c>
      <c r="BT1097" s="88">
        <v>8.1</v>
      </c>
      <c r="BU1097" s="59">
        <f t="shared" si="80"/>
        <v>0.60919999999999996</v>
      </c>
      <c r="BV1097" s="59">
        <v>5.8099999999999999E-2</v>
      </c>
      <c r="BW1097" s="63">
        <v>0</v>
      </c>
      <c r="BX1097" s="63">
        <v>2.18E-2</v>
      </c>
      <c r="BY1097" s="63">
        <v>7.3000000000000001E-3</v>
      </c>
      <c r="BZ1097" s="63">
        <v>0</v>
      </c>
      <c r="CA1097" s="88">
        <v>9.4</v>
      </c>
      <c r="CB1097" s="59">
        <f t="shared" si="81"/>
        <v>8.72E-2</v>
      </c>
      <c r="CC1097" s="59">
        <v>0.28189999999999998</v>
      </c>
      <c r="CD1097" s="63">
        <v>0.45329999999999998</v>
      </c>
      <c r="CE1097" s="63">
        <v>0.25030000000000002</v>
      </c>
      <c r="CF1097" s="63">
        <v>1.4500000000000001E-2</v>
      </c>
      <c r="CG1097" s="63">
        <v>0</v>
      </c>
      <c r="CH1097" s="88">
        <v>8.1999999999999993</v>
      </c>
      <c r="CI1097" s="26" t="s">
        <v>241</v>
      </c>
      <c r="CJ1097" s="18" t="s">
        <v>505</v>
      </c>
      <c r="CK1097" s="20"/>
    </row>
    <row r="1098" spans="1:99" x14ac:dyDescent="0.25">
      <c r="A1098" s="18" t="s">
        <v>505</v>
      </c>
      <c r="B1098" s="19" t="s">
        <v>240</v>
      </c>
      <c r="C1098" s="26" t="s">
        <v>242</v>
      </c>
      <c r="D1098" s="6">
        <v>53</v>
      </c>
      <c r="E1098" s="40" t="s">
        <v>83</v>
      </c>
      <c r="F1098" s="6">
        <v>53</v>
      </c>
      <c r="N1098" s="118">
        <v>4.1117145073700498E-2</v>
      </c>
      <c r="O1098" s="118">
        <v>4.1117145073700498E-2</v>
      </c>
      <c r="P1098" s="116" t="s">
        <v>83</v>
      </c>
      <c r="Q1098" s="116" t="s">
        <v>83</v>
      </c>
      <c r="R1098" s="118">
        <v>0</v>
      </c>
      <c r="S1098" s="118">
        <v>4.2056074766355103E-2</v>
      </c>
      <c r="T1098" s="118">
        <v>6.83453237410072E-2</v>
      </c>
      <c r="U1098" s="118">
        <v>3.6666666666666702E-2</v>
      </c>
      <c r="V1098" s="118">
        <v>2.1097046413502098E-2</v>
      </c>
      <c r="W1098" s="6">
        <v>1117</v>
      </c>
      <c r="X1098" s="40">
        <f t="shared" si="78"/>
        <v>1117</v>
      </c>
      <c r="Y1098" s="40">
        <f t="shared" si="79"/>
        <v>1117</v>
      </c>
      <c r="Z1098" s="59">
        <v>0.436</v>
      </c>
      <c r="AA1098" s="59">
        <v>0.56399999999999995</v>
      </c>
      <c r="AB1098" s="61">
        <v>3.5810205908683975E-3</v>
      </c>
      <c r="AC1098" s="61">
        <v>6.2667860340196958E-3</v>
      </c>
      <c r="AD1098" s="61">
        <v>0.62488809310653537</v>
      </c>
      <c r="AE1098" s="61">
        <v>5.729632945389436E-2</v>
      </c>
      <c r="AF1098" s="61">
        <v>0</v>
      </c>
      <c r="AG1098" s="61">
        <v>0.29632945389435988</v>
      </c>
      <c r="AH1098" s="61">
        <v>1.1638316920322292E-2</v>
      </c>
      <c r="AI1098" s="61">
        <v>0.70367054610564006</v>
      </c>
      <c r="AJ1098" s="59">
        <v>0.76719999999999999</v>
      </c>
      <c r="AK1098" s="59">
        <v>1.34E-2</v>
      </c>
      <c r="AL1098" s="3">
        <v>0</v>
      </c>
      <c r="AM1098" s="3">
        <v>0</v>
      </c>
      <c r="AN1098" s="3">
        <v>44</v>
      </c>
      <c r="AO1098" s="3">
        <v>355</v>
      </c>
      <c r="AP1098" s="3">
        <v>229</v>
      </c>
      <c r="AQ1098" s="3">
        <v>268</v>
      </c>
      <c r="AR1098" s="3">
        <v>221</v>
      </c>
      <c r="AS1098" s="59">
        <v>0.11027568922305764</v>
      </c>
      <c r="AT1098" s="3">
        <v>9</v>
      </c>
      <c r="AU1098" s="3">
        <v>6</v>
      </c>
      <c r="AV1098" s="49">
        <v>65.023112480739599</v>
      </c>
      <c r="AW1098" s="49">
        <v>17.4114021571649</v>
      </c>
      <c r="AX1098" s="49">
        <v>17.103235747303501</v>
      </c>
      <c r="AY1098" s="67">
        <v>0.46224961479198795</v>
      </c>
      <c r="AZ1098" s="63">
        <v>0.24268774703557311</v>
      </c>
      <c r="BA1098" s="63">
        <v>0.19209486166007905</v>
      </c>
      <c r="BB1098" s="78">
        <v>91.846351724021702</v>
      </c>
      <c r="BC1098" s="49">
        <v>69.713400464756006</v>
      </c>
      <c r="BD1098" s="3"/>
      <c r="BE1098" s="3"/>
      <c r="BF1098" s="3"/>
      <c r="BG1098" s="3"/>
      <c r="BH1098" s="3"/>
      <c r="BI1098" s="3"/>
      <c r="BJ1098" s="88">
        <v>17.3</v>
      </c>
      <c r="BK1098" s="126">
        <v>10309</v>
      </c>
      <c r="BL1098" s="126">
        <v>50532</v>
      </c>
      <c r="BM1098" s="126">
        <v>39306</v>
      </c>
      <c r="BN1098" s="126">
        <v>42125</v>
      </c>
      <c r="BO1098" s="59">
        <v>0</v>
      </c>
      <c r="BP1098" s="63">
        <v>0.39829999999999999</v>
      </c>
      <c r="BQ1098" s="63">
        <v>0.16750000000000001</v>
      </c>
      <c r="BR1098" s="63">
        <v>0</v>
      </c>
      <c r="BS1098" s="63">
        <v>0</v>
      </c>
      <c r="BT1098" s="88">
        <v>8.6</v>
      </c>
      <c r="BU1098" s="59">
        <f t="shared" si="80"/>
        <v>0.56579999999999997</v>
      </c>
      <c r="BV1098" s="59">
        <v>5.9700000000000003E-2</v>
      </c>
      <c r="BW1098" s="63">
        <v>0</v>
      </c>
      <c r="BX1098" s="63">
        <v>2.76E-2</v>
      </c>
      <c r="BY1098" s="63">
        <v>0</v>
      </c>
      <c r="BZ1098" s="63">
        <v>0</v>
      </c>
      <c r="CA1098" s="88">
        <v>14.8</v>
      </c>
      <c r="CB1098" s="59">
        <f t="shared" si="81"/>
        <v>8.7300000000000003E-2</v>
      </c>
      <c r="CC1098" s="59">
        <v>0.30359999999999998</v>
      </c>
      <c r="CD1098" s="63">
        <v>0.44019999999999998</v>
      </c>
      <c r="CE1098" s="63">
        <v>0.25629999999999997</v>
      </c>
      <c r="CF1098" s="63">
        <v>0</v>
      </c>
      <c r="CG1098" s="63">
        <v>0</v>
      </c>
      <c r="CH1098" s="88">
        <v>8.4</v>
      </c>
      <c r="CI1098" s="26" t="s">
        <v>242</v>
      </c>
      <c r="CJ1098" s="18" t="s">
        <v>505</v>
      </c>
      <c r="CK1098" s="20"/>
    </row>
    <row r="1099" spans="1:99" x14ac:dyDescent="0.25">
      <c r="A1099" s="18" t="s">
        <v>505</v>
      </c>
      <c r="B1099" s="19" t="s">
        <v>240</v>
      </c>
      <c r="C1099" s="26" t="s">
        <v>243</v>
      </c>
      <c r="D1099" s="6">
        <v>40</v>
      </c>
      <c r="E1099" s="40" t="s">
        <v>83</v>
      </c>
      <c r="F1099" s="6">
        <v>40</v>
      </c>
      <c r="N1099" s="118">
        <v>2.2948938611589201E-2</v>
      </c>
      <c r="O1099" s="118">
        <v>2.2948938611589201E-2</v>
      </c>
      <c r="P1099" s="116" t="s">
        <v>83</v>
      </c>
      <c r="Q1099" s="116" t="s">
        <v>83</v>
      </c>
      <c r="R1099" s="118">
        <v>0</v>
      </c>
      <c r="S1099" s="118">
        <v>3.0136986301369899E-2</v>
      </c>
      <c r="T1099" s="118">
        <v>3.1630170316301699E-2</v>
      </c>
      <c r="U1099" s="118">
        <v>1.5748031496062999E-2</v>
      </c>
      <c r="V1099" s="118">
        <v>1.9230769230769201E-2</v>
      </c>
      <c r="W1099" s="6">
        <v>1588</v>
      </c>
      <c r="X1099" s="40">
        <f t="shared" si="78"/>
        <v>1588</v>
      </c>
      <c r="Y1099" s="40">
        <f t="shared" si="79"/>
        <v>1588</v>
      </c>
      <c r="Z1099" s="59">
        <v>0.50570000000000004</v>
      </c>
      <c r="AA1099" s="59">
        <v>0.49430000000000002</v>
      </c>
      <c r="AB1099" s="61">
        <v>4.4080604534005039E-3</v>
      </c>
      <c r="AC1099" s="61">
        <v>3.3375314861460954E-2</v>
      </c>
      <c r="AD1099" s="61">
        <v>0.3255667506297229</v>
      </c>
      <c r="AE1099" s="61">
        <v>4.4080604534005037E-2</v>
      </c>
      <c r="AF1099" s="61">
        <v>6.2972292191435767E-4</v>
      </c>
      <c r="AG1099" s="61">
        <v>0.5768261964735516</v>
      </c>
      <c r="AH1099" s="61">
        <v>1.5113350125944584E-2</v>
      </c>
      <c r="AI1099" s="61">
        <v>0.42317380352644834</v>
      </c>
      <c r="AJ1099" s="59">
        <v>0.51129999999999998</v>
      </c>
      <c r="AK1099" s="59">
        <v>3.8E-3</v>
      </c>
      <c r="AL1099" s="3">
        <v>0</v>
      </c>
      <c r="AM1099" s="3">
        <v>0</v>
      </c>
      <c r="AN1099" s="3">
        <v>37</v>
      </c>
      <c r="AO1099" s="3">
        <v>307</v>
      </c>
      <c r="AP1099" s="3">
        <v>367</v>
      </c>
      <c r="AQ1099" s="3">
        <v>477</v>
      </c>
      <c r="AR1099" s="3">
        <v>400</v>
      </c>
      <c r="AS1099" s="59">
        <v>0.10755813953488372</v>
      </c>
      <c r="AT1099" s="3">
        <v>9</v>
      </c>
      <c r="AU1099" s="3">
        <v>6</v>
      </c>
      <c r="AV1099" s="49">
        <v>59.414225941422607</v>
      </c>
      <c r="AW1099" s="49">
        <v>19.804741980474201</v>
      </c>
      <c r="AX1099" s="49">
        <v>20.362622036262202</v>
      </c>
      <c r="AY1099" s="67">
        <v>0.418410041841004</v>
      </c>
      <c r="AZ1099" s="63">
        <v>0.23018648018648019</v>
      </c>
      <c r="BA1099" s="63">
        <v>0.13053613053613053</v>
      </c>
      <c r="BB1099" s="77">
        <v>93.3141603818042</v>
      </c>
      <c r="BC1099" s="49">
        <v>56.938073394495397</v>
      </c>
      <c r="BD1099" s="3"/>
      <c r="BE1099" s="3"/>
      <c r="BF1099" s="3"/>
      <c r="BG1099" s="3"/>
      <c r="BH1099" s="3"/>
      <c r="BI1099" s="3"/>
      <c r="BJ1099" s="88">
        <v>19.7</v>
      </c>
      <c r="BK1099" s="126">
        <v>9358</v>
      </c>
      <c r="BL1099" s="126">
        <v>50577</v>
      </c>
      <c r="BM1099" s="126">
        <v>36362</v>
      </c>
      <c r="BN1099" s="126">
        <v>43659</v>
      </c>
      <c r="BO1099" s="59">
        <v>0</v>
      </c>
      <c r="BP1099" s="63">
        <v>0.43809999999999999</v>
      </c>
      <c r="BQ1099" s="63">
        <v>0.19769999999999999</v>
      </c>
      <c r="BR1099" s="63">
        <v>0</v>
      </c>
      <c r="BS1099" s="63">
        <v>7.7000000000000002E-3</v>
      </c>
      <c r="BT1099" s="88">
        <v>9.1</v>
      </c>
      <c r="BU1099" s="59">
        <f t="shared" si="80"/>
        <v>0.64349999999999996</v>
      </c>
      <c r="BV1099" s="59">
        <v>6.4699999999999994E-2</v>
      </c>
      <c r="BW1099" s="63">
        <v>0</v>
      </c>
      <c r="BX1099" s="63">
        <v>3.0700000000000002E-2</v>
      </c>
      <c r="BY1099" s="63">
        <v>0</v>
      </c>
      <c r="BZ1099" s="63">
        <v>0</v>
      </c>
      <c r="CA1099" s="88">
        <v>10.4</v>
      </c>
      <c r="CB1099" s="59">
        <f t="shared" si="81"/>
        <v>9.5399999999999999E-2</v>
      </c>
      <c r="CC1099" s="59">
        <v>0.24149999999999999</v>
      </c>
      <c r="CD1099" s="63">
        <v>0.45340000000000003</v>
      </c>
      <c r="CE1099" s="63">
        <v>0.2974</v>
      </c>
      <c r="CF1099" s="63">
        <v>0</v>
      </c>
      <c r="CG1099" s="63">
        <v>7.7000000000000002E-3</v>
      </c>
      <c r="CH1099" s="88">
        <v>9.1999999999999993</v>
      </c>
      <c r="CI1099" s="26" t="s">
        <v>243</v>
      </c>
      <c r="CJ1099" s="18" t="s">
        <v>505</v>
      </c>
      <c r="CK1099" s="20"/>
    </row>
    <row r="1100" spans="1:99" x14ac:dyDescent="0.25">
      <c r="A1100" s="18" t="s">
        <v>505</v>
      </c>
      <c r="B1100" s="19" t="s">
        <v>240</v>
      </c>
      <c r="C1100" s="26" t="s">
        <v>244</v>
      </c>
      <c r="D1100" s="6">
        <v>62</v>
      </c>
      <c r="E1100" s="40" t="s">
        <v>83</v>
      </c>
      <c r="F1100" s="6">
        <v>62</v>
      </c>
      <c r="N1100" s="118">
        <v>2.6116259477674798E-2</v>
      </c>
      <c r="O1100" s="118">
        <v>2.6116259477674798E-2</v>
      </c>
      <c r="P1100" s="116" t="s">
        <v>83</v>
      </c>
      <c r="Q1100" s="116" t="s">
        <v>83</v>
      </c>
      <c r="R1100" s="118">
        <v>0</v>
      </c>
      <c r="S1100" s="118">
        <v>3.9792387543252601E-2</v>
      </c>
      <c r="T1100" s="118">
        <v>3.24324324324324E-2</v>
      </c>
      <c r="U1100" s="118">
        <v>1.8461538461538501E-2</v>
      </c>
      <c r="V1100" s="118">
        <v>1.72413793103448E-2</v>
      </c>
      <c r="W1100" s="6">
        <v>2172</v>
      </c>
      <c r="X1100" s="40">
        <f t="shared" si="78"/>
        <v>2172</v>
      </c>
      <c r="Y1100" s="40">
        <f t="shared" si="79"/>
        <v>2172</v>
      </c>
      <c r="Z1100" s="59">
        <v>0.52949999999999997</v>
      </c>
      <c r="AA1100" s="59">
        <v>0.47049999999999997</v>
      </c>
      <c r="AB1100" s="61">
        <v>2.7624309392265192E-3</v>
      </c>
      <c r="AC1100" s="61">
        <v>5.2486187845303865E-2</v>
      </c>
      <c r="AD1100" s="61">
        <v>0.34576427255985265</v>
      </c>
      <c r="AE1100" s="61">
        <v>6.7679558011049717E-2</v>
      </c>
      <c r="AF1100" s="61">
        <v>9.2081031307550648E-4</v>
      </c>
      <c r="AG1100" s="61">
        <v>0.51887661141804786</v>
      </c>
      <c r="AH1100" s="61">
        <v>1.1510128913443831E-2</v>
      </c>
      <c r="AI1100" s="61">
        <v>0.48112338858195214</v>
      </c>
      <c r="AJ1100" s="59">
        <v>0.5212</v>
      </c>
      <c r="AK1100" s="59">
        <v>3.6799999999999999E-2</v>
      </c>
      <c r="AL1100" s="3">
        <v>0</v>
      </c>
      <c r="AM1100" s="3">
        <v>0</v>
      </c>
      <c r="AN1100" s="3">
        <v>68</v>
      </c>
      <c r="AO1100" s="3">
        <v>494</v>
      </c>
      <c r="AP1100" s="3">
        <v>500</v>
      </c>
      <c r="AQ1100" s="3">
        <v>613</v>
      </c>
      <c r="AR1100" s="3">
        <v>497</v>
      </c>
      <c r="AS1100" s="59">
        <v>0.12099644128113879</v>
      </c>
      <c r="AT1100" s="3">
        <v>9</v>
      </c>
      <c r="AU1100" s="3">
        <v>6</v>
      </c>
      <c r="AV1100" s="49">
        <v>59.905660377358508</v>
      </c>
      <c r="AW1100" s="49">
        <v>26.981132075471699</v>
      </c>
      <c r="AX1100" s="49">
        <v>12.9245283018868</v>
      </c>
      <c r="AY1100" s="67">
        <v>0.18867924528301899</v>
      </c>
      <c r="AZ1100" s="63">
        <v>0.18428874734607217</v>
      </c>
      <c r="BA1100" s="63">
        <v>0.10445859872611465</v>
      </c>
      <c r="BB1100" s="78">
        <v>93.955038880139</v>
      </c>
      <c r="BC1100" s="49">
        <v>55.182421227197302</v>
      </c>
      <c r="BD1100" s="3"/>
      <c r="BE1100" s="3"/>
      <c r="BF1100" s="3"/>
      <c r="BG1100" s="3"/>
      <c r="BH1100" s="3"/>
      <c r="BI1100" s="3"/>
      <c r="BJ1100" s="88">
        <v>22.4</v>
      </c>
      <c r="BK1100" s="126">
        <v>9742</v>
      </c>
      <c r="BL1100" s="126">
        <v>50403</v>
      </c>
      <c r="BM1100" s="126">
        <v>41670</v>
      </c>
      <c r="BN1100" s="126">
        <v>42572</v>
      </c>
      <c r="BO1100" s="59">
        <v>0</v>
      </c>
      <c r="BP1100" s="63">
        <v>0.35510000000000003</v>
      </c>
      <c r="BQ1100" s="63">
        <v>0.255</v>
      </c>
      <c r="BR1100" s="63">
        <v>0</v>
      </c>
      <c r="BS1100" s="63">
        <v>1.54E-2</v>
      </c>
      <c r="BT1100" s="88">
        <v>8.5</v>
      </c>
      <c r="BU1100" s="59">
        <f t="shared" si="80"/>
        <v>0.62550000000000006</v>
      </c>
      <c r="BV1100" s="59">
        <v>4.1000000000000002E-2</v>
      </c>
      <c r="BW1100" s="63">
        <v>5.1000000000000004E-3</v>
      </c>
      <c r="BX1100" s="63">
        <v>2.0500000000000001E-2</v>
      </c>
      <c r="BY1100" s="63">
        <v>0</v>
      </c>
      <c r="BZ1100" s="63">
        <v>7.7999999999999996E-3</v>
      </c>
      <c r="CA1100" s="88">
        <v>13.2</v>
      </c>
      <c r="CB1100" s="59">
        <f t="shared" si="81"/>
        <v>7.4400000000000008E-2</v>
      </c>
      <c r="CC1100" s="59">
        <v>0.25790000000000002</v>
      </c>
      <c r="CD1100" s="63">
        <v>0.39950000000000002</v>
      </c>
      <c r="CE1100" s="63">
        <v>0.31940000000000002</v>
      </c>
      <c r="CF1100" s="63">
        <v>0</v>
      </c>
      <c r="CG1100" s="63">
        <v>2.3099999999999999E-2</v>
      </c>
      <c r="CH1100" s="88">
        <v>8.6</v>
      </c>
      <c r="CI1100" s="26" t="s">
        <v>244</v>
      </c>
      <c r="CJ1100" s="18" t="s">
        <v>505</v>
      </c>
      <c r="CK1100" s="20"/>
    </row>
    <row r="1101" spans="1:99" x14ac:dyDescent="0.25">
      <c r="A1101" s="18" t="s">
        <v>505</v>
      </c>
      <c r="B1101" s="19" t="s">
        <v>240</v>
      </c>
      <c r="C1101" s="26" t="s">
        <v>245</v>
      </c>
      <c r="D1101" s="6">
        <v>67</v>
      </c>
      <c r="E1101" s="40" t="s">
        <v>83</v>
      </c>
      <c r="F1101" s="6">
        <v>67</v>
      </c>
      <c r="N1101" s="118">
        <v>7.6571428571428596E-2</v>
      </c>
      <c r="O1101" s="118">
        <v>7.6571428571428596E-2</v>
      </c>
      <c r="P1101" s="116" t="s">
        <v>83</v>
      </c>
      <c r="Q1101" s="116" t="s">
        <v>83</v>
      </c>
      <c r="R1101" s="118">
        <v>0</v>
      </c>
      <c r="S1101" s="118">
        <v>9.6899224806201598E-2</v>
      </c>
      <c r="T1101" s="118">
        <v>0.12560386473429999</v>
      </c>
      <c r="U1101" s="118">
        <v>7.5471698113207503E-2</v>
      </c>
      <c r="V1101" s="118">
        <v>2.68456375838926E-2</v>
      </c>
      <c r="W1101" s="6">
        <v>725</v>
      </c>
      <c r="X1101" s="40">
        <f t="shared" si="78"/>
        <v>725</v>
      </c>
      <c r="Y1101" s="40">
        <f t="shared" si="79"/>
        <v>725</v>
      </c>
      <c r="Z1101" s="59">
        <v>0.49099999999999999</v>
      </c>
      <c r="AA1101" s="59">
        <v>0.50900000000000001</v>
      </c>
      <c r="AB1101" s="61">
        <v>0</v>
      </c>
      <c r="AC1101" s="61">
        <v>2.7586206896551722E-3</v>
      </c>
      <c r="AD1101" s="61">
        <v>0.94896551724137934</v>
      </c>
      <c r="AE1101" s="61">
        <v>1.1034482758620689E-2</v>
      </c>
      <c r="AF1101" s="61">
        <v>0</v>
      </c>
      <c r="AG1101" s="61">
        <v>2.6206896551724139E-2</v>
      </c>
      <c r="AH1101" s="61">
        <v>1.1034482758620689E-2</v>
      </c>
      <c r="AI1101" s="61">
        <v>0.97379310344827585</v>
      </c>
      <c r="AJ1101" s="59">
        <v>0.9103</v>
      </c>
      <c r="AK1101" s="59">
        <v>2.8E-3</v>
      </c>
      <c r="AL1101" s="3">
        <v>0</v>
      </c>
      <c r="AM1101" s="3">
        <v>0</v>
      </c>
      <c r="AN1101" s="3">
        <v>99</v>
      </c>
      <c r="AO1101" s="3">
        <v>189</v>
      </c>
      <c r="AP1101" s="3">
        <v>162</v>
      </c>
      <c r="AQ1101" s="3">
        <v>138</v>
      </c>
      <c r="AR1101" s="3">
        <v>137</v>
      </c>
      <c r="AS1101" s="59">
        <v>0.34375</v>
      </c>
      <c r="AT1101" s="3">
        <v>9</v>
      </c>
      <c r="AU1101" s="3">
        <v>6</v>
      </c>
      <c r="AV1101" s="49">
        <v>56.857142857142897</v>
      </c>
      <c r="AW1101" s="49">
        <v>35.714285714285701</v>
      </c>
      <c r="AX1101" s="49">
        <v>6.28571428571429</v>
      </c>
      <c r="AY1101" s="67">
        <v>1.1428571428571401</v>
      </c>
      <c r="AZ1101" s="63">
        <v>0.46705882352941175</v>
      </c>
      <c r="BA1101" s="63">
        <v>0.3623529411764706</v>
      </c>
      <c r="BB1101" s="77">
        <v>85.167938174972804</v>
      </c>
      <c r="BC1101" s="49">
        <v>77.966101694915295</v>
      </c>
      <c r="BD1101" s="3"/>
      <c r="BE1101" s="3"/>
      <c r="BF1101" s="3"/>
      <c r="BG1101" s="3"/>
      <c r="BH1101" s="3"/>
      <c r="BI1101" s="3"/>
      <c r="BJ1101" s="88">
        <v>16.3</v>
      </c>
      <c r="BK1101" s="126">
        <v>12597</v>
      </c>
      <c r="BL1101" s="126">
        <v>49168</v>
      </c>
      <c r="BM1101" s="126">
        <v>39969</v>
      </c>
      <c r="BN1101" s="126">
        <v>40229</v>
      </c>
      <c r="BO1101" s="59">
        <v>0</v>
      </c>
      <c r="BP1101" s="63">
        <v>0.33029999999999998</v>
      </c>
      <c r="BQ1101" s="63">
        <v>0.1636</v>
      </c>
      <c r="BR1101" s="63">
        <v>1.18E-2</v>
      </c>
      <c r="BS1101" s="63">
        <v>0</v>
      </c>
      <c r="BT1101" s="88">
        <v>8.6</v>
      </c>
      <c r="BU1101" s="59">
        <f t="shared" si="80"/>
        <v>0.50570000000000004</v>
      </c>
      <c r="BV1101" s="59">
        <v>5.8900000000000001E-2</v>
      </c>
      <c r="BW1101" s="63">
        <v>0</v>
      </c>
      <c r="BX1101" s="63">
        <v>3.5299999999999998E-2</v>
      </c>
      <c r="BY1101" s="63">
        <v>0</v>
      </c>
      <c r="BZ1101" s="63">
        <v>0</v>
      </c>
      <c r="CA1101" s="88">
        <v>8.9</v>
      </c>
      <c r="CB1101" s="59">
        <f t="shared" si="81"/>
        <v>9.4200000000000006E-2</v>
      </c>
      <c r="CC1101" s="59">
        <v>0.35909999999999997</v>
      </c>
      <c r="CD1101" s="63">
        <v>0.34810000000000002</v>
      </c>
      <c r="CE1101" s="63">
        <v>0.26929999999999998</v>
      </c>
      <c r="CF1101" s="63">
        <v>1.18E-2</v>
      </c>
      <c r="CG1101" s="63">
        <v>1.18E-2</v>
      </c>
      <c r="CH1101" s="88">
        <v>7.6</v>
      </c>
      <c r="CI1101" s="26" t="s">
        <v>245</v>
      </c>
      <c r="CJ1101" s="18" t="s">
        <v>505</v>
      </c>
      <c r="CK1101" s="20"/>
    </row>
    <row r="1102" spans="1:99" x14ac:dyDescent="0.25">
      <c r="A1102" s="18" t="s">
        <v>505</v>
      </c>
      <c r="B1102" s="19" t="s">
        <v>240</v>
      </c>
      <c r="C1102" s="26" t="s">
        <v>246</v>
      </c>
      <c r="D1102" s="6">
        <v>0</v>
      </c>
      <c r="E1102" s="40" t="s">
        <v>83</v>
      </c>
      <c r="F1102" s="6">
        <v>0</v>
      </c>
      <c r="N1102" s="118">
        <v>0</v>
      </c>
      <c r="O1102" s="118">
        <v>0</v>
      </c>
      <c r="P1102" s="116" t="s">
        <v>83</v>
      </c>
      <c r="Q1102" s="116" t="s">
        <v>83</v>
      </c>
      <c r="R1102" s="116" t="s">
        <v>83</v>
      </c>
      <c r="S1102" s="118">
        <v>0</v>
      </c>
      <c r="T1102" s="118">
        <v>0</v>
      </c>
      <c r="U1102" s="118">
        <v>0</v>
      </c>
      <c r="V1102" s="118">
        <v>0</v>
      </c>
      <c r="W1102" s="6">
        <v>249</v>
      </c>
      <c r="X1102" s="40">
        <f t="shared" si="78"/>
        <v>249</v>
      </c>
      <c r="Y1102" s="40">
        <f t="shared" si="79"/>
        <v>249</v>
      </c>
      <c r="Z1102" s="59">
        <v>0.65059999999999996</v>
      </c>
      <c r="AA1102" s="59">
        <v>0.34939999999999999</v>
      </c>
      <c r="AB1102" s="61">
        <v>4.0160642570281121E-3</v>
      </c>
      <c r="AC1102" s="61">
        <v>5.6224899598393573E-2</v>
      </c>
      <c r="AD1102" s="61">
        <v>0.21686746987951808</v>
      </c>
      <c r="AE1102" s="61">
        <v>6.0240963855421686E-2</v>
      </c>
      <c r="AF1102" s="61">
        <v>0</v>
      </c>
      <c r="AG1102" s="61">
        <v>0.6506024096385542</v>
      </c>
      <c r="AH1102" s="61">
        <v>1.2048192771084338E-2</v>
      </c>
      <c r="AI1102" s="61">
        <v>0.3493975903614458</v>
      </c>
      <c r="AJ1102" s="59">
        <v>0.39760000000000001</v>
      </c>
      <c r="AK1102" s="59">
        <v>4.0000000000000001E-3</v>
      </c>
      <c r="AL1102" s="3">
        <v>0</v>
      </c>
      <c r="AM1102" s="3">
        <v>0</v>
      </c>
      <c r="AN1102" s="3">
        <v>0</v>
      </c>
      <c r="AO1102" s="3">
        <v>64</v>
      </c>
      <c r="AP1102" s="3">
        <v>75</v>
      </c>
      <c r="AQ1102" s="3">
        <v>61</v>
      </c>
      <c r="AR1102" s="3">
        <v>49</v>
      </c>
      <c r="AS1102" s="59">
        <v>0</v>
      </c>
      <c r="AT1102" s="3">
        <v>9</v>
      </c>
      <c r="AU1102" s="3">
        <v>8</v>
      </c>
      <c r="AV1102" s="49">
        <v>63.716814159291999</v>
      </c>
      <c r="AW1102" s="49">
        <v>30.973451327433597</v>
      </c>
      <c r="AX1102" s="49">
        <v>3.5398230088495604</v>
      </c>
      <c r="AY1102" s="67">
        <v>1.7699115044247802</v>
      </c>
      <c r="AZ1102" s="63">
        <v>0</v>
      </c>
      <c r="BA1102" s="63">
        <v>0.02</v>
      </c>
      <c r="BB1102" s="77">
        <v>97.583836436507497</v>
      </c>
      <c r="BC1102" s="49">
        <v>13.438735177865601</v>
      </c>
      <c r="BD1102" s="3"/>
      <c r="BE1102" s="3"/>
      <c r="BF1102" s="3"/>
      <c r="BG1102" s="3"/>
      <c r="BH1102" s="3"/>
      <c r="BI1102" s="3"/>
      <c r="BJ1102" s="88">
        <v>24.6</v>
      </c>
      <c r="BK1102" s="126">
        <v>6848</v>
      </c>
      <c r="BL1102" s="126">
        <v>48168</v>
      </c>
      <c r="BM1102" s="126">
        <v>50115</v>
      </c>
      <c r="BN1102" s="126">
        <v>49269</v>
      </c>
      <c r="BO1102" s="59">
        <v>0</v>
      </c>
      <c r="BP1102" s="63">
        <v>0.54549999999999998</v>
      </c>
      <c r="BQ1102" s="63">
        <v>0.18179999999999999</v>
      </c>
      <c r="BR1102" s="63">
        <v>0</v>
      </c>
      <c r="BS1102" s="63">
        <v>0</v>
      </c>
      <c r="BT1102" s="88">
        <v>8.5</v>
      </c>
      <c r="BU1102" s="59">
        <f t="shared" si="80"/>
        <v>0.72729999999999995</v>
      </c>
      <c r="BV1102" s="59">
        <v>9.0899999999999995E-2</v>
      </c>
      <c r="BW1102" s="63">
        <v>0</v>
      </c>
      <c r="BX1102" s="63">
        <v>9.0899999999999995E-2</v>
      </c>
      <c r="BY1102" s="63">
        <v>0</v>
      </c>
      <c r="BZ1102" s="63">
        <v>0</v>
      </c>
      <c r="CA1102" s="88">
        <v>7.5</v>
      </c>
      <c r="CB1102" s="59">
        <f t="shared" si="81"/>
        <v>0.18179999999999999</v>
      </c>
      <c r="CC1102" s="59">
        <v>9.0899999999999995E-2</v>
      </c>
      <c r="CD1102" s="63">
        <v>0.54549999999999998</v>
      </c>
      <c r="CE1102" s="63">
        <v>0.36359999999999998</v>
      </c>
      <c r="CF1102" s="63">
        <v>0</v>
      </c>
      <c r="CG1102" s="63">
        <v>0</v>
      </c>
      <c r="CH1102" s="88">
        <v>7.5</v>
      </c>
      <c r="CI1102" s="26" t="s">
        <v>246</v>
      </c>
      <c r="CJ1102" s="18" t="s">
        <v>505</v>
      </c>
      <c r="CK1102" s="20"/>
    </row>
    <row r="1103" spans="1:99" x14ac:dyDescent="0.25">
      <c r="A1103" s="18" t="s">
        <v>505</v>
      </c>
      <c r="B1103" s="19" t="s">
        <v>240</v>
      </c>
      <c r="C1103" s="26" t="s">
        <v>247</v>
      </c>
      <c r="D1103" s="6">
        <v>2</v>
      </c>
      <c r="E1103" s="6">
        <v>0</v>
      </c>
      <c r="F1103" s="6">
        <v>2</v>
      </c>
      <c r="N1103" s="118">
        <v>2.0554984583761602E-3</v>
      </c>
      <c r="O1103" s="118">
        <v>3.3557046979865801E-3</v>
      </c>
      <c r="P1103" s="118">
        <v>0</v>
      </c>
      <c r="Q1103" s="118">
        <v>0</v>
      </c>
      <c r="R1103" s="116" t="s">
        <v>83</v>
      </c>
      <c r="S1103" s="118">
        <v>0</v>
      </c>
      <c r="T1103" s="118">
        <v>0</v>
      </c>
      <c r="U1103" s="118">
        <v>8.0000000000000002E-3</v>
      </c>
      <c r="V1103" s="118">
        <v>9.1743119266055103E-3</v>
      </c>
      <c r="W1103" s="6">
        <v>1167</v>
      </c>
      <c r="X1103" s="40">
        <f t="shared" si="78"/>
        <v>589</v>
      </c>
      <c r="Y1103" s="40">
        <f t="shared" si="79"/>
        <v>962</v>
      </c>
      <c r="Z1103" s="59">
        <v>0.4027</v>
      </c>
      <c r="AA1103" s="59">
        <v>0.59730000000000005</v>
      </c>
      <c r="AB1103" s="61">
        <v>3.4275921165381321E-3</v>
      </c>
      <c r="AC1103" s="61">
        <v>2.1422450728363324E-2</v>
      </c>
      <c r="AD1103" s="61">
        <v>0.34104541559554413</v>
      </c>
      <c r="AE1103" s="61">
        <v>3.5132819194515851E-2</v>
      </c>
      <c r="AF1103" s="61">
        <v>8.5689802913453304E-4</v>
      </c>
      <c r="AG1103" s="61">
        <v>0.58697514995715505</v>
      </c>
      <c r="AH1103" s="61">
        <v>1.1139674378748929E-2</v>
      </c>
      <c r="AI1103" s="61">
        <v>0.41302485004284489</v>
      </c>
      <c r="AJ1103" s="59">
        <v>0.47389999999999999</v>
      </c>
      <c r="AK1103" s="59">
        <v>1.6999999999999999E-3</v>
      </c>
      <c r="AL1103" s="3">
        <v>212</v>
      </c>
      <c r="AM1103" s="3">
        <v>161</v>
      </c>
      <c r="AN1103" s="3">
        <v>0</v>
      </c>
      <c r="AO1103" s="3">
        <v>186</v>
      </c>
      <c r="AP1103" s="3">
        <v>172</v>
      </c>
      <c r="AQ1103" s="3">
        <v>123</v>
      </c>
      <c r="AR1103" s="3">
        <v>108</v>
      </c>
      <c r="AS1103" s="59">
        <v>0</v>
      </c>
      <c r="AT1103" s="3">
        <v>6</v>
      </c>
      <c r="AU1103" s="3">
        <v>7</v>
      </c>
      <c r="AV1103" s="49">
        <v>30.534351145038201</v>
      </c>
      <c r="AW1103" s="49">
        <v>19.847328244274802</v>
      </c>
      <c r="AX1103" s="49">
        <v>47.837150127226501</v>
      </c>
      <c r="AY1103" s="67">
        <v>1.7811704834605602</v>
      </c>
      <c r="AZ1103" s="63">
        <v>0.13559322033898305</v>
      </c>
      <c r="BA1103" s="63">
        <v>6.2711864406779658E-2</v>
      </c>
      <c r="BB1103" s="78">
        <v>96.636144962589896</v>
      </c>
      <c r="BC1103" s="49">
        <v>42.082980524978801</v>
      </c>
      <c r="BD1103" s="3"/>
      <c r="BE1103" s="3"/>
      <c r="BF1103" s="3"/>
      <c r="BG1103" s="3"/>
      <c r="BH1103" s="3"/>
      <c r="BI1103" s="3"/>
      <c r="BJ1103" s="88">
        <v>21</v>
      </c>
      <c r="BK1103" s="126">
        <v>8175</v>
      </c>
      <c r="BL1103" s="126">
        <v>47575</v>
      </c>
      <c r="BM1103" s="126">
        <v>33897</v>
      </c>
      <c r="BN1103" s="126">
        <v>42053</v>
      </c>
      <c r="BO1103" s="59">
        <v>0</v>
      </c>
      <c r="BP1103" s="63">
        <v>0.42959999999999998</v>
      </c>
      <c r="BQ1103" s="63">
        <v>0.18790000000000001</v>
      </c>
      <c r="BR1103" s="63">
        <v>1.18E-2</v>
      </c>
      <c r="BS1103" s="63">
        <v>0</v>
      </c>
      <c r="BT1103" s="88">
        <v>4.9000000000000004</v>
      </c>
      <c r="BU1103" s="59">
        <f t="shared" si="80"/>
        <v>0.62929999999999997</v>
      </c>
      <c r="BV1103" s="59">
        <v>8.0600000000000005E-2</v>
      </c>
      <c r="BW1103" s="63">
        <v>0</v>
      </c>
      <c r="BX1103" s="63">
        <v>3.5200000000000002E-2</v>
      </c>
      <c r="BY1103" s="63">
        <v>0</v>
      </c>
      <c r="BZ1103" s="63">
        <v>0</v>
      </c>
      <c r="CA1103" s="88">
        <v>7.5</v>
      </c>
      <c r="CB1103" s="59">
        <f t="shared" si="81"/>
        <v>0.11580000000000001</v>
      </c>
      <c r="CC1103" s="59">
        <v>0.24129999999999999</v>
      </c>
      <c r="CD1103" s="63">
        <v>0.45319999999999999</v>
      </c>
      <c r="CE1103" s="63">
        <v>0.29370000000000002</v>
      </c>
      <c r="CF1103" s="63">
        <v>1.18E-2</v>
      </c>
      <c r="CG1103" s="63">
        <v>0</v>
      </c>
      <c r="CH1103" s="88">
        <v>5.8</v>
      </c>
      <c r="CI1103" s="26" t="s">
        <v>247</v>
      </c>
      <c r="CJ1103" s="18" t="s">
        <v>505</v>
      </c>
      <c r="CK1103" s="20"/>
    </row>
    <row r="1104" spans="1:99" x14ac:dyDescent="0.25">
      <c r="A1104" s="18" t="s">
        <v>505</v>
      </c>
      <c r="B1104" s="19" t="s">
        <v>240</v>
      </c>
      <c r="C1104" s="26" t="s">
        <v>510</v>
      </c>
      <c r="D1104" s="6">
        <v>11</v>
      </c>
      <c r="E1104" s="40" t="s">
        <v>83</v>
      </c>
      <c r="F1104" s="6">
        <v>11</v>
      </c>
      <c r="N1104" s="119">
        <v>1.48648648648649E-2</v>
      </c>
      <c r="O1104" s="119">
        <v>1.48648648648649E-2</v>
      </c>
      <c r="P1104" s="116" t="s">
        <v>83</v>
      </c>
      <c r="Q1104" s="116" t="s">
        <v>83</v>
      </c>
      <c r="R1104" s="119">
        <v>0</v>
      </c>
      <c r="S1104" s="119">
        <v>1.0335917312661499E-2</v>
      </c>
      <c r="T1104" s="119">
        <v>2.0895522388059699E-2</v>
      </c>
      <c r="U1104" s="116" t="s">
        <v>83</v>
      </c>
      <c r="V1104" s="116" t="s">
        <v>83</v>
      </c>
      <c r="W1104" s="6">
        <v>677</v>
      </c>
      <c r="X1104" s="40">
        <f t="shared" si="78"/>
        <v>677</v>
      </c>
      <c r="Y1104" s="40">
        <f t="shared" si="79"/>
        <v>677</v>
      </c>
      <c r="Z1104" s="59">
        <v>0.50219999999999998</v>
      </c>
      <c r="AA1104" s="59">
        <v>0.49780000000000002</v>
      </c>
      <c r="AB1104" s="61">
        <v>1.3293943870014771E-2</v>
      </c>
      <c r="AC1104" s="61">
        <v>1.6248153618906941E-2</v>
      </c>
      <c r="AD1104" s="61">
        <v>0.13737075332348597</v>
      </c>
      <c r="AE1104" s="61">
        <v>3.10192023633678E-2</v>
      </c>
      <c r="AF1104" s="61">
        <v>0</v>
      </c>
      <c r="AG1104" s="61">
        <v>0.78729689807976366</v>
      </c>
      <c r="AH1104" s="61">
        <v>1.4771048744460856E-2</v>
      </c>
      <c r="AI1104" s="61">
        <v>0.21270310192023634</v>
      </c>
      <c r="AJ1104" s="59">
        <v>0.42249999999999999</v>
      </c>
      <c r="AK1104" s="59">
        <v>3.0000000000000001E-3</v>
      </c>
      <c r="AL1104" s="3">
        <v>0</v>
      </c>
      <c r="AM1104" s="3">
        <v>0</v>
      </c>
      <c r="AN1104" s="3">
        <v>18</v>
      </c>
      <c r="AO1104" s="3">
        <v>361</v>
      </c>
      <c r="AP1104" s="3">
        <v>298</v>
      </c>
      <c r="AQ1104" s="3">
        <v>0</v>
      </c>
      <c r="AR1104" s="3">
        <v>0</v>
      </c>
      <c r="AS1104" s="59">
        <v>4.7493403693931395E-2</v>
      </c>
      <c r="AT1104" s="3">
        <v>9</v>
      </c>
      <c r="AU1104" s="3">
        <v>6</v>
      </c>
      <c r="AV1104" s="49">
        <v>35.714285714285701</v>
      </c>
      <c r="AW1104" s="49">
        <v>20.634920634920601</v>
      </c>
      <c r="AX1104" s="49">
        <v>39.682539682539705</v>
      </c>
      <c r="AY1104" s="67">
        <v>3.9682539682539701</v>
      </c>
      <c r="AZ1104" s="63">
        <v>0.16824966078697423</v>
      </c>
      <c r="BA1104" s="63">
        <v>8.9552238805970144E-2</v>
      </c>
      <c r="BB1104" s="77">
        <v>94.862005992168207</v>
      </c>
      <c r="BC1104" s="49">
        <v>49.731903485254698</v>
      </c>
      <c r="BD1104" s="3"/>
      <c r="BE1104" s="3"/>
      <c r="BF1104" s="3"/>
      <c r="BG1104" s="3"/>
      <c r="BH1104" s="3"/>
      <c r="BI1104" s="3"/>
      <c r="BJ1104" s="3"/>
      <c r="BK1104" s="126">
        <v>9061</v>
      </c>
      <c r="BL1104" s="126">
        <v>51807</v>
      </c>
      <c r="BM1104" s="126">
        <v>36862</v>
      </c>
      <c r="BN1104" s="126">
        <v>41491</v>
      </c>
      <c r="BO1104" s="59">
        <v>0</v>
      </c>
      <c r="BP1104" s="59">
        <v>0.3644</v>
      </c>
      <c r="BQ1104" s="59">
        <v>0.17519999999999999</v>
      </c>
      <c r="BR1104" s="59">
        <v>0</v>
      </c>
      <c r="BS1104" s="59">
        <v>1.7500000000000002E-2</v>
      </c>
      <c r="BT1104" s="88">
        <v>4.9000000000000004</v>
      </c>
      <c r="BU1104" s="59">
        <f t="shared" si="80"/>
        <v>0.55709999999999993</v>
      </c>
      <c r="BV1104" s="59">
        <v>5.7000000000000002E-2</v>
      </c>
      <c r="BW1104" s="59">
        <v>1.7500000000000002E-2</v>
      </c>
      <c r="BX1104" s="59">
        <v>1.7500000000000002E-2</v>
      </c>
      <c r="BY1104" s="59">
        <v>0</v>
      </c>
      <c r="BZ1104" s="59">
        <v>1.7500000000000002E-2</v>
      </c>
      <c r="CA1104" s="3">
        <v>8.5</v>
      </c>
      <c r="CB1104" s="59">
        <f t="shared" si="81"/>
        <v>0.10950000000000001</v>
      </c>
      <c r="CC1104" s="59">
        <v>0.30270000000000002</v>
      </c>
      <c r="CD1104" s="59">
        <v>0.39939999999999998</v>
      </c>
      <c r="CE1104" s="59">
        <v>0.26279999999999998</v>
      </c>
      <c r="CF1104" s="59">
        <v>0</v>
      </c>
      <c r="CG1104" s="59">
        <v>3.5000000000000003E-2</v>
      </c>
      <c r="CH1104" s="3">
        <v>5.6</v>
      </c>
      <c r="CI1104" s="26" t="s">
        <v>510</v>
      </c>
      <c r="CJ1104" s="18" t="s">
        <v>505</v>
      </c>
      <c r="CK1104" s="20"/>
    </row>
    <row r="1105" spans="1:89" x14ac:dyDescent="0.25">
      <c r="A1105" s="18" t="s">
        <v>505</v>
      </c>
      <c r="B1105" s="19" t="s">
        <v>248</v>
      </c>
      <c r="C1105" s="26" t="s">
        <v>249</v>
      </c>
      <c r="D1105" s="6">
        <v>0</v>
      </c>
      <c r="E1105" s="40" t="s">
        <v>83</v>
      </c>
      <c r="F1105" s="6">
        <v>0</v>
      </c>
      <c r="N1105" s="119">
        <v>0</v>
      </c>
      <c r="O1105" s="119">
        <v>0</v>
      </c>
      <c r="P1105" s="116" t="s">
        <v>83</v>
      </c>
      <c r="Q1105" s="116" t="s">
        <v>83</v>
      </c>
      <c r="R1105" s="119">
        <v>0</v>
      </c>
      <c r="S1105" s="119">
        <v>0</v>
      </c>
      <c r="T1105" s="119">
        <v>0</v>
      </c>
      <c r="U1105" s="119">
        <v>0</v>
      </c>
      <c r="V1105" s="119">
        <v>0</v>
      </c>
      <c r="W1105" s="6">
        <v>1334</v>
      </c>
      <c r="X1105" s="40">
        <f t="shared" si="78"/>
        <v>1334</v>
      </c>
      <c r="Y1105" s="40">
        <f t="shared" si="79"/>
        <v>1334</v>
      </c>
      <c r="Z1105" s="59">
        <v>0.48280000000000001</v>
      </c>
      <c r="AA1105" s="59">
        <v>0.51719999999999999</v>
      </c>
      <c r="AB1105" s="61">
        <v>2.3238380809595203E-2</v>
      </c>
      <c r="AC1105" s="61">
        <v>2.9985007496251873E-3</v>
      </c>
      <c r="AD1105" s="61">
        <v>0.164167916041979</v>
      </c>
      <c r="AE1105" s="61">
        <v>5.5472263868065967E-2</v>
      </c>
      <c r="AF1105" s="61">
        <v>0</v>
      </c>
      <c r="AG1105" s="61">
        <v>0.71589205397301348</v>
      </c>
      <c r="AH1105" s="61">
        <v>3.823088455772114E-2</v>
      </c>
      <c r="AI1105" s="61">
        <v>0.28410794602698652</v>
      </c>
      <c r="AJ1105" s="59">
        <v>0.56369999999999998</v>
      </c>
      <c r="AK1105" s="59">
        <v>6.0000000000000001E-3</v>
      </c>
      <c r="AL1105" s="3">
        <v>0</v>
      </c>
      <c r="AM1105" s="3">
        <v>0</v>
      </c>
      <c r="AN1105" s="3">
        <v>50</v>
      </c>
      <c r="AO1105" s="3">
        <v>321</v>
      </c>
      <c r="AP1105" s="3">
        <v>337</v>
      </c>
      <c r="AQ1105" s="3">
        <v>306</v>
      </c>
      <c r="AR1105" s="3">
        <v>320</v>
      </c>
      <c r="AS1105" s="59">
        <v>0.13477088948787061</v>
      </c>
      <c r="AT1105" s="3">
        <v>9</v>
      </c>
      <c r="AU1105" s="3">
        <v>6</v>
      </c>
      <c r="AV1105" s="49">
        <v>47.186147186147195</v>
      </c>
      <c r="AW1105" s="49">
        <v>30.952380952380999</v>
      </c>
      <c r="AX1105" s="49">
        <v>19.913419913419901</v>
      </c>
      <c r="AY1105" s="67">
        <v>1.94805194805195</v>
      </c>
      <c r="AZ1105" s="63">
        <v>0.29196050775740479</v>
      </c>
      <c r="BA1105" s="63">
        <v>0.11424541607898449</v>
      </c>
      <c r="BB1105" s="77">
        <v>91.710185953438398</v>
      </c>
      <c r="BC1105" s="49">
        <v>65.976535541752895</v>
      </c>
      <c r="BD1105" s="3"/>
      <c r="BE1105" s="3"/>
      <c r="BF1105" s="3"/>
      <c r="BG1105" s="3"/>
      <c r="BH1105" s="3"/>
      <c r="BI1105" s="3"/>
      <c r="BJ1105" s="88">
        <v>19.5</v>
      </c>
      <c r="BK1105" s="126">
        <v>9392</v>
      </c>
      <c r="BL1105" s="126">
        <v>48528</v>
      </c>
      <c r="BM1105" s="126">
        <v>50785</v>
      </c>
      <c r="BN1105" s="126">
        <v>40801</v>
      </c>
      <c r="BO1105" s="59">
        <v>1.4500000000000001E-2</v>
      </c>
      <c r="BP1105" s="63">
        <v>0.31900000000000001</v>
      </c>
      <c r="BQ1105" s="63">
        <v>0.21859999999999999</v>
      </c>
      <c r="BR1105" s="63">
        <v>0</v>
      </c>
      <c r="BS1105" s="63">
        <v>0</v>
      </c>
      <c r="BT1105" s="88">
        <v>11.2</v>
      </c>
      <c r="BU1105" s="59">
        <f t="shared" si="80"/>
        <v>0.55210000000000004</v>
      </c>
      <c r="BV1105" s="59">
        <v>3.8399999999999997E-2</v>
      </c>
      <c r="BW1105" s="63">
        <v>0</v>
      </c>
      <c r="BX1105" s="63">
        <v>3.9399999999999998E-2</v>
      </c>
      <c r="BY1105" s="63">
        <v>0</v>
      </c>
      <c r="BZ1105" s="63">
        <v>0</v>
      </c>
      <c r="CA1105" s="88">
        <v>21.1</v>
      </c>
      <c r="CB1105" s="59">
        <f t="shared" si="81"/>
        <v>7.7799999999999994E-2</v>
      </c>
      <c r="CC1105" s="59">
        <v>0.32350000000000001</v>
      </c>
      <c r="CD1105" s="63">
        <v>0.35980000000000001</v>
      </c>
      <c r="CE1105" s="63">
        <v>0.31669999999999998</v>
      </c>
      <c r="CF1105" s="63">
        <v>0</v>
      </c>
      <c r="CG1105" s="63">
        <v>0</v>
      </c>
      <c r="CH1105" s="88">
        <v>12.2</v>
      </c>
      <c r="CI1105" s="26" t="s">
        <v>249</v>
      </c>
      <c r="CJ1105" s="18" t="s">
        <v>505</v>
      </c>
      <c r="CK1105" s="20"/>
    </row>
    <row r="1106" spans="1:89" x14ac:dyDescent="0.25">
      <c r="A1106" s="18" t="s">
        <v>505</v>
      </c>
      <c r="B1106" s="19" t="s">
        <v>248</v>
      </c>
      <c r="C1106" s="26" t="s">
        <v>250</v>
      </c>
      <c r="D1106" s="6">
        <v>3</v>
      </c>
      <c r="E1106" s="40" t="s">
        <v>83</v>
      </c>
      <c r="F1106" s="6">
        <v>3</v>
      </c>
      <c r="N1106" s="119">
        <v>2.77264325323475E-3</v>
      </c>
      <c r="O1106" s="119">
        <v>2.77264325323475E-3</v>
      </c>
      <c r="P1106" s="116" t="s">
        <v>83</v>
      </c>
      <c r="Q1106" s="116" t="s">
        <v>83</v>
      </c>
      <c r="R1106" s="119">
        <v>0</v>
      </c>
      <c r="S1106" s="119">
        <v>3.9215686274509803E-3</v>
      </c>
      <c r="T1106" s="119">
        <v>0</v>
      </c>
      <c r="U1106" s="119">
        <v>8.0971659919028306E-3</v>
      </c>
      <c r="V1106" s="119">
        <v>0</v>
      </c>
      <c r="W1106" s="6">
        <v>1044</v>
      </c>
      <c r="X1106" s="40">
        <f t="shared" si="78"/>
        <v>1044</v>
      </c>
      <c r="Y1106" s="40">
        <f t="shared" si="79"/>
        <v>1044</v>
      </c>
      <c r="Z1106" s="59">
        <v>0.48180000000000001</v>
      </c>
      <c r="AA1106" s="59">
        <v>0.51819999999999999</v>
      </c>
      <c r="AB1106" s="61">
        <v>8.141762452107279E-2</v>
      </c>
      <c r="AC1106" s="61">
        <v>1.9157088122605363E-2</v>
      </c>
      <c r="AD1106" s="61">
        <v>3.3524904214559385E-2</v>
      </c>
      <c r="AE1106" s="61">
        <v>0.11877394636015326</v>
      </c>
      <c r="AF1106" s="61">
        <v>9.5785440613026815E-4</v>
      </c>
      <c r="AG1106" s="61">
        <v>0.71168582375478928</v>
      </c>
      <c r="AH1106" s="61">
        <v>3.4482758620689655E-2</v>
      </c>
      <c r="AI1106" s="61">
        <v>0.28831417624521072</v>
      </c>
      <c r="AJ1106" s="59">
        <v>0.56610000000000005</v>
      </c>
      <c r="AK1106" s="59">
        <v>4.02E-2</v>
      </c>
      <c r="AL1106" s="3">
        <v>0</v>
      </c>
      <c r="AM1106" s="3">
        <v>0</v>
      </c>
      <c r="AN1106" s="3">
        <v>50</v>
      </c>
      <c r="AO1106" s="3">
        <v>243</v>
      </c>
      <c r="AP1106" s="3">
        <v>263</v>
      </c>
      <c r="AQ1106" s="3">
        <v>242</v>
      </c>
      <c r="AR1106" s="3">
        <v>246</v>
      </c>
      <c r="AS1106" s="59">
        <v>0.17064846416382254</v>
      </c>
      <c r="AT1106" s="3">
        <v>9</v>
      </c>
      <c r="AU1106" s="3">
        <v>6</v>
      </c>
      <c r="AV1106" s="49">
        <v>57.048458149779705</v>
      </c>
      <c r="AW1106" s="49">
        <v>20.4845814977974</v>
      </c>
      <c r="AX1106" s="49">
        <v>22.026431718061701</v>
      </c>
      <c r="AY1106" s="67">
        <v>0.44052863436123402</v>
      </c>
      <c r="AZ1106" s="63">
        <v>0.1478743068391867</v>
      </c>
      <c r="BA1106" s="63">
        <v>7.2088724584103508E-2</v>
      </c>
      <c r="BB1106" s="78">
        <v>92.344109601557903</v>
      </c>
      <c r="BC1106" s="49">
        <v>66.360294117647101</v>
      </c>
      <c r="BD1106" s="3"/>
      <c r="BE1106" s="3"/>
      <c r="BF1106" s="3"/>
      <c r="BG1106" s="3"/>
      <c r="BH1106" s="3"/>
      <c r="BI1106" s="3"/>
      <c r="BJ1106" s="88">
        <v>20.3</v>
      </c>
      <c r="BK1106" s="126">
        <v>9864</v>
      </c>
      <c r="BL1106" s="126">
        <v>50579</v>
      </c>
      <c r="BM1106" s="126">
        <v>53352</v>
      </c>
      <c r="BN1106" s="126">
        <v>41013</v>
      </c>
      <c r="BO1106" s="59">
        <v>9.1000000000000004E-3</v>
      </c>
      <c r="BP1106" s="63">
        <v>0.37580000000000002</v>
      </c>
      <c r="BQ1106" s="63">
        <v>0.14949999999999999</v>
      </c>
      <c r="BR1106" s="63">
        <v>0</v>
      </c>
      <c r="BS1106" s="63">
        <v>0</v>
      </c>
      <c r="BT1106" s="88">
        <v>15.6</v>
      </c>
      <c r="BU1106" s="59">
        <f t="shared" si="80"/>
        <v>0.53439999999999999</v>
      </c>
      <c r="BV1106" s="59">
        <v>2.8199999999999999E-2</v>
      </c>
      <c r="BW1106" s="63">
        <v>9.1000000000000004E-3</v>
      </c>
      <c r="BX1106" s="63">
        <v>3.9100000000000003E-2</v>
      </c>
      <c r="BY1106" s="63">
        <v>0</v>
      </c>
      <c r="BZ1106" s="63">
        <v>0</v>
      </c>
      <c r="CA1106" s="88">
        <v>25.1</v>
      </c>
      <c r="CB1106" s="59">
        <f t="shared" si="81"/>
        <v>7.6399999999999996E-2</v>
      </c>
      <c r="CC1106" s="59">
        <v>0.35580000000000001</v>
      </c>
      <c r="CD1106" s="63">
        <v>0.42609999999999998</v>
      </c>
      <c r="CE1106" s="63">
        <v>0.21809999999999999</v>
      </c>
      <c r="CF1106" s="63">
        <v>0</v>
      </c>
      <c r="CG1106" s="63">
        <v>0</v>
      </c>
      <c r="CH1106" s="88">
        <v>15.3</v>
      </c>
      <c r="CI1106" s="26" t="s">
        <v>250</v>
      </c>
      <c r="CJ1106" s="18" t="s">
        <v>505</v>
      </c>
      <c r="CK1106" s="20"/>
    </row>
    <row r="1107" spans="1:89" x14ac:dyDescent="0.25">
      <c r="A1107" s="18" t="s">
        <v>505</v>
      </c>
      <c r="B1107" s="19" t="s">
        <v>248</v>
      </c>
      <c r="C1107" s="26" t="s">
        <v>251</v>
      </c>
      <c r="D1107" s="6">
        <v>6</v>
      </c>
      <c r="E1107" s="40" t="s">
        <v>83</v>
      </c>
      <c r="F1107" s="6">
        <v>6</v>
      </c>
      <c r="N1107" s="119">
        <v>3.9215686274509803E-3</v>
      </c>
      <c r="O1107" s="119">
        <v>3.9215686274509803E-3</v>
      </c>
      <c r="P1107" s="116" t="s">
        <v>83</v>
      </c>
      <c r="Q1107" s="116" t="s">
        <v>83</v>
      </c>
      <c r="R1107" s="119">
        <v>0</v>
      </c>
      <c r="S1107" s="119">
        <v>7.2815533980582501E-3</v>
      </c>
      <c r="T1107" s="119">
        <v>0</v>
      </c>
      <c r="U1107" s="119">
        <v>0</v>
      </c>
      <c r="V1107" s="119">
        <v>8.8495575221238902E-3</v>
      </c>
      <c r="W1107" s="6">
        <v>1435</v>
      </c>
      <c r="X1107" s="40">
        <f t="shared" si="78"/>
        <v>1435</v>
      </c>
      <c r="Y1107" s="40">
        <f t="shared" si="79"/>
        <v>1435</v>
      </c>
      <c r="Z1107" s="59">
        <v>0.50029999999999997</v>
      </c>
      <c r="AA1107" s="59">
        <v>0.49969999999999998</v>
      </c>
      <c r="AB1107" s="61">
        <v>8.3623693379790941E-3</v>
      </c>
      <c r="AC1107" s="61">
        <v>6.2717770034843206E-3</v>
      </c>
      <c r="AD1107" s="61">
        <v>0.37003484320557489</v>
      </c>
      <c r="AE1107" s="61">
        <v>2.5087108013937282E-2</v>
      </c>
      <c r="AF1107" s="61">
        <v>0</v>
      </c>
      <c r="AG1107" s="61">
        <v>0.5637630662020906</v>
      </c>
      <c r="AH1107" s="61">
        <v>2.64808362369338E-2</v>
      </c>
      <c r="AI1107" s="61">
        <v>0.4362369337979094</v>
      </c>
      <c r="AJ1107" s="59">
        <v>0.64600000000000002</v>
      </c>
      <c r="AK1107" s="59">
        <v>7.0000000000000001E-3</v>
      </c>
      <c r="AL1107" s="3">
        <v>0</v>
      </c>
      <c r="AM1107" s="3">
        <v>0</v>
      </c>
      <c r="AN1107" s="3">
        <v>25</v>
      </c>
      <c r="AO1107" s="3">
        <v>376</v>
      </c>
      <c r="AP1107" s="3">
        <v>393</v>
      </c>
      <c r="AQ1107" s="3">
        <v>317</v>
      </c>
      <c r="AR1107" s="3">
        <v>324</v>
      </c>
      <c r="AS1107" s="59">
        <v>6.2344139650872821E-2</v>
      </c>
      <c r="AT1107" s="3">
        <v>9</v>
      </c>
      <c r="AU1107" s="3">
        <v>6</v>
      </c>
      <c r="AV1107" s="49">
        <v>56.060606060606098</v>
      </c>
      <c r="AW1107" s="49">
        <v>22.390572390572398</v>
      </c>
      <c r="AX1107" s="49">
        <v>21.2121212121212</v>
      </c>
      <c r="AY1107" s="67">
        <v>0.336700336700337</v>
      </c>
      <c r="AZ1107" s="63">
        <v>0.32874918140144072</v>
      </c>
      <c r="BA1107" s="63">
        <v>0.15979043876882776</v>
      </c>
      <c r="BB1107" s="77">
        <v>92.705155186942505</v>
      </c>
      <c r="BC1107" s="49">
        <v>68.863049095607195</v>
      </c>
      <c r="BD1107" s="3"/>
      <c r="BE1107" s="3"/>
      <c r="BF1107" s="3"/>
      <c r="BG1107" s="3"/>
      <c r="BH1107" s="3"/>
      <c r="BI1107" s="3"/>
      <c r="BJ1107" s="88">
        <v>19.7</v>
      </c>
      <c r="BK1107" s="126">
        <v>9306</v>
      </c>
      <c r="BL1107" s="126">
        <v>50553</v>
      </c>
      <c r="BM1107" s="126">
        <v>48585</v>
      </c>
      <c r="BN1107" s="126">
        <v>42231</v>
      </c>
      <c r="BO1107" s="59">
        <v>0</v>
      </c>
      <c r="BP1107" s="63">
        <v>0.30049999999999999</v>
      </c>
      <c r="BQ1107" s="63">
        <v>0.27429999999999999</v>
      </c>
      <c r="BR1107" s="63">
        <v>0</v>
      </c>
      <c r="BS1107" s="63">
        <v>0</v>
      </c>
      <c r="BT1107" s="88">
        <v>14.4</v>
      </c>
      <c r="BU1107" s="59">
        <f t="shared" si="80"/>
        <v>0.57479999999999998</v>
      </c>
      <c r="BV1107" s="59">
        <v>3.8399999999999997E-2</v>
      </c>
      <c r="BW1107" s="63">
        <v>0</v>
      </c>
      <c r="BX1107" s="63">
        <v>3.3700000000000001E-2</v>
      </c>
      <c r="BY1107" s="63">
        <v>0</v>
      </c>
      <c r="BZ1107" s="63">
        <v>0</v>
      </c>
      <c r="CA1107" s="88">
        <v>19.5</v>
      </c>
      <c r="CB1107" s="59">
        <f t="shared" si="81"/>
        <v>7.2099999999999997E-2</v>
      </c>
      <c r="CC1107" s="59">
        <v>0.31430000000000002</v>
      </c>
      <c r="CD1107" s="63">
        <v>0.33189999999999997</v>
      </c>
      <c r="CE1107" s="63">
        <v>0.34620000000000001</v>
      </c>
      <c r="CF1107" s="63">
        <v>7.6E-3</v>
      </c>
      <c r="CG1107" s="63">
        <v>1E-4</v>
      </c>
      <c r="CH1107" s="88">
        <v>15.4</v>
      </c>
      <c r="CI1107" s="26" t="s">
        <v>251</v>
      </c>
      <c r="CJ1107" s="18" t="s">
        <v>505</v>
      </c>
      <c r="CK1107" s="20"/>
    </row>
    <row r="1108" spans="1:89" x14ac:dyDescent="0.25">
      <c r="A1108" s="18" t="s">
        <v>505</v>
      </c>
      <c r="B1108" s="19" t="s">
        <v>252</v>
      </c>
      <c r="C1108" s="26" t="s">
        <v>253</v>
      </c>
      <c r="D1108" s="6">
        <v>0</v>
      </c>
      <c r="E1108" s="40" t="s">
        <v>83</v>
      </c>
      <c r="F1108" s="6">
        <v>0</v>
      </c>
      <c r="N1108" s="119">
        <v>0</v>
      </c>
      <c r="O1108" s="119">
        <v>0</v>
      </c>
      <c r="P1108" s="116" t="s">
        <v>83</v>
      </c>
      <c r="Q1108" s="116" t="s">
        <v>83</v>
      </c>
      <c r="R1108" s="116" t="s">
        <v>83</v>
      </c>
      <c r="S1108" s="119">
        <v>0</v>
      </c>
      <c r="T1108" s="119">
        <v>0</v>
      </c>
      <c r="U1108" s="119">
        <v>0</v>
      </c>
      <c r="V1108" s="119">
        <v>0</v>
      </c>
      <c r="W1108" s="6">
        <v>521</v>
      </c>
      <c r="X1108" s="40">
        <f t="shared" si="78"/>
        <v>521</v>
      </c>
      <c r="Y1108" s="40">
        <f t="shared" si="79"/>
        <v>521</v>
      </c>
      <c r="Z1108" s="59">
        <v>0.47220000000000001</v>
      </c>
      <c r="AA1108" s="59">
        <v>0.52780000000000005</v>
      </c>
      <c r="AB1108" s="61">
        <v>5.7581573896353169E-3</v>
      </c>
      <c r="AC1108" s="61">
        <v>0</v>
      </c>
      <c r="AD1108" s="61">
        <v>0.15738963531669867</v>
      </c>
      <c r="AE1108" s="61">
        <v>3.838771593090211E-3</v>
      </c>
      <c r="AF1108" s="61">
        <v>0</v>
      </c>
      <c r="AG1108" s="61">
        <v>0.83109404990403069</v>
      </c>
      <c r="AH1108" s="61">
        <v>1.9193857965451055E-3</v>
      </c>
      <c r="AI1108" s="61">
        <v>0.16890595009596929</v>
      </c>
      <c r="AJ1108" s="59">
        <v>0.53549999999999998</v>
      </c>
      <c r="AK1108" s="59">
        <v>0</v>
      </c>
      <c r="AL1108" s="3">
        <v>0</v>
      </c>
      <c r="AM1108" s="3">
        <v>0</v>
      </c>
      <c r="AN1108" s="3">
        <v>0</v>
      </c>
      <c r="AO1108" s="3">
        <v>140</v>
      </c>
      <c r="AP1108" s="3">
        <v>132</v>
      </c>
      <c r="AQ1108" s="3">
        <v>107</v>
      </c>
      <c r="AR1108" s="3">
        <v>142</v>
      </c>
      <c r="AS1108" s="59">
        <v>0</v>
      </c>
      <c r="AT1108" s="3">
        <v>9</v>
      </c>
      <c r="AU1108" s="3">
        <v>6</v>
      </c>
      <c r="AV1108" s="49">
        <v>70.695970695970701</v>
      </c>
      <c r="AW1108" s="49">
        <v>15.7509157509158</v>
      </c>
      <c r="AX1108" s="49">
        <v>10.2564102564103</v>
      </c>
      <c r="AY1108" s="67">
        <v>3.2967032967033001</v>
      </c>
      <c r="AZ1108" s="63">
        <v>0.13382899628252787</v>
      </c>
      <c r="BA1108" s="63">
        <v>0</v>
      </c>
      <c r="BB1108" s="77">
        <v>92.150760310040795</v>
      </c>
      <c r="BC1108" s="49">
        <v>77.509293680297404</v>
      </c>
      <c r="BD1108" s="3"/>
      <c r="BE1108" s="3"/>
      <c r="BF1108" s="3"/>
      <c r="BG1108" s="3"/>
      <c r="BH1108" s="3"/>
      <c r="BI1108" s="3"/>
      <c r="BJ1108" s="88">
        <v>19.3</v>
      </c>
      <c r="BK1108" s="126">
        <v>10220</v>
      </c>
      <c r="BL1108" s="126">
        <v>46892</v>
      </c>
      <c r="BM1108" s="126">
        <v>53035</v>
      </c>
      <c r="BN1108" s="126">
        <v>41141</v>
      </c>
      <c r="BO1108" s="59">
        <v>0</v>
      </c>
      <c r="BP1108" s="63">
        <v>0.41089999999999999</v>
      </c>
      <c r="BQ1108" s="63">
        <v>0.253</v>
      </c>
      <c r="BR1108" s="63">
        <v>0</v>
      </c>
      <c r="BS1108" s="63">
        <v>0</v>
      </c>
      <c r="BT1108" s="88">
        <v>9.8000000000000007</v>
      </c>
      <c r="BU1108" s="59">
        <f t="shared" si="80"/>
        <v>0.66389999999999993</v>
      </c>
      <c r="BV1108" s="59">
        <v>1.9900000000000001E-2</v>
      </c>
      <c r="BW1108" s="63">
        <v>0</v>
      </c>
      <c r="BX1108" s="63">
        <v>1.9900000000000001E-2</v>
      </c>
      <c r="BY1108" s="63">
        <v>3.7600000000000001E-2</v>
      </c>
      <c r="BZ1108" s="63">
        <v>0</v>
      </c>
      <c r="CA1108" s="87">
        <v>20</v>
      </c>
      <c r="CB1108" s="59">
        <f t="shared" si="81"/>
        <v>7.7399999999999997E-2</v>
      </c>
      <c r="CC1108" s="59">
        <v>0.2369</v>
      </c>
      <c r="CD1108" s="63">
        <v>0.4143</v>
      </c>
      <c r="CE1108" s="63">
        <v>0.31119999999999998</v>
      </c>
      <c r="CF1108" s="63">
        <v>3.7600000000000001E-2</v>
      </c>
      <c r="CG1108" s="63">
        <v>0</v>
      </c>
      <c r="CH1108" s="88">
        <v>10.7</v>
      </c>
      <c r="CI1108" s="26" t="s">
        <v>253</v>
      </c>
      <c r="CJ1108" s="18" t="s">
        <v>505</v>
      </c>
      <c r="CK1108" s="20"/>
    </row>
    <row r="1109" spans="1:89" x14ac:dyDescent="0.25">
      <c r="A1109" s="18" t="s">
        <v>505</v>
      </c>
      <c r="B1109" s="19" t="s">
        <v>252</v>
      </c>
      <c r="C1109" s="26" t="s">
        <v>254</v>
      </c>
      <c r="D1109" s="6">
        <v>2</v>
      </c>
      <c r="E1109" s="40" t="s">
        <v>83</v>
      </c>
      <c r="F1109" s="6">
        <v>2</v>
      </c>
      <c r="N1109" s="119">
        <v>7.6628352490421504E-3</v>
      </c>
      <c r="O1109" s="119">
        <v>7.6628352490421504E-3</v>
      </c>
      <c r="P1109" s="116" t="s">
        <v>83</v>
      </c>
      <c r="Q1109" s="116" t="s">
        <v>83</v>
      </c>
      <c r="R1109" s="116" t="s">
        <v>83</v>
      </c>
      <c r="S1109" s="119">
        <v>2.6315789473684199E-2</v>
      </c>
      <c r="T1109" s="119">
        <v>0</v>
      </c>
      <c r="U1109" s="119">
        <v>0</v>
      </c>
      <c r="V1109" s="119">
        <v>0</v>
      </c>
      <c r="W1109" s="6">
        <v>249</v>
      </c>
      <c r="X1109" s="40">
        <f t="shared" si="78"/>
        <v>249</v>
      </c>
      <c r="Y1109" s="40">
        <f t="shared" si="79"/>
        <v>249</v>
      </c>
      <c r="Z1109" s="59">
        <v>0.49</v>
      </c>
      <c r="AA1109" s="59">
        <v>0.51</v>
      </c>
      <c r="AB1109" s="61">
        <v>8.0321285140562242E-3</v>
      </c>
      <c r="AC1109" s="61">
        <v>4.0160642570281121E-3</v>
      </c>
      <c r="AD1109" s="61">
        <v>2.0080321285140562E-2</v>
      </c>
      <c r="AE1109" s="61">
        <v>1.2048192771084338E-2</v>
      </c>
      <c r="AF1109" s="61">
        <v>0</v>
      </c>
      <c r="AG1109" s="61">
        <v>0.95180722891566261</v>
      </c>
      <c r="AH1109" s="61">
        <v>4.0160642570281121E-3</v>
      </c>
      <c r="AI1109" s="61">
        <v>4.8192771084337352E-2</v>
      </c>
      <c r="AJ1109" s="59">
        <v>0.61040000000000005</v>
      </c>
      <c r="AK1109" s="59">
        <v>0</v>
      </c>
      <c r="AL1109" s="3">
        <v>0</v>
      </c>
      <c r="AM1109" s="3">
        <v>0</v>
      </c>
      <c r="AN1109" s="3">
        <v>0</v>
      </c>
      <c r="AO1109" s="3">
        <v>71</v>
      </c>
      <c r="AP1109" s="3">
        <v>66</v>
      </c>
      <c r="AQ1109" s="3">
        <v>61</v>
      </c>
      <c r="AR1109" s="3">
        <v>51</v>
      </c>
      <c r="AS1109" s="59">
        <v>0</v>
      </c>
      <c r="AT1109" s="3">
        <v>9</v>
      </c>
      <c r="AU1109" s="3">
        <v>6</v>
      </c>
      <c r="AV1109" s="49">
        <v>70.370370370370409</v>
      </c>
      <c r="AW1109" s="49">
        <v>22.2222222222222</v>
      </c>
      <c r="AX1109" s="49">
        <v>7.4074074074074101</v>
      </c>
      <c r="AY1109" s="74">
        <v>0</v>
      </c>
      <c r="AZ1109" s="63">
        <v>7.6923076923076927E-2</v>
      </c>
      <c r="BA1109" s="63">
        <v>0</v>
      </c>
      <c r="BB1109" s="78">
        <v>90.976463578131998</v>
      </c>
      <c r="BC1109" s="49">
        <v>84.291187739463595</v>
      </c>
      <c r="BD1109" s="3"/>
      <c r="BE1109" s="3"/>
      <c r="BF1109" s="3"/>
      <c r="BG1109" s="3"/>
      <c r="BH1109" s="3"/>
      <c r="BI1109" s="3"/>
      <c r="BJ1109" s="88">
        <v>18</v>
      </c>
      <c r="BK1109" s="126">
        <v>11644</v>
      </c>
      <c r="BL1109" s="126">
        <v>50714</v>
      </c>
      <c r="BM1109" s="126">
        <v>48494</v>
      </c>
      <c r="BN1109" s="126">
        <v>40371</v>
      </c>
      <c r="BO1109" s="59">
        <v>0</v>
      </c>
      <c r="BP1109" s="63">
        <v>0.3463</v>
      </c>
      <c r="BQ1109" s="63">
        <v>0.22189999999999999</v>
      </c>
      <c r="BR1109" s="63">
        <v>0</v>
      </c>
      <c r="BS1109" s="63">
        <v>0</v>
      </c>
      <c r="BT1109" s="88">
        <v>16.399999999999999</v>
      </c>
      <c r="BU1109" s="59">
        <f t="shared" si="80"/>
        <v>0.56820000000000004</v>
      </c>
      <c r="BV1109" s="59">
        <v>3.3399999999999999E-2</v>
      </c>
      <c r="BW1109" s="63">
        <v>0</v>
      </c>
      <c r="BX1109" s="63">
        <v>6.7799999999999999E-2</v>
      </c>
      <c r="BY1109" s="63">
        <v>0</v>
      </c>
      <c r="BZ1109" s="63">
        <v>0</v>
      </c>
      <c r="CA1109" s="88">
        <v>14.2</v>
      </c>
      <c r="CB1109" s="59">
        <f t="shared" si="81"/>
        <v>0.1012</v>
      </c>
      <c r="CC1109" s="59">
        <v>0.32669999999999999</v>
      </c>
      <c r="CD1109" s="63">
        <v>0.3463</v>
      </c>
      <c r="CE1109" s="63">
        <v>0.32700000000000001</v>
      </c>
      <c r="CF1109" s="63">
        <v>0</v>
      </c>
      <c r="CG1109" s="63">
        <v>0</v>
      </c>
      <c r="CH1109" s="88">
        <v>14.8</v>
      </c>
      <c r="CI1109" s="26" t="s">
        <v>254</v>
      </c>
      <c r="CJ1109" s="18" t="s">
        <v>505</v>
      </c>
      <c r="CK1109" s="20"/>
    </row>
    <row r="1110" spans="1:89" x14ac:dyDescent="0.25">
      <c r="A1110" s="18" t="s">
        <v>505</v>
      </c>
      <c r="B1110" s="19" t="s">
        <v>255</v>
      </c>
      <c r="C1110" s="26" t="s">
        <v>257</v>
      </c>
      <c r="D1110" s="6">
        <v>0</v>
      </c>
      <c r="E1110" s="6">
        <v>0</v>
      </c>
      <c r="F1110" s="6">
        <v>0</v>
      </c>
      <c r="N1110" s="119">
        <v>0</v>
      </c>
      <c r="O1110" s="119">
        <v>0</v>
      </c>
      <c r="P1110" s="119">
        <v>0</v>
      </c>
      <c r="Q1110" s="119">
        <v>0</v>
      </c>
      <c r="R1110" s="119">
        <v>0</v>
      </c>
      <c r="S1110" s="119">
        <v>0</v>
      </c>
      <c r="T1110" s="119">
        <v>0</v>
      </c>
      <c r="U1110" s="119">
        <v>0</v>
      </c>
      <c r="V1110" s="119">
        <v>0</v>
      </c>
      <c r="W1110" s="6">
        <v>323</v>
      </c>
      <c r="X1110" s="40">
        <f t="shared" si="78"/>
        <v>187</v>
      </c>
      <c r="Y1110" s="40">
        <f t="shared" si="79"/>
        <v>323</v>
      </c>
      <c r="Z1110" s="59">
        <v>0.47060000000000002</v>
      </c>
      <c r="AA1110" s="59">
        <v>0.52939999999999998</v>
      </c>
      <c r="AB1110" s="61">
        <v>3.0959752321981426E-3</v>
      </c>
      <c r="AC1110" s="61">
        <v>0</v>
      </c>
      <c r="AD1110" s="61">
        <v>0.10835913312693499</v>
      </c>
      <c r="AE1110" s="61">
        <v>3.4055727554179564E-2</v>
      </c>
      <c r="AF1110" s="61">
        <v>0</v>
      </c>
      <c r="AG1110" s="61">
        <v>0.85139318885448911</v>
      </c>
      <c r="AH1110" s="61">
        <v>3.0959752321981426E-3</v>
      </c>
      <c r="AI1110" s="61">
        <v>0.14860681114551083</v>
      </c>
      <c r="AJ1110" s="59">
        <v>0.44269999999999998</v>
      </c>
      <c r="AK1110" s="59">
        <v>3.0999999999999999E-3</v>
      </c>
      <c r="AL1110" s="3">
        <v>86</v>
      </c>
      <c r="AM1110" s="3">
        <v>50</v>
      </c>
      <c r="AN1110" s="3">
        <v>2</v>
      </c>
      <c r="AO1110" s="3">
        <v>42</v>
      </c>
      <c r="AP1110" s="3">
        <v>53</v>
      </c>
      <c r="AQ1110" s="3">
        <v>48</v>
      </c>
      <c r="AR1110" s="3">
        <v>42</v>
      </c>
      <c r="AS1110" s="59">
        <v>4.5454545454545456E-2</v>
      </c>
      <c r="AT1110" s="3">
        <v>7</v>
      </c>
      <c r="AU1110" s="3">
        <v>6</v>
      </c>
      <c r="AV1110" s="49">
        <v>91.8032786885246</v>
      </c>
      <c r="AW1110" s="49">
        <v>7.7868852459016393</v>
      </c>
      <c r="AX1110" s="49">
        <v>0.40983606557377106</v>
      </c>
      <c r="AY1110" s="74">
        <v>0</v>
      </c>
      <c r="AZ1110" s="63">
        <v>6.0869565217391307E-2</v>
      </c>
      <c r="BA1110" s="63">
        <v>8.1159420289855067E-2</v>
      </c>
      <c r="BB1110" s="77">
        <v>95.702369668246405</v>
      </c>
      <c r="BC1110" s="49">
        <v>43.553008595988501</v>
      </c>
      <c r="BD1110" s="3"/>
      <c r="BE1110" s="3"/>
      <c r="BF1110" s="3"/>
      <c r="BG1110" s="3"/>
      <c r="BH1110" s="3"/>
      <c r="BI1110" s="3"/>
      <c r="BJ1110" s="88">
        <v>20.6</v>
      </c>
      <c r="BK1110" s="126">
        <v>13869</v>
      </c>
      <c r="BL1110" s="126">
        <v>52006</v>
      </c>
      <c r="BM1110" s="126">
        <v>53755</v>
      </c>
      <c r="BN1110" s="126">
        <v>48395</v>
      </c>
      <c r="BO1110" s="59">
        <v>0</v>
      </c>
      <c r="BP1110" s="63">
        <v>0.17119999999999999</v>
      </c>
      <c r="BQ1110" s="63">
        <v>0.51349999999999996</v>
      </c>
      <c r="BR1110" s="63">
        <v>0</v>
      </c>
      <c r="BS1110" s="63">
        <v>0</v>
      </c>
      <c r="BT1110" s="88">
        <v>15.1</v>
      </c>
      <c r="BU1110" s="59">
        <f t="shared" si="80"/>
        <v>0.68469999999999998</v>
      </c>
      <c r="BV1110" s="59">
        <v>2.4500000000000001E-2</v>
      </c>
      <c r="BW1110" s="63">
        <v>2.1899999999999999E-2</v>
      </c>
      <c r="BX1110" s="63">
        <v>4.8899999999999999E-2</v>
      </c>
      <c r="BY1110" s="63">
        <v>0</v>
      </c>
      <c r="BZ1110" s="63">
        <v>0</v>
      </c>
      <c r="CA1110" s="88">
        <v>15.4</v>
      </c>
      <c r="CB1110" s="59">
        <f t="shared" si="81"/>
        <v>9.5299999999999996E-2</v>
      </c>
      <c r="CC1110" s="59">
        <v>0.1467</v>
      </c>
      <c r="CD1110" s="63">
        <v>0.2175</v>
      </c>
      <c r="CE1110" s="63">
        <v>0.63580000000000003</v>
      </c>
      <c r="CF1110" s="63">
        <v>0</v>
      </c>
      <c r="CG1110" s="63">
        <v>0</v>
      </c>
      <c r="CH1110" s="88">
        <v>14.2</v>
      </c>
      <c r="CI1110" s="26" t="s">
        <v>257</v>
      </c>
      <c r="CJ1110" s="18" t="s">
        <v>505</v>
      </c>
      <c r="CK1110" s="20"/>
    </row>
    <row r="1111" spans="1:89" x14ac:dyDescent="0.25">
      <c r="A1111" s="18" t="s">
        <v>505</v>
      </c>
      <c r="B1111" s="19" t="s">
        <v>255</v>
      </c>
      <c r="C1111" s="26" t="s">
        <v>258</v>
      </c>
      <c r="D1111" s="6">
        <v>3</v>
      </c>
      <c r="E1111" s="40" t="s">
        <v>83</v>
      </c>
      <c r="F1111" s="6">
        <v>3</v>
      </c>
      <c r="N1111" s="119">
        <v>2.1337126600284501E-3</v>
      </c>
      <c r="O1111" s="119">
        <v>2.1337126600284501E-3</v>
      </c>
      <c r="P1111" s="116" t="s">
        <v>83</v>
      </c>
      <c r="Q1111" s="116" t="s">
        <v>83</v>
      </c>
      <c r="R1111" s="119">
        <v>0</v>
      </c>
      <c r="S1111" s="119">
        <v>0</v>
      </c>
      <c r="T1111" s="119">
        <v>0</v>
      </c>
      <c r="U1111" s="119">
        <v>0</v>
      </c>
      <c r="V1111" s="119">
        <v>9.4637223974763408E-3</v>
      </c>
      <c r="W1111" s="6">
        <v>1341</v>
      </c>
      <c r="X1111" s="40">
        <f t="shared" si="78"/>
        <v>1341</v>
      </c>
      <c r="Y1111" s="40">
        <f t="shared" si="79"/>
        <v>1341</v>
      </c>
      <c r="Z1111" s="59">
        <v>0.53239999999999998</v>
      </c>
      <c r="AA1111" s="59">
        <v>0.46760000000000002</v>
      </c>
      <c r="AB1111" s="61">
        <v>7.4571215510812821E-4</v>
      </c>
      <c r="AC1111" s="61">
        <v>8.2028337061894104E-3</v>
      </c>
      <c r="AD1111" s="61">
        <v>0.4929157345264728</v>
      </c>
      <c r="AE1111" s="61">
        <v>3.5048471290082026E-2</v>
      </c>
      <c r="AF1111" s="61">
        <v>0</v>
      </c>
      <c r="AG1111" s="61">
        <v>0.45488441461595824</v>
      </c>
      <c r="AH1111" s="61">
        <v>8.2028337061894104E-3</v>
      </c>
      <c r="AI1111" s="61">
        <v>0.54511558538404181</v>
      </c>
      <c r="AJ1111" s="59">
        <v>0.55479999999999996</v>
      </c>
      <c r="AK1111" s="59">
        <v>9.7000000000000003E-3</v>
      </c>
      <c r="AL1111" s="3">
        <v>0</v>
      </c>
      <c r="AM1111" s="3">
        <v>0</v>
      </c>
      <c r="AN1111" s="3">
        <v>67</v>
      </c>
      <c r="AO1111" s="3">
        <v>285</v>
      </c>
      <c r="AP1111" s="3">
        <v>349</v>
      </c>
      <c r="AQ1111" s="3">
        <v>333</v>
      </c>
      <c r="AR1111" s="3">
        <v>307</v>
      </c>
      <c r="AS1111" s="59">
        <v>0.19034090909090909</v>
      </c>
      <c r="AT1111" s="3">
        <v>9</v>
      </c>
      <c r="AU1111" s="3">
        <v>6</v>
      </c>
      <c r="AV1111" s="49">
        <v>67.467948717948701</v>
      </c>
      <c r="AW1111" s="49">
        <v>26.7628205128205</v>
      </c>
      <c r="AX1111" s="49">
        <v>4.8076923076923102</v>
      </c>
      <c r="AY1111" s="67">
        <v>0.9615384615384619</v>
      </c>
      <c r="AZ1111" s="63">
        <v>0.17935943060498222</v>
      </c>
      <c r="BA1111" s="63">
        <v>0.12811387900355872</v>
      </c>
      <c r="BB1111" s="78">
        <v>94.484059073334606</v>
      </c>
      <c r="BC1111" s="49">
        <v>49.645390070921998</v>
      </c>
      <c r="BD1111" s="3"/>
      <c r="BE1111" s="3"/>
      <c r="BF1111" s="3"/>
      <c r="BG1111" s="3"/>
      <c r="BH1111" s="3"/>
      <c r="BI1111" s="3"/>
      <c r="BJ1111" s="88">
        <v>20.8</v>
      </c>
      <c r="BK1111" s="126">
        <v>12339</v>
      </c>
      <c r="BL1111" s="126">
        <v>50936</v>
      </c>
      <c r="BM1111" s="126">
        <v>53569</v>
      </c>
      <c r="BN1111" s="126">
        <v>47912</v>
      </c>
      <c r="BO1111" s="59">
        <v>0</v>
      </c>
      <c r="BP1111" s="63">
        <v>0.34239999999999998</v>
      </c>
      <c r="BQ1111" s="63">
        <v>0.35299999999999998</v>
      </c>
      <c r="BR1111" s="63">
        <v>0</v>
      </c>
      <c r="BS1111" s="63">
        <v>1.44E-2</v>
      </c>
      <c r="BT1111" s="88">
        <v>12.1</v>
      </c>
      <c r="BU1111" s="59">
        <f t="shared" si="80"/>
        <v>0.70979999999999999</v>
      </c>
      <c r="BV1111" s="59">
        <v>2.87E-2</v>
      </c>
      <c r="BW1111" s="63">
        <v>2.1299999999999999E-2</v>
      </c>
      <c r="BX1111" s="63">
        <v>2.1499999999999998E-2</v>
      </c>
      <c r="BY1111" s="63">
        <v>7.1999999999999998E-3</v>
      </c>
      <c r="BZ1111" s="63">
        <v>0</v>
      </c>
      <c r="CA1111" s="88">
        <v>20.399999999999999</v>
      </c>
      <c r="CB1111" s="59">
        <f t="shared" si="81"/>
        <v>7.8700000000000006E-2</v>
      </c>
      <c r="CC1111" s="59">
        <v>0.1414</v>
      </c>
      <c r="CD1111" s="63">
        <v>0.39960000000000001</v>
      </c>
      <c r="CE1111" s="63">
        <v>0.43740000000000001</v>
      </c>
      <c r="CF1111" s="63">
        <v>7.1999999999999998E-3</v>
      </c>
      <c r="CG1111" s="63">
        <v>1.44E-2</v>
      </c>
      <c r="CH1111" s="88">
        <v>13.1</v>
      </c>
      <c r="CI1111" s="26" t="s">
        <v>258</v>
      </c>
      <c r="CJ1111" s="18" t="s">
        <v>505</v>
      </c>
      <c r="CK1111" s="20"/>
    </row>
    <row r="1112" spans="1:89" x14ac:dyDescent="0.25">
      <c r="A1112" s="18" t="s">
        <v>505</v>
      </c>
      <c r="B1112" s="19" t="s">
        <v>255</v>
      </c>
      <c r="C1112" s="26" t="s">
        <v>259</v>
      </c>
      <c r="D1112" s="6">
        <v>0</v>
      </c>
      <c r="E1112" s="6">
        <v>0</v>
      </c>
      <c r="F1112" s="6">
        <v>0</v>
      </c>
      <c r="N1112" s="119">
        <v>0</v>
      </c>
      <c r="O1112" s="119">
        <v>0</v>
      </c>
      <c r="P1112" s="119">
        <v>0</v>
      </c>
      <c r="Q1112" s="119">
        <v>0</v>
      </c>
      <c r="R1112" s="116" t="s">
        <v>83</v>
      </c>
      <c r="S1112" s="119">
        <v>0</v>
      </c>
      <c r="T1112" s="119">
        <v>0</v>
      </c>
      <c r="U1112" s="119">
        <v>0</v>
      </c>
      <c r="V1112" s="119">
        <v>0</v>
      </c>
      <c r="W1112" s="6">
        <v>542</v>
      </c>
      <c r="X1112" s="40">
        <f t="shared" si="78"/>
        <v>159</v>
      </c>
      <c r="Y1112" s="40">
        <f t="shared" si="79"/>
        <v>234</v>
      </c>
      <c r="Z1112" s="59">
        <v>0.5</v>
      </c>
      <c r="AA1112" s="59">
        <v>0.5</v>
      </c>
      <c r="AB1112" s="61">
        <v>9.2250922509225092E-3</v>
      </c>
      <c r="AC1112" s="61">
        <v>0</v>
      </c>
      <c r="AD1112" s="61">
        <v>0.4280442804428044</v>
      </c>
      <c r="AE1112" s="61">
        <v>0.1070110701107011</v>
      </c>
      <c r="AF1112" s="61">
        <v>0</v>
      </c>
      <c r="AG1112" s="61">
        <v>0.44095940959409596</v>
      </c>
      <c r="AH1112" s="61">
        <v>1.4760147601476014E-2</v>
      </c>
      <c r="AI1112" s="61">
        <v>0.55904059040590404</v>
      </c>
      <c r="AJ1112" s="59">
        <v>0.71399999999999997</v>
      </c>
      <c r="AK1112" s="59">
        <v>3.8699999999999998E-2</v>
      </c>
      <c r="AL1112" s="3">
        <v>34</v>
      </c>
      <c r="AM1112" s="3">
        <v>41</v>
      </c>
      <c r="AN1112" s="3">
        <v>0</v>
      </c>
      <c r="AO1112" s="3">
        <v>54</v>
      </c>
      <c r="AP1112" s="3">
        <v>35</v>
      </c>
      <c r="AQ1112" s="3">
        <v>39</v>
      </c>
      <c r="AR1112" s="3">
        <v>31</v>
      </c>
      <c r="AS1112" s="59">
        <v>0</v>
      </c>
      <c r="AT1112" s="3">
        <v>1</v>
      </c>
      <c r="AU1112" s="3">
        <v>6</v>
      </c>
      <c r="AV1112" s="49">
        <v>80.876494023904399</v>
      </c>
      <c r="AW1112" s="49">
        <v>18.725099601593602</v>
      </c>
      <c r="AX1112" s="49">
        <v>0.39840637450199201</v>
      </c>
      <c r="AY1112" s="74">
        <v>0</v>
      </c>
      <c r="AZ1112" s="63">
        <v>0.20983606557377049</v>
      </c>
      <c r="BA1112" s="63">
        <v>0.11147540983606558</v>
      </c>
      <c r="BB1112" s="77">
        <v>94.751823418670497</v>
      </c>
      <c r="BC1112" s="49">
        <v>44.630872483221502</v>
      </c>
      <c r="BD1112" s="3"/>
      <c r="BE1112" s="3"/>
      <c r="BF1112" s="3"/>
      <c r="BG1112" s="3"/>
      <c r="BH1112" s="3"/>
      <c r="BI1112" s="3"/>
      <c r="BJ1112" s="88">
        <v>18.2</v>
      </c>
      <c r="BK1112" s="126">
        <v>13181</v>
      </c>
      <c r="BL1112" s="126">
        <v>48530</v>
      </c>
      <c r="BM1112" s="126">
        <v>56846</v>
      </c>
      <c r="BN1112" s="126">
        <v>45796</v>
      </c>
      <c r="BO1112" s="59">
        <v>0</v>
      </c>
      <c r="BP1112" s="63">
        <v>0.433</v>
      </c>
      <c r="BQ1112" s="63">
        <v>0.254</v>
      </c>
      <c r="BR1112" s="63">
        <v>0</v>
      </c>
      <c r="BS1112" s="63">
        <v>0</v>
      </c>
      <c r="BT1112" s="88">
        <v>11.1</v>
      </c>
      <c r="BU1112" s="59">
        <f t="shared" si="80"/>
        <v>0.68700000000000006</v>
      </c>
      <c r="BV1112" s="59">
        <v>2.9899999999999999E-2</v>
      </c>
      <c r="BW1112" s="63">
        <v>0</v>
      </c>
      <c r="BX1112" s="63">
        <v>5.9799999999999999E-2</v>
      </c>
      <c r="BY1112" s="63">
        <v>0</v>
      </c>
      <c r="BZ1112" s="63">
        <v>0</v>
      </c>
      <c r="CA1112" s="88">
        <v>16.8</v>
      </c>
      <c r="CB1112" s="59">
        <f t="shared" si="81"/>
        <v>8.9700000000000002E-2</v>
      </c>
      <c r="CC1112" s="59">
        <v>0.14860000000000001</v>
      </c>
      <c r="CD1112" s="63">
        <v>0.46289999999999998</v>
      </c>
      <c r="CE1112" s="63">
        <v>0.37359999999999999</v>
      </c>
      <c r="CF1112" s="63">
        <v>0</v>
      </c>
      <c r="CG1112" s="63">
        <v>1.49E-2</v>
      </c>
      <c r="CH1112" s="88">
        <v>11.5</v>
      </c>
      <c r="CI1112" s="26" t="s">
        <v>259</v>
      </c>
      <c r="CJ1112" s="18" t="s">
        <v>505</v>
      </c>
      <c r="CK1112" s="20"/>
    </row>
    <row r="1113" spans="1:89" x14ac:dyDescent="0.25">
      <c r="A1113" s="18" t="s">
        <v>505</v>
      </c>
      <c r="B1113" s="19" t="s">
        <v>260</v>
      </c>
      <c r="C1113" s="26" t="s">
        <v>261</v>
      </c>
      <c r="D1113" s="6">
        <v>5</v>
      </c>
      <c r="E1113" s="40" t="s">
        <v>83</v>
      </c>
      <c r="F1113" s="6">
        <v>5</v>
      </c>
      <c r="N1113" s="119">
        <v>8.9766606822262104E-3</v>
      </c>
      <c r="O1113" s="119">
        <v>8.9766606822262104E-3</v>
      </c>
      <c r="P1113" s="116" t="s">
        <v>83</v>
      </c>
      <c r="Q1113" s="116" t="s">
        <v>83</v>
      </c>
      <c r="R1113" s="119">
        <v>0</v>
      </c>
      <c r="S1113" s="119">
        <v>8.4033613445378096E-3</v>
      </c>
      <c r="T1113" s="119">
        <v>6.5789473684210497E-3</v>
      </c>
      <c r="U1113" s="119">
        <v>1.3605442176870699E-2</v>
      </c>
      <c r="V1113" s="119">
        <v>8.9285714285714298E-3</v>
      </c>
      <c r="W1113" s="6">
        <v>515</v>
      </c>
      <c r="X1113" s="40">
        <f t="shared" si="78"/>
        <v>515</v>
      </c>
      <c r="Y1113" s="40">
        <f t="shared" si="79"/>
        <v>515</v>
      </c>
      <c r="Z1113" s="59">
        <v>0.4466</v>
      </c>
      <c r="AA1113" s="59">
        <v>0.5534</v>
      </c>
      <c r="AB1113" s="61">
        <v>3.8834951456310678E-3</v>
      </c>
      <c r="AC1113" s="61">
        <v>0</v>
      </c>
      <c r="AD1113" s="61">
        <v>0.10485436893203884</v>
      </c>
      <c r="AE1113" s="61">
        <v>5.6310679611650483E-2</v>
      </c>
      <c r="AF1113" s="61">
        <v>0</v>
      </c>
      <c r="AG1113" s="61">
        <v>0.83495145631067957</v>
      </c>
      <c r="AH1113" s="61">
        <v>0</v>
      </c>
      <c r="AI1113" s="61">
        <v>0.1650485436893204</v>
      </c>
      <c r="AJ1113" s="59">
        <v>0.59219999999999995</v>
      </c>
      <c r="AK1113" s="59">
        <v>1.3599999999999999E-2</v>
      </c>
      <c r="AL1113" s="3">
        <v>0</v>
      </c>
      <c r="AM1113" s="3">
        <v>0</v>
      </c>
      <c r="AN1113" s="3">
        <v>26</v>
      </c>
      <c r="AO1113" s="3">
        <v>105</v>
      </c>
      <c r="AP1113" s="3">
        <v>141</v>
      </c>
      <c r="AQ1113" s="3">
        <v>139</v>
      </c>
      <c r="AR1113" s="3">
        <v>104</v>
      </c>
      <c r="AS1113" s="59">
        <v>0.19847328244274809</v>
      </c>
      <c r="AT1113" s="3">
        <v>9</v>
      </c>
      <c r="AU1113" s="3">
        <v>6</v>
      </c>
      <c r="AV1113" s="49">
        <v>72.058823529411796</v>
      </c>
      <c r="AW1113" s="49">
        <v>17.352941176470598</v>
      </c>
      <c r="AX1113" s="49">
        <v>9.7058823529411793</v>
      </c>
      <c r="AY1113" s="67">
        <v>0.8823529411764709</v>
      </c>
      <c r="AZ1113" s="63">
        <v>0</v>
      </c>
      <c r="BA1113" s="63">
        <v>0.18525179856115107</v>
      </c>
      <c r="BB1113" s="77">
        <v>92.216571282930602</v>
      </c>
      <c r="BC1113" s="49">
        <v>37.388193202146702</v>
      </c>
      <c r="BD1113" s="3"/>
      <c r="BE1113" s="3"/>
      <c r="BF1113" s="3"/>
      <c r="BG1113" s="3"/>
      <c r="BH1113" s="3"/>
      <c r="BI1113" s="3"/>
      <c r="BJ1113" s="88">
        <v>18.899999999999999</v>
      </c>
      <c r="BK1113" s="126">
        <v>10303</v>
      </c>
      <c r="BL1113" s="126">
        <v>51084</v>
      </c>
      <c r="BM1113" s="126">
        <v>52145</v>
      </c>
      <c r="BN1113" s="126">
        <v>40938</v>
      </c>
      <c r="BO1113" s="59">
        <v>1.7500000000000002E-2</v>
      </c>
      <c r="BP1113" s="63">
        <v>0.39119999999999999</v>
      </c>
      <c r="BQ1113" s="63">
        <v>0.15490000000000001</v>
      </c>
      <c r="BR1113" s="63">
        <v>0</v>
      </c>
      <c r="BS1113" s="63">
        <v>0</v>
      </c>
      <c r="BT1113" s="88">
        <v>12.8</v>
      </c>
      <c r="BU1113" s="59">
        <f t="shared" si="80"/>
        <v>0.56359999999999999</v>
      </c>
      <c r="BV1113" s="59">
        <v>3.49E-2</v>
      </c>
      <c r="BW1113" s="63">
        <v>0</v>
      </c>
      <c r="BX1113" s="63">
        <v>3.6299999999999999E-2</v>
      </c>
      <c r="BY1113" s="63">
        <v>0</v>
      </c>
      <c r="BZ1113" s="63">
        <v>0</v>
      </c>
      <c r="CA1113" s="88">
        <v>23.1</v>
      </c>
      <c r="CB1113" s="59">
        <f t="shared" si="81"/>
        <v>7.1199999999999999E-2</v>
      </c>
      <c r="CC1113" s="59">
        <v>0.35649999999999998</v>
      </c>
      <c r="CD1113" s="63">
        <v>0.41739999999999999</v>
      </c>
      <c r="CE1113" s="63">
        <v>0.2261</v>
      </c>
      <c r="CF1113" s="63">
        <v>0</v>
      </c>
      <c r="CG1113" s="63">
        <v>0</v>
      </c>
      <c r="CH1113" s="88">
        <v>11.7</v>
      </c>
      <c r="CI1113" s="26" t="s">
        <v>261</v>
      </c>
      <c r="CJ1113" s="18" t="s">
        <v>505</v>
      </c>
      <c r="CK1113" s="20"/>
    </row>
    <row r="1114" spans="1:89" x14ac:dyDescent="0.25">
      <c r="A1114" s="18" t="s">
        <v>505</v>
      </c>
      <c r="B1114" s="19" t="s">
        <v>260</v>
      </c>
      <c r="C1114" s="26" t="s">
        <v>262</v>
      </c>
      <c r="D1114" s="6">
        <v>54</v>
      </c>
      <c r="E1114" s="40" t="s">
        <v>83</v>
      </c>
      <c r="F1114" s="6">
        <v>54</v>
      </c>
      <c r="N1114" s="101">
        <f>54/2375</f>
        <v>2.2736842105263159E-2</v>
      </c>
      <c r="O1114" s="101">
        <f>54/2375</f>
        <v>2.2736842105263159E-2</v>
      </c>
      <c r="P1114" s="116" t="s">
        <v>83</v>
      </c>
      <c r="Q1114" s="116" t="s">
        <v>83</v>
      </c>
      <c r="R1114" s="119">
        <v>0</v>
      </c>
      <c r="S1114" s="119">
        <v>1.7187500000000001E-2</v>
      </c>
      <c r="T1114" s="119">
        <v>2.24E-2</v>
      </c>
      <c r="U1114" s="119">
        <v>1.9400352733686101E-2</v>
      </c>
      <c r="V1114" s="119">
        <v>3.5433070866141697E-2</v>
      </c>
      <c r="W1114" s="6">
        <v>2190</v>
      </c>
      <c r="X1114" s="40">
        <f t="shared" si="78"/>
        <v>2190</v>
      </c>
      <c r="Y1114" s="40">
        <f t="shared" si="79"/>
        <v>2190</v>
      </c>
      <c r="Z1114" s="59">
        <v>0.4945205479452055</v>
      </c>
      <c r="AA1114" s="59">
        <v>0.5054794520547945</v>
      </c>
      <c r="AB1114" s="61">
        <v>3.1963470319634705E-3</v>
      </c>
      <c r="AC1114" s="61">
        <v>1.1415525114155251E-2</v>
      </c>
      <c r="AD1114" s="61">
        <v>0.11050228310502283</v>
      </c>
      <c r="AE1114" s="61">
        <v>7.031963470319634E-2</v>
      </c>
      <c r="AF1114" s="61">
        <v>4.5662100456621003E-4</v>
      </c>
      <c r="AG1114" s="61">
        <v>0.80091324200913239</v>
      </c>
      <c r="AH1114" s="61">
        <v>3.1963470319634705E-3</v>
      </c>
      <c r="AI1114" s="61">
        <v>0.19908675799086759</v>
      </c>
      <c r="AJ1114" s="59">
        <v>0.41506849315068495</v>
      </c>
      <c r="AK1114" s="59">
        <v>1.0958904109589041E-2</v>
      </c>
      <c r="AL1114" s="3">
        <v>0</v>
      </c>
      <c r="AM1114" s="3">
        <v>0</v>
      </c>
      <c r="AN1114" s="3">
        <v>35</v>
      </c>
      <c r="AO1114" s="3">
        <v>579</v>
      </c>
      <c r="AP1114" s="3">
        <v>576</v>
      </c>
      <c r="AQ1114" s="3">
        <v>527</v>
      </c>
      <c r="AR1114" s="3">
        <v>473</v>
      </c>
      <c r="AS1114" s="59">
        <v>5.7003257328990226E-2</v>
      </c>
      <c r="AT1114" s="3">
        <v>9</v>
      </c>
      <c r="AU1114" s="3">
        <v>6</v>
      </c>
      <c r="AV1114" s="57">
        <v>57.243539545810492</v>
      </c>
      <c r="AW1114" s="57">
        <v>26.938136256851998</v>
      </c>
      <c r="AX1114" s="57">
        <v>14.878621769772904</v>
      </c>
      <c r="AY1114" s="73">
        <v>0.93970242756460465</v>
      </c>
      <c r="AZ1114" s="63">
        <v>0</v>
      </c>
      <c r="BA1114" s="61">
        <v>0.16301369863013698</v>
      </c>
      <c r="BB1114" s="78">
        <v>92.312027619669706</v>
      </c>
      <c r="BC1114" s="78">
        <v>33.695451183431921</v>
      </c>
      <c r="BD1114" s="3"/>
      <c r="BE1114" s="3"/>
      <c r="BF1114" s="3"/>
      <c r="BG1114" s="3"/>
      <c r="BH1114" s="3"/>
      <c r="BI1114" s="3"/>
      <c r="BJ1114" s="88">
        <v>21.5</v>
      </c>
      <c r="BK1114" s="126">
        <v>8562</v>
      </c>
      <c r="BL1114" s="126">
        <v>50933</v>
      </c>
      <c r="BM1114" s="126">
        <v>45215</v>
      </c>
      <c r="BN1114" s="126">
        <v>37862</v>
      </c>
      <c r="BO1114" s="59">
        <v>6.6E-3</v>
      </c>
      <c r="BP1114" s="63">
        <v>0.34939999999999999</v>
      </c>
      <c r="BQ1114" s="63">
        <v>0.15629999999999999</v>
      </c>
      <c r="BR1114" s="63">
        <v>0</v>
      </c>
      <c r="BS1114" s="63">
        <v>1.32E-2</v>
      </c>
      <c r="BT1114" s="88">
        <v>12.9</v>
      </c>
      <c r="BU1114" s="59">
        <f t="shared" si="80"/>
        <v>0.52549999999999997</v>
      </c>
      <c r="BV1114" s="59">
        <v>1.9699999999999999E-2</v>
      </c>
      <c r="BW1114" s="63">
        <v>1.44E-2</v>
      </c>
      <c r="BX1114" s="63">
        <v>2.5899999999999999E-2</v>
      </c>
      <c r="BY1114" s="63">
        <v>0</v>
      </c>
      <c r="BZ1114" s="63">
        <v>0</v>
      </c>
      <c r="CA1114" s="88">
        <v>13.7</v>
      </c>
      <c r="CB1114" s="59">
        <f t="shared" si="81"/>
        <v>0.06</v>
      </c>
      <c r="CC1114" s="59">
        <v>0.39810000000000001</v>
      </c>
      <c r="CD1114" s="63">
        <v>0.38030000000000003</v>
      </c>
      <c r="CE1114" s="63">
        <v>0.2084</v>
      </c>
      <c r="CF1114" s="63">
        <v>0</v>
      </c>
      <c r="CG1114" s="63">
        <v>1.32E-2</v>
      </c>
      <c r="CH1114" s="88">
        <v>11.4</v>
      </c>
      <c r="CI1114" s="26" t="s">
        <v>262</v>
      </c>
      <c r="CJ1114" s="18" t="s">
        <v>505</v>
      </c>
      <c r="CK1114" s="20"/>
    </row>
    <row r="1115" spans="1:89" x14ac:dyDescent="0.25">
      <c r="A1115" s="18" t="s">
        <v>505</v>
      </c>
      <c r="B1115" s="19" t="s">
        <v>260</v>
      </c>
      <c r="C1115" s="26" t="s">
        <v>263</v>
      </c>
      <c r="D1115" s="6">
        <v>15</v>
      </c>
      <c r="E1115" s="6">
        <v>1</v>
      </c>
      <c r="F1115" s="6">
        <v>14</v>
      </c>
      <c r="N1115" s="119">
        <v>2.3696682464454999E-2</v>
      </c>
      <c r="O1115" s="119">
        <v>3.18906605922551E-2</v>
      </c>
      <c r="P1115" s="119">
        <v>1.0638297872340399E-2</v>
      </c>
      <c r="Q1115" s="119">
        <v>0</v>
      </c>
      <c r="R1115" s="119">
        <v>0</v>
      </c>
      <c r="S1115" s="119">
        <v>1.6528925619834701E-2</v>
      </c>
      <c r="T1115" s="119">
        <v>3.6036036036036001E-2</v>
      </c>
      <c r="U1115" s="119">
        <v>1.9047619047619001E-2</v>
      </c>
      <c r="V1115" s="119">
        <v>5.9405940594059403E-2</v>
      </c>
      <c r="W1115" s="6">
        <v>661</v>
      </c>
      <c r="X1115" s="40">
        <f t="shared" si="78"/>
        <v>401</v>
      </c>
      <c r="Y1115" s="40">
        <f t="shared" si="79"/>
        <v>572</v>
      </c>
      <c r="Z1115" s="59">
        <v>0.49170000000000003</v>
      </c>
      <c r="AA1115" s="59">
        <v>0.50829999999999997</v>
      </c>
      <c r="AB1115" s="61">
        <v>0</v>
      </c>
      <c r="AC1115" s="61">
        <v>1.5128593040847202E-3</v>
      </c>
      <c r="AD1115" s="61">
        <v>3.0257186081694403E-2</v>
      </c>
      <c r="AE1115" s="61">
        <v>2.5718608169440244E-2</v>
      </c>
      <c r="AF1115" s="61">
        <v>1.5128593040847202E-3</v>
      </c>
      <c r="AG1115" s="61">
        <v>0.93948562783661116</v>
      </c>
      <c r="AH1115" s="61">
        <v>1.5128593040847202E-3</v>
      </c>
      <c r="AI1115" s="61">
        <v>6.0514372163388806E-2</v>
      </c>
      <c r="AJ1115" s="59">
        <v>0.49619999999999997</v>
      </c>
      <c r="AK1115" s="59">
        <v>3.0000000000000001E-3</v>
      </c>
      <c r="AL1115" s="3">
        <v>82</v>
      </c>
      <c r="AM1115" s="3">
        <v>89</v>
      </c>
      <c r="AN1115" s="3">
        <v>1</v>
      </c>
      <c r="AO1115" s="3">
        <v>115</v>
      </c>
      <c r="AP1115" s="3">
        <v>97</v>
      </c>
      <c r="AQ1115" s="3">
        <v>98</v>
      </c>
      <c r="AR1115" s="3">
        <v>90</v>
      </c>
      <c r="AS1115" s="59">
        <v>8.6206896551724137E-3</v>
      </c>
      <c r="AT1115" s="3">
        <v>6</v>
      </c>
      <c r="AU1115" s="3">
        <v>6</v>
      </c>
      <c r="AV1115" s="49">
        <v>69.10377358490571</v>
      </c>
      <c r="AW1115" s="49">
        <v>19.339622641509401</v>
      </c>
      <c r="AX1115" s="49">
        <v>10.6132075471698</v>
      </c>
      <c r="AY1115" s="67">
        <v>0.94339622641509391</v>
      </c>
      <c r="AZ1115" s="63">
        <v>0</v>
      </c>
      <c r="BA1115" s="63">
        <v>0.13692946058091288</v>
      </c>
      <c r="BB1115" s="77">
        <v>93.967362342643</v>
      </c>
      <c r="BC1115" s="49">
        <v>21.1034482758621</v>
      </c>
      <c r="BD1115" s="3"/>
      <c r="BE1115" s="3"/>
      <c r="BF1115" s="3"/>
      <c r="BG1115" s="3"/>
      <c r="BH1115" s="3"/>
      <c r="BI1115" s="3"/>
      <c r="BJ1115" s="88">
        <v>20.6</v>
      </c>
      <c r="BK1115" s="126">
        <v>8770</v>
      </c>
      <c r="BL1115" s="126">
        <v>51171</v>
      </c>
      <c r="BM1115" s="126">
        <v>49919</v>
      </c>
      <c r="BN1115" s="126">
        <v>42215</v>
      </c>
      <c r="BO1115" s="59">
        <v>0</v>
      </c>
      <c r="BP1115" s="63">
        <v>0.4264</v>
      </c>
      <c r="BQ1115" s="63">
        <v>0.16039999999999999</v>
      </c>
      <c r="BR1115" s="63">
        <v>1.6199999999999999E-2</v>
      </c>
      <c r="BS1115" s="63">
        <v>1.6199999999999999E-2</v>
      </c>
      <c r="BT1115" s="88">
        <v>14.4</v>
      </c>
      <c r="BU1115" s="59">
        <f t="shared" si="80"/>
        <v>0.61919999999999997</v>
      </c>
      <c r="BV1115" s="59">
        <v>3.2399999999999998E-2</v>
      </c>
      <c r="BW1115" s="63">
        <v>0</v>
      </c>
      <c r="BX1115" s="63">
        <v>3.1899999999999998E-2</v>
      </c>
      <c r="BY1115" s="63">
        <v>0</v>
      </c>
      <c r="BZ1115" s="63">
        <v>0</v>
      </c>
      <c r="CA1115" s="88">
        <v>16.5</v>
      </c>
      <c r="CB1115" s="59">
        <f t="shared" si="81"/>
        <v>6.4299999999999996E-2</v>
      </c>
      <c r="CC1115" s="59">
        <v>0.27550000000000002</v>
      </c>
      <c r="CD1115" s="63">
        <v>0.45879999999999999</v>
      </c>
      <c r="CE1115" s="63">
        <v>0.21709999999999999</v>
      </c>
      <c r="CF1115" s="63">
        <v>3.2399999999999998E-2</v>
      </c>
      <c r="CG1115" s="63">
        <v>1.6199999999999999E-2</v>
      </c>
      <c r="CH1115" s="88">
        <v>13.7</v>
      </c>
      <c r="CI1115" s="26" t="s">
        <v>263</v>
      </c>
      <c r="CJ1115" s="18" t="s">
        <v>505</v>
      </c>
      <c r="CK1115" s="20"/>
    </row>
    <row r="1116" spans="1:89" x14ac:dyDescent="0.25">
      <c r="A1116" s="18" t="s">
        <v>505</v>
      </c>
      <c r="B1116" s="19" t="s">
        <v>260</v>
      </c>
      <c r="C1116" s="26" t="s">
        <v>264</v>
      </c>
      <c r="D1116" s="6">
        <v>0</v>
      </c>
      <c r="E1116" s="6">
        <v>0</v>
      </c>
      <c r="F1116" s="6">
        <v>0</v>
      </c>
      <c r="N1116" s="119">
        <v>0</v>
      </c>
      <c r="O1116" s="119">
        <v>0</v>
      </c>
      <c r="P1116" s="119">
        <v>0</v>
      </c>
      <c r="Q1116" s="119">
        <v>0</v>
      </c>
      <c r="R1116" s="119">
        <v>0</v>
      </c>
      <c r="S1116" s="119">
        <v>0</v>
      </c>
      <c r="T1116" s="119">
        <v>0</v>
      </c>
      <c r="U1116" s="119">
        <v>0</v>
      </c>
      <c r="V1116" s="119">
        <v>0</v>
      </c>
      <c r="W1116" s="6">
        <v>388</v>
      </c>
      <c r="X1116" s="40">
        <f t="shared" si="78"/>
        <v>280</v>
      </c>
      <c r="Y1116" s="40">
        <f t="shared" si="79"/>
        <v>388</v>
      </c>
      <c r="Z1116" s="59">
        <v>0.5</v>
      </c>
      <c r="AA1116" s="59">
        <v>0.5</v>
      </c>
      <c r="AB1116" s="61">
        <v>2.5773195876288659E-3</v>
      </c>
      <c r="AC1116" s="61">
        <v>2.5773195876288659E-3</v>
      </c>
      <c r="AD1116" s="61">
        <v>2.3195876288659795E-2</v>
      </c>
      <c r="AE1116" s="61">
        <v>2.0618556701030927E-2</v>
      </c>
      <c r="AF1116" s="61">
        <v>0</v>
      </c>
      <c r="AG1116" s="61">
        <v>0.94072164948453607</v>
      </c>
      <c r="AH1116" s="61">
        <v>1.0309278350515464E-2</v>
      </c>
      <c r="AI1116" s="61">
        <v>5.9278350515463915E-2</v>
      </c>
      <c r="AJ1116" s="59">
        <v>0.43559999999999999</v>
      </c>
      <c r="AK1116" s="59">
        <v>2.5999999999999999E-3</v>
      </c>
      <c r="AL1116" s="3">
        <v>49</v>
      </c>
      <c r="AM1116" s="3">
        <v>59</v>
      </c>
      <c r="AN1116" s="3">
        <v>9</v>
      </c>
      <c r="AO1116" s="3">
        <v>56</v>
      </c>
      <c r="AP1116" s="3">
        <v>70</v>
      </c>
      <c r="AQ1116" s="3">
        <v>73</v>
      </c>
      <c r="AR1116" s="3">
        <v>72</v>
      </c>
      <c r="AS1116" s="59">
        <v>0.13846153846153847</v>
      </c>
      <c r="AT1116" s="3">
        <v>7</v>
      </c>
      <c r="AU1116" s="3">
        <v>6</v>
      </c>
      <c r="AV1116" s="49">
        <v>83.7931034482759</v>
      </c>
      <c r="AW1116" s="49">
        <v>12.413793103448301</v>
      </c>
      <c r="AX1116" s="49">
        <v>3.7931034482758599</v>
      </c>
      <c r="AY1116" s="74">
        <v>0</v>
      </c>
      <c r="AZ1116" s="63">
        <v>0</v>
      </c>
      <c r="BA1116" s="63">
        <v>0.10144927536231885</v>
      </c>
      <c r="BB1116" s="78">
        <v>92.413363894412498</v>
      </c>
      <c r="BC1116" s="49">
        <v>27.053140096618399</v>
      </c>
      <c r="BD1116" s="3"/>
      <c r="BE1116" s="3"/>
      <c r="BF1116" s="3"/>
      <c r="BG1116" s="3"/>
      <c r="BH1116" s="3"/>
      <c r="BI1116" s="3"/>
      <c r="BJ1116" s="88">
        <v>21.4</v>
      </c>
      <c r="BK1116" s="126">
        <v>11229</v>
      </c>
      <c r="BL1116" s="126">
        <v>50436</v>
      </c>
      <c r="BM1116" s="126">
        <v>54442</v>
      </c>
      <c r="BN1116" s="126">
        <v>39711</v>
      </c>
      <c r="BO1116" s="59">
        <v>0</v>
      </c>
      <c r="BP1116" s="63">
        <v>0.39800000000000002</v>
      </c>
      <c r="BQ1116" s="63">
        <v>0.13769999999999999</v>
      </c>
      <c r="BR1116" s="63">
        <v>0</v>
      </c>
      <c r="BS1116" s="63">
        <v>0</v>
      </c>
      <c r="BT1116" s="88">
        <v>14.8</v>
      </c>
      <c r="BU1116" s="59">
        <f t="shared" si="80"/>
        <v>0.53570000000000007</v>
      </c>
      <c r="BV1116" s="59">
        <v>3.5000000000000003E-2</v>
      </c>
      <c r="BW1116" s="63">
        <v>0</v>
      </c>
      <c r="BX1116" s="63">
        <v>5.1400000000000001E-2</v>
      </c>
      <c r="BY1116" s="63">
        <v>0</v>
      </c>
      <c r="BZ1116" s="63">
        <v>0</v>
      </c>
      <c r="CA1116" s="88">
        <v>13.8</v>
      </c>
      <c r="CB1116" s="59">
        <f t="shared" si="81"/>
        <v>8.6400000000000005E-2</v>
      </c>
      <c r="CC1116" s="59">
        <v>0.35320000000000001</v>
      </c>
      <c r="CD1116" s="63">
        <v>0.43780000000000002</v>
      </c>
      <c r="CE1116" s="63">
        <v>0.20899999999999999</v>
      </c>
      <c r="CF1116" s="63">
        <v>0</v>
      </c>
      <c r="CG1116" s="63">
        <v>0</v>
      </c>
      <c r="CH1116" s="88">
        <v>12.2</v>
      </c>
      <c r="CI1116" s="26" t="s">
        <v>264</v>
      </c>
      <c r="CJ1116" s="18" t="s">
        <v>505</v>
      </c>
      <c r="CK1116" s="20"/>
    </row>
    <row r="1117" spans="1:89" x14ac:dyDescent="0.25">
      <c r="A1117" s="18" t="s">
        <v>505</v>
      </c>
      <c r="B1117" s="19" t="s">
        <v>260</v>
      </c>
      <c r="C1117" s="26" t="s">
        <v>265</v>
      </c>
      <c r="D1117" s="6">
        <v>1</v>
      </c>
      <c r="E1117" s="6">
        <v>0</v>
      </c>
      <c r="F1117" s="6">
        <v>1</v>
      </c>
      <c r="N1117" s="119">
        <v>2.9673590504451001E-3</v>
      </c>
      <c r="O1117" s="119">
        <v>4.8780487804877997E-3</v>
      </c>
      <c r="P1117" s="119">
        <v>0</v>
      </c>
      <c r="Q1117" s="119">
        <v>0</v>
      </c>
      <c r="R1117" s="119">
        <v>0</v>
      </c>
      <c r="S1117" s="119">
        <v>0</v>
      </c>
      <c r="T1117" s="119">
        <v>0</v>
      </c>
      <c r="U1117" s="119">
        <v>2.6315789473684199E-2</v>
      </c>
      <c r="V1117" s="119">
        <v>0</v>
      </c>
      <c r="W1117" s="6">
        <v>731</v>
      </c>
      <c r="X1117" s="40">
        <f t="shared" si="78"/>
        <v>196</v>
      </c>
      <c r="Y1117" s="40">
        <f t="shared" si="79"/>
        <v>318</v>
      </c>
      <c r="Z1117" s="59">
        <v>0.51029999999999998</v>
      </c>
      <c r="AA1117" s="59">
        <v>0.48970000000000002</v>
      </c>
      <c r="AB1117" s="61">
        <v>0</v>
      </c>
      <c r="AC1117" s="61">
        <v>1.3679890560875513E-3</v>
      </c>
      <c r="AD1117" s="61">
        <v>4.1039671682626538E-3</v>
      </c>
      <c r="AE1117" s="61">
        <v>6.9767441860465115E-2</v>
      </c>
      <c r="AF1117" s="61">
        <v>0</v>
      </c>
      <c r="AG1117" s="61">
        <v>0.91792065663474687</v>
      </c>
      <c r="AH1117" s="61">
        <v>6.8399452804377564E-3</v>
      </c>
      <c r="AI1117" s="61">
        <v>8.2079343365253077E-2</v>
      </c>
      <c r="AJ1117" s="59">
        <v>0.50619999999999998</v>
      </c>
      <c r="AK1117" s="59">
        <v>2.7400000000000001E-2</v>
      </c>
      <c r="AL1117" s="3">
        <v>68</v>
      </c>
      <c r="AM1117" s="3">
        <v>54</v>
      </c>
      <c r="AN1117" s="3">
        <v>7</v>
      </c>
      <c r="AO1117" s="3">
        <v>54</v>
      </c>
      <c r="AP1117" s="3">
        <v>54</v>
      </c>
      <c r="AQ1117" s="3">
        <v>36</v>
      </c>
      <c r="AR1117" s="3">
        <v>45</v>
      </c>
      <c r="AS1117" s="59">
        <v>0.11475409836065574</v>
      </c>
      <c r="AT1117" s="3">
        <v>1</v>
      </c>
      <c r="AU1117" s="3">
        <v>6</v>
      </c>
      <c r="AV1117" s="49">
        <v>70.404984423675998</v>
      </c>
      <c r="AW1117" s="49">
        <v>19.9376947040498</v>
      </c>
      <c r="AX1117" s="49">
        <v>9.3457943925233593</v>
      </c>
      <c r="AY1117" s="67">
        <v>0.31152647975077896</v>
      </c>
      <c r="AZ1117" s="63">
        <v>0</v>
      </c>
      <c r="BA1117" s="63">
        <v>0.10841836734693877</v>
      </c>
      <c r="BB1117" s="77">
        <v>94.062286527904703</v>
      </c>
      <c r="BC1117" s="49">
        <v>36.968085106383</v>
      </c>
      <c r="BD1117" s="3"/>
      <c r="BE1117" s="3"/>
      <c r="BF1117" s="3"/>
      <c r="BG1117" s="3"/>
      <c r="BH1117" s="3"/>
      <c r="BI1117" s="3"/>
      <c r="BJ1117" s="88">
        <v>20.8</v>
      </c>
      <c r="BK1117" s="126">
        <v>10834</v>
      </c>
      <c r="BL1117" s="126">
        <v>49701</v>
      </c>
      <c r="BM1117" s="126">
        <v>46485</v>
      </c>
      <c r="BN1117" s="126">
        <v>37100</v>
      </c>
      <c r="BO1117" s="59">
        <v>0</v>
      </c>
      <c r="BP1117" s="63">
        <v>0.34689999999999999</v>
      </c>
      <c r="BQ1117" s="63">
        <v>0.156</v>
      </c>
      <c r="BR1117" s="63">
        <v>0</v>
      </c>
      <c r="BS1117" s="63">
        <v>1.0500000000000001E-2</v>
      </c>
      <c r="BT1117" s="88">
        <v>13.3</v>
      </c>
      <c r="BU1117" s="59">
        <f t="shared" si="80"/>
        <v>0.51339999999999997</v>
      </c>
      <c r="BV1117" s="59">
        <v>2.1000000000000001E-2</v>
      </c>
      <c r="BW1117" s="63">
        <v>1.0500000000000001E-2</v>
      </c>
      <c r="BX1117" s="63">
        <v>3.1E-2</v>
      </c>
      <c r="BY1117" s="63">
        <v>0</v>
      </c>
      <c r="BZ1117" s="63">
        <v>0</v>
      </c>
      <c r="CA1117" s="88">
        <v>16.5</v>
      </c>
      <c r="CB1117" s="59">
        <f t="shared" si="81"/>
        <v>6.25E-2</v>
      </c>
      <c r="CC1117" s="59">
        <v>0.40300000000000002</v>
      </c>
      <c r="CD1117" s="63">
        <v>0.37840000000000001</v>
      </c>
      <c r="CE1117" s="63">
        <v>0.20810000000000001</v>
      </c>
      <c r="CF1117" s="63">
        <v>0</v>
      </c>
      <c r="CG1117" s="63">
        <v>1.0500000000000001E-2</v>
      </c>
      <c r="CH1117" s="88">
        <v>12.4</v>
      </c>
      <c r="CI1117" s="26" t="s">
        <v>265</v>
      </c>
      <c r="CJ1117" s="18" t="s">
        <v>505</v>
      </c>
      <c r="CK1117" s="20"/>
    </row>
    <row r="1118" spans="1:89" x14ac:dyDescent="0.25">
      <c r="A1118" s="18" t="s">
        <v>505</v>
      </c>
      <c r="B1118" s="19" t="s">
        <v>260</v>
      </c>
      <c r="C1118" s="26" t="s">
        <v>266</v>
      </c>
      <c r="D1118" s="6">
        <v>1</v>
      </c>
      <c r="E1118" s="40" t="s">
        <v>83</v>
      </c>
      <c r="F1118" s="6">
        <v>1</v>
      </c>
      <c r="N1118" s="119">
        <v>7.4906367041198505E-4</v>
      </c>
      <c r="O1118" s="119">
        <v>7.4906367041198505E-4</v>
      </c>
      <c r="P1118" s="116" t="s">
        <v>83</v>
      </c>
      <c r="Q1118" s="116" t="s">
        <v>83</v>
      </c>
      <c r="R1118" s="119">
        <v>0</v>
      </c>
      <c r="S1118" s="119">
        <v>0</v>
      </c>
      <c r="T1118" s="119">
        <v>0</v>
      </c>
      <c r="U1118" s="119">
        <v>0</v>
      </c>
      <c r="V1118" s="119">
        <v>2.9673590504451001E-3</v>
      </c>
      <c r="W1118" s="6">
        <v>1273</v>
      </c>
      <c r="X1118" s="40">
        <f t="shared" si="78"/>
        <v>1273</v>
      </c>
      <c r="Y1118" s="40">
        <f t="shared" si="79"/>
        <v>1273</v>
      </c>
      <c r="Z1118" s="59">
        <v>0.48859999999999998</v>
      </c>
      <c r="AA1118" s="59">
        <v>0.51139999999999997</v>
      </c>
      <c r="AB1118" s="61">
        <v>7.855459544383347E-4</v>
      </c>
      <c r="AC1118" s="61">
        <v>5.4988216810683424E-3</v>
      </c>
      <c r="AD1118" s="61">
        <v>3.6920659858601726E-2</v>
      </c>
      <c r="AE1118" s="61">
        <v>2.4351924587588374E-2</v>
      </c>
      <c r="AF1118" s="61">
        <v>0</v>
      </c>
      <c r="AG1118" s="61">
        <v>0.93087195600942652</v>
      </c>
      <c r="AH1118" s="61">
        <v>1.5710919088766694E-3</v>
      </c>
      <c r="AI1118" s="61">
        <v>6.9128043990573443E-2</v>
      </c>
      <c r="AJ1118" s="59">
        <v>0.35039999999999999</v>
      </c>
      <c r="AK1118" s="59">
        <v>8.0000000000000004E-4</v>
      </c>
      <c r="AL1118" s="3">
        <v>0</v>
      </c>
      <c r="AM1118" s="3">
        <v>0</v>
      </c>
      <c r="AN1118" s="3">
        <v>7</v>
      </c>
      <c r="AO1118" s="3">
        <v>313</v>
      </c>
      <c r="AP1118" s="3">
        <v>305</v>
      </c>
      <c r="AQ1118" s="3">
        <v>324</v>
      </c>
      <c r="AR1118" s="3">
        <v>324</v>
      </c>
      <c r="AS1118" s="59">
        <v>2.1874999999999999E-2</v>
      </c>
      <c r="AT1118" s="3">
        <v>9</v>
      </c>
      <c r="AU1118" s="3">
        <v>6</v>
      </c>
      <c r="AV1118" s="49">
        <v>61.741424802110799</v>
      </c>
      <c r="AW1118" s="49">
        <v>20.976253298153001</v>
      </c>
      <c r="AX1118" s="49">
        <v>16.622691292875999</v>
      </c>
      <c r="AY1118" s="67">
        <v>0.65963060686015795</v>
      </c>
      <c r="AZ1118" s="63">
        <v>0</v>
      </c>
      <c r="BA1118" s="63">
        <v>8.8389513108614232E-2</v>
      </c>
      <c r="BB1118" s="78">
        <v>93.149824437071203</v>
      </c>
      <c r="BC1118" s="49">
        <v>34.828101644245102</v>
      </c>
      <c r="BD1118" s="3"/>
      <c r="BE1118" s="3"/>
      <c r="BF1118" s="3"/>
      <c r="BG1118" s="3"/>
      <c r="BH1118" s="3"/>
      <c r="BI1118" s="3"/>
      <c r="BJ1118" s="88">
        <v>21.1</v>
      </c>
      <c r="BK1118" s="126">
        <v>8388</v>
      </c>
      <c r="BL1118" s="126">
        <v>50426</v>
      </c>
      <c r="BM1118" s="126">
        <v>38581</v>
      </c>
      <c r="BN1118" s="126">
        <v>40308</v>
      </c>
      <c r="BO1118" s="59">
        <v>8.6999999999999994E-3</v>
      </c>
      <c r="BP1118" s="63">
        <v>0.41410000000000002</v>
      </c>
      <c r="BQ1118" s="63">
        <v>0.15359999999999999</v>
      </c>
      <c r="BR1118" s="63">
        <v>8.6999999999999994E-3</v>
      </c>
      <c r="BS1118" s="63">
        <v>8.6999999999999994E-3</v>
      </c>
      <c r="BT1118" s="88">
        <v>11.7</v>
      </c>
      <c r="BU1118" s="59">
        <f t="shared" si="80"/>
        <v>0.59380000000000011</v>
      </c>
      <c r="BV1118" s="59">
        <v>6.1199999999999997E-2</v>
      </c>
      <c r="BW1118" s="63">
        <v>4.0000000000000002E-4</v>
      </c>
      <c r="BX1118" s="63">
        <v>2.8199999999999999E-2</v>
      </c>
      <c r="BY1118" s="63">
        <v>0</v>
      </c>
      <c r="BZ1118" s="63">
        <v>0</v>
      </c>
      <c r="CA1118" s="88">
        <v>10.4</v>
      </c>
      <c r="CB1118" s="59">
        <f t="shared" si="81"/>
        <v>8.9799999999999991E-2</v>
      </c>
      <c r="CC1118" s="59">
        <v>0.33139999999999997</v>
      </c>
      <c r="CD1118" s="63">
        <v>0.43440000000000001</v>
      </c>
      <c r="CE1118" s="63">
        <v>0.21679999999999999</v>
      </c>
      <c r="CF1118" s="63">
        <v>8.6999999999999994E-3</v>
      </c>
      <c r="CG1118" s="63">
        <v>8.6999999999999994E-3</v>
      </c>
      <c r="CH1118" s="87">
        <v>11</v>
      </c>
      <c r="CI1118" s="26" t="s">
        <v>266</v>
      </c>
      <c r="CJ1118" s="18" t="s">
        <v>505</v>
      </c>
      <c r="CK1118" s="20"/>
    </row>
    <row r="1119" spans="1:89" x14ac:dyDescent="0.25">
      <c r="A1119" s="18" t="s">
        <v>505</v>
      </c>
      <c r="B1119" s="19" t="s">
        <v>260</v>
      </c>
      <c r="C1119" s="26" t="s">
        <v>267</v>
      </c>
      <c r="D1119" s="6">
        <v>1</v>
      </c>
      <c r="E1119" s="6">
        <v>1</v>
      </c>
      <c r="F1119" s="6">
        <v>0</v>
      </c>
      <c r="N1119" s="119">
        <v>5.3763440860215101E-3</v>
      </c>
      <c r="O1119" s="119">
        <v>0</v>
      </c>
      <c r="P1119" s="119">
        <v>0</v>
      </c>
      <c r="Q1119" s="119">
        <v>2.7777777777777801E-2</v>
      </c>
      <c r="R1119" s="119">
        <v>0</v>
      </c>
      <c r="S1119" s="119">
        <v>0</v>
      </c>
      <c r="T1119" s="119">
        <v>0</v>
      </c>
      <c r="U1119" s="119">
        <v>0</v>
      </c>
      <c r="V1119" s="119">
        <v>0</v>
      </c>
      <c r="W1119" s="6">
        <v>395</v>
      </c>
      <c r="X1119" s="40">
        <f t="shared" si="78"/>
        <v>105</v>
      </c>
      <c r="Y1119" s="40">
        <f t="shared" si="79"/>
        <v>172</v>
      </c>
      <c r="Z1119" s="59">
        <v>0.52410000000000001</v>
      </c>
      <c r="AA1119" s="59">
        <v>0.47589999999999999</v>
      </c>
      <c r="AB1119" s="61">
        <v>2.5316455696202532E-3</v>
      </c>
      <c r="AC1119" s="61">
        <v>0</v>
      </c>
      <c r="AD1119" s="61">
        <v>7.5949367088607592E-3</v>
      </c>
      <c r="AE1119" s="61">
        <v>4.5569620253164557E-2</v>
      </c>
      <c r="AF1119" s="61">
        <v>0</v>
      </c>
      <c r="AG1119" s="61">
        <v>0.9417721518987342</v>
      </c>
      <c r="AH1119" s="61">
        <v>2.5316455696202532E-3</v>
      </c>
      <c r="AI1119" s="61">
        <v>5.8227848101265821E-2</v>
      </c>
      <c r="AJ1119" s="59">
        <v>0.51139999999999997</v>
      </c>
      <c r="AK1119" s="59">
        <v>1.77E-2</v>
      </c>
      <c r="AL1119" s="3">
        <v>33</v>
      </c>
      <c r="AM1119" s="3">
        <v>34</v>
      </c>
      <c r="AN1119" s="3">
        <v>1</v>
      </c>
      <c r="AO1119" s="3">
        <v>26</v>
      </c>
      <c r="AP1119" s="3">
        <v>26</v>
      </c>
      <c r="AQ1119" s="3">
        <v>32</v>
      </c>
      <c r="AR1119" s="3">
        <v>20</v>
      </c>
      <c r="AS1119" s="59">
        <v>3.7037037037037035E-2</v>
      </c>
      <c r="AT1119" s="3">
        <v>1</v>
      </c>
      <c r="AU1119" s="3">
        <v>6</v>
      </c>
      <c r="AV1119" s="49">
        <v>96.506550218340607</v>
      </c>
      <c r="AW1119" s="49">
        <v>1.74672489082969</v>
      </c>
      <c r="AX1119" s="49">
        <v>1.31004366812227</v>
      </c>
      <c r="AY1119" s="67">
        <v>0.43668122270742399</v>
      </c>
      <c r="AZ1119" s="63">
        <v>0</v>
      </c>
      <c r="BA1119" s="63">
        <v>8.5253456221198162E-2</v>
      </c>
      <c r="BB1119" s="77">
        <v>93.807091346153896</v>
      </c>
      <c r="BC1119" s="49">
        <v>30.641330166270802</v>
      </c>
      <c r="BD1119" s="3"/>
      <c r="BE1119" s="3"/>
      <c r="BF1119" s="3"/>
      <c r="BG1119" s="3"/>
      <c r="BH1119" s="3"/>
      <c r="BI1119" s="3"/>
      <c r="BJ1119" s="88">
        <v>20.9</v>
      </c>
      <c r="BK1119" s="126">
        <v>13379</v>
      </c>
      <c r="BL1119" s="126">
        <v>50258</v>
      </c>
      <c r="BM1119" s="126">
        <v>55454</v>
      </c>
      <c r="BN1119" s="126">
        <v>40374</v>
      </c>
      <c r="BO1119" s="59">
        <v>0</v>
      </c>
      <c r="BP1119" s="63">
        <v>0.42909999999999998</v>
      </c>
      <c r="BQ1119" s="63">
        <v>0.10730000000000001</v>
      </c>
      <c r="BR1119" s="63">
        <v>0</v>
      </c>
      <c r="BS1119" s="63">
        <v>0</v>
      </c>
      <c r="BT1119" s="88">
        <v>14.7</v>
      </c>
      <c r="BU1119" s="59">
        <f t="shared" si="80"/>
        <v>0.53639999999999999</v>
      </c>
      <c r="BV1119" s="59">
        <v>3.0599999999999999E-2</v>
      </c>
      <c r="BW1119" s="63">
        <v>1.5299999999999999E-2</v>
      </c>
      <c r="BX1119" s="63">
        <v>3.0700000000000002E-2</v>
      </c>
      <c r="BY1119" s="63">
        <v>1.5299999999999999E-2</v>
      </c>
      <c r="BZ1119" s="63">
        <v>0</v>
      </c>
      <c r="CA1119" s="88">
        <v>25.3</v>
      </c>
      <c r="CB1119" s="59">
        <f t="shared" si="81"/>
        <v>9.1899999999999996E-2</v>
      </c>
      <c r="CC1119" s="59">
        <v>0.34360000000000002</v>
      </c>
      <c r="CD1119" s="63">
        <v>0.47249999999999998</v>
      </c>
      <c r="CE1119" s="63">
        <v>0.1686</v>
      </c>
      <c r="CF1119" s="63">
        <v>1.5299999999999999E-2</v>
      </c>
      <c r="CG1119" s="63">
        <v>0</v>
      </c>
      <c r="CH1119" s="88">
        <v>14.8</v>
      </c>
      <c r="CI1119" s="26" t="s">
        <v>267</v>
      </c>
      <c r="CJ1119" s="18" t="s">
        <v>505</v>
      </c>
      <c r="CK1119" s="20"/>
    </row>
    <row r="1120" spans="1:89" x14ac:dyDescent="0.25">
      <c r="A1120" s="18" t="s">
        <v>505</v>
      </c>
      <c r="B1120" s="19" t="s">
        <v>260</v>
      </c>
      <c r="C1120" s="26" t="s">
        <v>268</v>
      </c>
      <c r="D1120" s="6">
        <v>5</v>
      </c>
      <c r="E1120" s="40" t="s">
        <v>83</v>
      </c>
      <c r="F1120" s="6">
        <v>5</v>
      </c>
      <c r="N1120" s="119">
        <v>1.2755102040816301E-2</v>
      </c>
      <c r="O1120" s="119">
        <v>1.2755102040816301E-2</v>
      </c>
      <c r="P1120" s="116" t="s">
        <v>83</v>
      </c>
      <c r="Q1120" s="116" t="s">
        <v>83</v>
      </c>
      <c r="R1120" s="119">
        <v>0</v>
      </c>
      <c r="S1120" s="119">
        <v>0</v>
      </c>
      <c r="T1120" s="119">
        <v>1.86915887850467E-2</v>
      </c>
      <c r="U1120" s="119">
        <v>2.0833333333333301E-2</v>
      </c>
      <c r="V1120" s="119">
        <v>1.1235955056179799E-2</v>
      </c>
      <c r="W1120" s="6">
        <v>371</v>
      </c>
      <c r="X1120" s="40">
        <f t="shared" si="78"/>
        <v>371</v>
      </c>
      <c r="Y1120" s="40">
        <f t="shared" si="79"/>
        <v>371</v>
      </c>
      <c r="Z1120" s="59">
        <v>0.4798</v>
      </c>
      <c r="AA1120" s="59">
        <v>0.5202</v>
      </c>
      <c r="AB1120" s="61">
        <v>2.6954177897574125E-3</v>
      </c>
      <c r="AC1120" s="61">
        <v>0</v>
      </c>
      <c r="AD1120" s="61">
        <v>0.15094339622641509</v>
      </c>
      <c r="AE1120" s="61">
        <v>2.9649595687331536E-2</v>
      </c>
      <c r="AF1120" s="61">
        <v>0</v>
      </c>
      <c r="AG1120" s="61">
        <v>0.80862533692722371</v>
      </c>
      <c r="AH1120" s="61">
        <v>8.0862533692722376E-3</v>
      </c>
      <c r="AI1120" s="61">
        <v>0.19137466307277629</v>
      </c>
      <c r="AJ1120" s="59">
        <v>0.54720000000000002</v>
      </c>
      <c r="AK1120" s="59">
        <v>2.7000000000000001E-3</v>
      </c>
      <c r="AL1120" s="3">
        <v>0</v>
      </c>
      <c r="AM1120" s="3">
        <v>0</v>
      </c>
      <c r="AN1120" s="3">
        <v>13</v>
      </c>
      <c r="AO1120" s="3">
        <v>82</v>
      </c>
      <c r="AP1120" s="3">
        <v>100</v>
      </c>
      <c r="AQ1120" s="3">
        <v>91</v>
      </c>
      <c r="AR1120" s="3">
        <v>85</v>
      </c>
      <c r="AS1120" s="59">
        <v>0.1368421052631579</v>
      </c>
      <c r="AT1120" s="3">
        <v>9</v>
      </c>
      <c r="AU1120" s="3">
        <v>6</v>
      </c>
      <c r="AV1120" s="49">
        <v>69.346733668341699</v>
      </c>
      <c r="AW1120" s="49">
        <v>23.115577889447199</v>
      </c>
      <c r="AX1120" s="49">
        <v>6.5326633165829211</v>
      </c>
      <c r="AY1120" s="67">
        <v>1.0050251256281399</v>
      </c>
      <c r="AZ1120" s="63">
        <v>0</v>
      </c>
      <c r="BA1120" s="63">
        <v>0.15641025641025641</v>
      </c>
      <c r="BB1120" s="78">
        <v>91.404325431103402</v>
      </c>
      <c r="BC1120" s="49">
        <v>33.924050632911403</v>
      </c>
      <c r="BD1120" s="3"/>
      <c r="BE1120" s="3"/>
      <c r="BF1120" s="3"/>
      <c r="BG1120" s="3"/>
      <c r="BH1120" s="3"/>
      <c r="BI1120" s="3"/>
      <c r="BJ1120" s="88">
        <v>20.3</v>
      </c>
      <c r="BK1120" s="126">
        <v>11969</v>
      </c>
      <c r="BL1120" s="126">
        <v>50223</v>
      </c>
      <c r="BM1120" s="126">
        <v>50754</v>
      </c>
      <c r="BN1120" s="126">
        <v>36435</v>
      </c>
      <c r="BO1120" s="59">
        <v>0</v>
      </c>
      <c r="BP1120" s="63">
        <v>0.26179999999999998</v>
      </c>
      <c r="BQ1120" s="63">
        <v>0.19259999999999999</v>
      </c>
      <c r="BR1120" s="63">
        <v>0</v>
      </c>
      <c r="BS1120" s="63">
        <v>0</v>
      </c>
      <c r="BT1120" s="88">
        <v>11.1</v>
      </c>
      <c r="BU1120" s="59">
        <f t="shared" si="80"/>
        <v>0.45439999999999997</v>
      </c>
      <c r="BV1120" s="59">
        <v>1.77E-2</v>
      </c>
      <c r="BW1120" s="63">
        <v>9.1999999999999998E-3</v>
      </c>
      <c r="BX1120" s="63">
        <v>3.6900000000000002E-2</v>
      </c>
      <c r="BY1120" s="63">
        <v>0</v>
      </c>
      <c r="BZ1120" s="63">
        <v>0</v>
      </c>
      <c r="CA1120" s="88">
        <v>13.1</v>
      </c>
      <c r="CB1120" s="59">
        <f t="shared" si="81"/>
        <v>6.3799999999999996E-2</v>
      </c>
      <c r="CC1120" s="59">
        <v>0.43809999999999999</v>
      </c>
      <c r="CD1120" s="63">
        <v>0.31480000000000002</v>
      </c>
      <c r="CE1120" s="63">
        <v>0.24709999999999999</v>
      </c>
      <c r="CF1120" s="63">
        <v>0</v>
      </c>
      <c r="CG1120" s="63">
        <v>0</v>
      </c>
      <c r="CH1120" s="88">
        <v>10.6</v>
      </c>
      <c r="CI1120" s="26" t="s">
        <v>268</v>
      </c>
      <c r="CJ1120" s="18" t="s">
        <v>505</v>
      </c>
      <c r="CK1120" s="20"/>
    </row>
    <row r="1121" spans="1:89" x14ac:dyDescent="0.25">
      <c r="A1121" s="18" t="s">
        <v>505</v>
      </c>
      <c r="B1121" s="19" t="s">
        <v>260</v>
      </c>
      <c r="C1121" s="26" t="s">
        <v>269</v>
      </c>
      <c r="D1121" s="6">
        <v>24</v>
      </c>
      <c r="E1121" s="40" t="s">
        <v>83</v>
      </c>
      <c r="F1121" s="6">
        <v>24</v>
      </c>
      <c r="N1121" s="101">
        <f>24/1776</f>
        <v>1.3513513513513514E-2</v>
      </c>
      <c r="O1121" s="101">
        <f>24/1776</f>
        <v>1.3513513513513514E-2</v>
      </c>
      <c r="P1121" s="116" t="s">
        <v>83</v>
      </c>
      <c r="Q1121" s="116" t="s">
        <v>83</v>
      </c>
      <c r="R1121" s="119">
        <v>0</v>
      </c>
      <c r="S1121" s="119">
        <v>1.417004048583E-2</v>
      </c>
      <c r="T1121" s="119">
        <v>1.1737089201877901E-2</v>
      </c>
      <c r="U1121" s="119">
        <v>1.44578313253012E-2</v>
      </c>
      <c r="V1121" s="119">
        <v>1.3953488372093001E-2</v>
      </c>
      <c r="W1121" s="6">
        <v>1676</v>
      </c>
      <c r="X1121" s="40">
        <f t="shared" si="78"/>
        <v>1676</v>
      </c>
      <c r="Y1121" s="40">
        <f t="shared" si="79"/>
        <v>1676</v>
      </c>
      <c r="Z1121" s="59">
        <v>0.46599045346062051</v>
      </c>
      <c r="AA1121" s="59">
        <v>0.53400954653937949</v>
      </c>
      <c r="AB1121" s="61">
        <v>1.1933174224343676E-3</v>
      </c>
      <c r="AC1121" s="61">
        <v>1.0143198090692125E-2</v>
      </c>
      <c r="AD1121" s="61">
        <v>0.11276849642004773</v>
      </c>
      <c r="AE1121" s="61">
        <v>2.9832935560859187E-2</v>
      </c>
      <c r="AF1121" s="61">
        <v>0</v>
      </c>
      <c r="AG1121" s="61">
        <v>0.84248210023866343</v>
      </c>
      <c r="AH1121" s="61">
        <v>3.5799522673031028E-3</v>
      </c>
      <c r="AI1121" s="61">
        <v>0.15751789976133651</v>
      </c>
      <c r="AJ1121" s="59">
        <v>0.45047732696897375</v>
      </c>
      <c r="AK1121" s="59">
        <v>2.3866348448687352E-3</v>
      </c>
      <c r="AL1121" s="3">
        <v>0</v>
      </c>
      <c r="AM1121" s="3">
        <v>0</v>
      </c>
      <c r="AN1121" s="3">
        <v>11</v>
      </c>
      <c r="AO1121" s="3">
        <v>464</v>
      </c>
      <c r="AP1121" s="3">
        <v>398</v>
      </c>
      <c r="AQ1121" s="3">
        <v>390</v>
      </c>
      <c r="AR1121" s="3">
        <v>413</v>
      </c>
      <c r="AS1121" s="59">
        <v>2.3157894736842106E-2</v>
      </c>
      <c r="AT1121" s="3">
        <v>9</v>
      </c>
      <c r="AU1121" s="3">
        <v>6</v>
      </c>
      <c r="AV1121" s="57">
        <v>46.165191740412979</v>
      </c>
      <c r="AW1121" s="57">
        <v>16.666666666666664</v>
      </c>
      <c r="AX1121" s="57">
        <v>33.775811209439524</v>
      </c>
      <c r="AY1121" s="73">
        <v>3.3923303834808261</v>
      </c>
      <c r="AZ1121" s="63">
        <v>0</v>
      </c>
      <c r="BA1121" s="61">
        <v>0.15751789976133651</v>
      </c>
      <c r="BB1121" s="77">
        <v>93.483651563994499</v>
      </c>
      <c r="BC1121" s="77">
        <v>31.367415109503753</v>
      </c>
      <c r="BD1121" s="3"/>
      <c r="BE1121" s="3"/>
      <c r="BF1121" s="3"/>
      <c r="BG1121" s="3"/>
      <c r="BH1121" s="3"/>
      <c r="BI1121" s="3"/>
      <c r="BJ1121" s="88">
        <v>19.600000000000001</v>
      </c>
      <c r="BK1121" s="126">
        <v>8571</v>
      </c>
      <c r="BL1121" s="126">
        <v>51035</v>
      </c>
      <c r="BM1121" s="126">
        <v>49132</v>
      </c>
      <c r="BN1121" s="126">
        <v>43146</v>
      </c>
      <c r="BO1121" s="59">
        <v>0.02</v>
      </c>
      <c r="BP1121" s="63">
        <v>0.36499999999999999</v>
      </c>
      <c r="BQ1121" s="63">
        <v>0.23899999999999999</v>
      </c>
      <c r="BR1121" s="63">
        <v>0</v>
      </c>
      <c r="BS1121" s="63">
        <v>0.01</v>
      </c>
      <c r="BT1121" s="88">
        <v>12.1</v>
      </c>
      <c r="BU1121" s="59">
        <f t="shared" si="80"/>
        <v>0.63400000000000001</v>
      </c>
      <c r="BV1121" s="59">
        <v>0.04</v>
      </c>
      <c r="BW1121" s="63">
        <v>0.01</v>
      </c>
      <c r="BX1121" s="63">
        <v>2.7400000000000001E-2</v>
      </c>
      <c r="BY1121" s="63">
        <v>0</v>
      </c>
      <c r="BZ1121" s="63">
        <v>0</v>
      </c>
      <c r="CA1121" s="88">
        <v>16.399999999999999</v>
      </c>
      <c r="CB1121" s="59">
        <f t="shared" si="81"/>
        <v>7.7399999999999997E-2</v>
      </c>
      <c r="CC1121" s="59">
        <v>0.28349999999999997</v>
      </c>
      <c r="CD1121" s="63">
        <v>0.38500000000000001</v>
      </c>
      <c r="CE1121" s="63">
        <v>0.32150000000000001</v>
      </c>
      <c r="CF1121" s="63">
        <v>0</v>
      </c>
      <c r="CG1121" s="63">
        <v>0.01</v>
      </c>
      <c r="CH1121" s="88">
        <v>11.9</v>
      </c>
      <c r="CI1121" s="26" t="s">
        <v>269</v>
      </c>
      <c r="CJ1121" s="18" t="s">
        <v>505</v>
      </c>
      <c r="CK1121" s="20"/>
    </row>
    <row r="1122" spans="1:89" x14ac:dyDescent="0.25">
      <c r="A1122" s="18" t="s">
        <v>505</v>
      </c>
      <c r="B1122" s="19" t="s">
        <v>270</v>
      </c>
      <c r="C1122" s="26" t="s">
        <v>271</v>
      </c>
      <c r="D1122" s="6">
        <v>11</v>
      </c>
      <c r="E1122" s="40" t="s">
        <v>83</v>
      </c>
      <c r="F1122" s="6">
        <v>11</v>
      </c>
      <c r="N1122" s="119">
        <v>2.57009345794393E-2</v>
      </c>
      <c r="O1122" s="119">
        <v>2.57009345794393E-2</v>
      </c>
      <c r="P1122" s="116" t="s">
        <v>83</v>
      </c>
      <c r="Q1122" s="116" t="s">
        <v>83</v>
      </c>
      <c r="R1122" s="116" t="s">
        <v>83</v>
      </c>
      <c r="S1122" s="119">
        <v>1.9801980198019799E-2</v>
      </c>
      <c r="T1122" s="119">
        <v>2.5862068965517199E-2</v>
      </c>
      <c r="U1122" s="119">
        <v>3.77358490566038E-2</v>
      </c>
      <c r="V1122" s="119">
        <v>1.9047619047619001E-2</v>
      </c>
      <c r="W1122" s="6">
        <v>389</v>
      </c>
      <c r="X1122" s="40">
        <f t="shared" si="78"/>
        <v>389</v>
      </c>
      <c r="Y1122" s="40">
        <f t="shared" si="79"/>
        <v>389</v>
      </c>
      <c r="Z1122" s="59">
        <v>0.49099999999999999</v>
      </c>
      <c r="AA1122" s="59">
        <v>0.50900000000000001</v>
      </c>
      <c r="AB1122" s="61">
        <v>0</v>
      </c>
      <c r="AC1122" s="61">
        <v>1.2853470437017995E-2</v>
      </c>
      <c r="AD1122" s="61">
        <v>0.95372750642673521</v>
      </c>
      <c r="AE1122" s="61">
        <v>2.5706940874035988E-3</v>
      </c>
      <c r="AF1122" s="61">
        <v>0</v>
      </c>
      <c r="AG1122" s="61">
        <v>3.0848329048843187E-2</v>
      </c>
      <c r="AH1122" s="61">
        <v>0</v>
      </c>
      <c r="AI1122" s="61">
        <v>0.96915167095115684</v>
      </c>
      <c r="AJ1122" s="59">
        <v>0.90229999999999999</v>
      </c>
      <c r="AK1122" s="59">
        <v>0</v>
      </c>
      <c r="AL1122" s="3">
        <v>0</v>
      </c>
      <c r="AM1122" s="3">
        <v>0</v>
      </c>
      <c r="AN1122" s="3">
        <v>0</v>
      </c>
      <c r="AO1122" s="3">
        <v>86</v>
      </c>
      <c r="AP1122" s="3">
        <v>109</v>
      </c>
      <c r="AQ1122" s="3">
        <v>96</v>
      </c>
      <c r="AR1122" s="3">
        <v>98</v>
      </c>
      <c r="AS1122" s="59">
        <v>0</v>
      </c>
      <c r="AT1122" s="3">
        <v>9</v>
      </c>
      <c r="AU1122" s="3">
        <v>6</v>
      </c>
      <c r="AV1122" s="49">
        <v>64.018691588785003</v>
      </c>
      <c r="AW1122" s="49">
        <v>18.224299065420599</v>
      </c>
      <c r="AX1122" s="49">
        <v>15.887850467289699</v>
      </c>
      <c r="AY1122" s="67">
        <v>1.86915887850467</v>
      </c>
      <c r="AZ1122" s="63">
        <v>3.7470725995316159E-2</v>
      </c>
      <c r="BA1122" s="63">
        <v>0.12412177985948478</v>
      </c>
      <c r="BB1122" s="77">
        <v>87.328281894905402</v>
      </c>
      <c r="BC1122" s="49">
        <v>80.232558139534902</v>
      </c>
      <c r="BD1122" s="3"/>
      <c r="BE1122" s="3"/>
      <c r="BF1122" s="3"/>
      <c r="BG1122" s="3"/>
      <c r="BH1122" s="3"/>
      <c r="BI1122" s="3"/>
      <c r="BJ1122" s="88">
        <v>16.7</v>
      </c>
      <c r="BK1122" s="126">
        <v>13461</v>
      </c>
      <c r="BL1122" s="126">
        <v>46520</v>
      </c>
      <c r="BM1122" s="126">
        <v>37172</v>
      </c>
      <c r="BN1122" s="126">
        <v>35905</v>
      </c>
      <c r="BO1122" s="59">
        <v>1.29E-2</v>
      </c>
      <c r="BP1122" s="63">
        <v>0.19839999999999999</v>
      </c>
      <c r="BQ1122" s="63">
        <v>0.2258</v>
      </c>
      <c r="BR1122" s="63">
        <v>0</v>
      </c>
      <c r="BS1122" s="63">
        <v>2.1999999999999999E-2</v>
      </c>
      <c r="BT1122" s="88">
        <v>22.1</v>
      </c>
      <c r="BU1122" s="59">
        <f t="shared" si="80"/>
        <v>0.45910000000000001</v>
      </c>
      <c r="BV1122" s="59">
        <v>4.41E-2</v>
      </c>
      <c r="BW1122" s="63">
        <v>0</v>
      </c>
      <c r="BX1122" s="63">
        <v>4.8300000000000003E-2</v>
      </c>
      <c r="BY1122" s="63">
        <v>0</v>
      </c>
      <c r="BZ1122" s="63">
        <v>0</v>
      </c>
      <c r="CA1122" s="87">
        <v>20</v>
      </c>
      <c r="CB1122" s="59">
        <f t="shared" si="81"/>
        <v>9.240000000000001E-2</v>
      </c>
      <c r="CC1122" s="59">
        <v>0.37509999999999999</v>
      </c>
      <c r="CD1122" s="63">
        <v>0.24249999999999999</v>
      </c>
      <c r="CE1122" s="63">
        <v>0.33829999999999999</v>
      </c>
      <c r="CF1122" s="63">
        <v>0</v>
      </c>
      <c r="CG1122" s="63">
        <v>4.41E-2</v>
      </c>
      <c r="CH1122" s="87">
        <v>17</v>
      </c>
      <c r="CI1122" s="26" t="s">
        <v>271</v>
      </c>
      <c r="CJ1122" s="18" t="s">
        <v>505</v>
      </c>
      <c r="CK1122" s="20"/>
    </row>
    <row r="1123" spans="1:89" x14ac:dyDescent="0.25">
      <c r="A1123" s="18" t="s">
        <v>505</v>
      </c>
      <c r="B1123" s="19" t="s">
        <v>272</v>
      </c>
      <c r="C1123" s="26" t="s">
        <v>273</v>
      </c>
      <c r="D1123" s="6">
        <v>71</v>
      </c>
      <c r="E1123" s="6">
        <v>3</v>
      </c>
      <c r="F1123" s="6">
        <v>68</v>
      </c>
      <c r="N1123" s="119">
        <v>7.2970195272353502E-2</v>
      </c>
      <c r="O1123" s="119">
        <v>8.5213032581453602E-2</v>
      </c>
      <c r="P1123" s="116" t="s">
        <v>83</v>
      </c>
      <c r="Q1123" s="119">
        <v>1.7142857142857099E-2</v>
      </c>
      <c r="R1123" s="116" t="s">
        <v>83</v>
      </c>
      <c r="S1123" s="119">
        <v>7.7625570776255703E-2</v>
      </c>
      <c r="T1123" s="119">
        <v>4.7210300429184601E-2</v>
      </c>
      <c r="U1123" s="119">
        <v>9.9447513812154706E-2</v>
      </c>
      <c r="V1123" s="119">
        <v>0.134146341463415</v>
      </c>
      <c r="W1123" s="6">
        <v>846</v>
      </c>
      <c r="X1123" s="40">
        <f t="shared" si="78"/>
        <v>695</v>
      </c>
      <c r="Y1123" s="40">
        <f t="shared" si="79"/>
        <v>846</v>
      </c>
      <c r="Z1123" s="59">
        <v>0.49170000000000003</v>
      </c>
      <c r="AA1123" s="59">
        <v>0.50829999999999997</v>
      </c>
      <c r="AB1123" s="61">
        <v>0</v>
      </c>
      <c r="AC1123" s="61">
        <v>2.3640661938534278E-3</v>
      </c>
      <c r="AD1123" s="61">
        <v>0.90307328605200943</v>
      </c>
      <c r="AE1123" s="61">
        <v>4.7281323877068557E-3</v>
      </c>
      <c r="AF1123" s="61">
        <v>1.1820330969267139E-3</v>
      </c>
      <c r="AG1123" s="61">
        <v>7.8014184397163122E-2</v>
      </c>
      <c r="AH1123" s="61">
        <v>1.0638297872340425E-2</v>
      </c>
      <c r="AI1123" s="61">
        <v>0.92198581560283688</v>
      </c>
      <c r="AJ1123" s="59">
        <v>0.79310000000000003</v>
      </c>
      <c r="AK1123" s="59">
        <v>2.3999999999999998E-3</v>
      </c>
      <c r="AL1123" s="3">
        <v>0</v>
      </c>
      <c r="AM1123" s="3">
        <v>151</v>
      </c>
      <c r="AN1123" s="3">
        <v>0</v>
      </c>
      <c r="AO1123" s="3">
        <v>184</v>
      </c>
      <c r="AP1123" s="3">
        <v>211</v>
      </c>
      <c r="AQ1123" s="3">
        <v>152</v>
      </c>
      <c r="AR1123" s="3">
        <v>148</v>
      </c>
      <c r="AS1123" s="59">
        <v>0</v>
      </c>
      <c r="AT1123" s="3">
        <v>8</v>
      </c>
      <c r="AU1123" s="1">
        <v>6</v>
      </c>
      <c r="AV1123" s="49">
        <v>67.954545454545496</v>
      </c>
      <c r="AW1123" s="49">
        <v>23.863636363636402</v>
      </c>
      <c r="AX1123" s="49">
        <v>8.1818181818181799</v>
      </c>
      <c r="AY1123" s="74">
        <v>0</v>
      </c>
      <c r="AZ1123" s="63">
        <v>0.1791359325605901</v>
      </c>
      <c r="BA1123" s="63">
        <v>0.24552160168598525</v>
      </c>
      <c r="BB1123" s="77">
        <v>88.942443694918893</v>
      </c>
      <c r="BC1123" s="49">
        <v>74.581589958159</v>
      </c>
      <c r="BD1123" s="3"/>
      <c r="BE1123" s="3"/>
      <c r="BF1123" s="3"/>
      <c r="BG1123" s="3"/>
      <c r="BH1123" s="3"/>
      <c r="BI1123" s="3"/>
      <c r="BJ1123" s="88">
        <v>16.399999999999999</v>
      </c>
      <c r="BK1123" s="126">
        <v>15069</v>
      </c>
      <c r="BL1123" s="126">
        <v>50599</v>
      </c>
      <c r="BM1123" s="126">
        <v>47245</v>
      </c>
      <c r="BN1123" s="126">
        <v>42359</v>
      </c>
      <c r="BO1123" s="59">
        <v>0</v>
      </c>
      <c r="BP1123" s="63">
        <v>0.40089999999999998</v>
      </c>
      <c r="BQ1123" s="63">
        <v>0.16569999999999999</v>
      </c>
      <c r="BR1123" s="63">
        <v>0</v>
      </c>
      <c r="BS1123" s="63">
        <v>0</v>
      </c>
      <c r="BT1123" s="88">
        <v>15.9</v>
      </c>
      <c r="BU1123" s="59">
        <f t="shared" si="80"/>
        <v>0.56659999999999999</v>
      </c>
      <c r="BV1123" s="59">
        <v>4.1200000000000001E-2</v>
      </c>
      <c r="BW1123" s="63">
        <v>0</v>
      </c>
      <c r="BX1123" s="63">
        <v>4.6100000000000002E-2</v>
      </c>
      <c r="BY1123" s="63">
        <v>0</v>
      </c>
      <c r="BZ1123" s="63">
        <v>0</v>
      </c>
      <c r="CA1123" s="88">
        <v>19.7</v>
      </c>
      <c r="CB1123" s="59">
        <f t="shared" si="81"/>
        <v>8.7300000000000003E-2</v>
      </c>
      <c r="CC1123" s="59">
        <v>0.23430000000000001</v>
      </c>
      <c r="CD1123" s="63">
        <v>0.49099999999999999</v>
      </c>
      <c r="CE1123" s="63">
        <v>0.26369999999999999</v>
      </c>
      <c r="CF1123" s="63">
        <v>0</v>
      </c>
      <c r="CG1123" s="63">
        <v>1.09E-2</v>
      </c>
      <c r="CH1123" s="88">
        <v>15.2</v>
      </c>
      <c r="CI1123" s="26" t="s">
        <v>273</v>
      </c>
      <c r="CJ1123" s="18" t="s">
        <v>505</v>
      </c>
      <c r="CK1123" s="20"/>
    </row>
    <row r="1124" spans="1:89" x14ac:dyDescent="0.25">
      <c r="A1124" s="18" t="s">
        <v>505</v>
      </c>
      <c r="B1124" s="19" t="s">
        <v>272</v>
      </c>
      <c r="C1124" s="26" t="s">
        <v>274</v>
      </c>
      <c r="D1124" s="6">
        <v>11</v>
      </c>
      <c r="E1124" s="6">
        <v>0</v>
      </c>
      <c r="F1124" s="6">
        <v>11</v>
      </c>
      <c r="N1124" s="119">
        <v>1.9298245614035099E-2</v>
      </c>
      <c r="O1124" s="119">
        <v>2.9972752043596701E-2</v>
      </c>
      <c r="P1124" s="119">
        <v>0</v>
      </c>
      <c r="Q1124" s="119">
        <v>0</v>
      </c>
      <c r="R1124" s="116" t="s">
        <v>83</v>
      </c>
      <c r="S1124" s="119">
        <v>8.9285714285714298E-3</v>
      </c>
      <c r="T1124" s="119">
        <v>2.8571428571428598E-2</v>
      </c>
      <c r="U1124" s="119">
        <v>7.69230769230769E-2</v>
      </c>
      <c r="V1124" s="119">
        <v>1.38888888888889E-2</v>
      </c>
      <c r="W1124" s="6">
        <v>972</v>
      </c>
      <c r="X1124" s="40">
        <f t="shared" si="78"/>
        <v>345</v>
      </c>
      <c r="Y1124" s="40">
        <f t="shared" si="79"/>
        <v>537</v>
      </c>
      <c r="Z1124" s="59">
        <v>0.51029999999999998</v>
      </c>
      <c r="AA1124" s="59">
        <v>0.48970000000000002</v>
      </c>
      <c r="AB1124" s="61">
        <v>2.05761316872428E-3</v>
      </c>
      <c r="AC1124" s="61">
        <v>1.02880658436214E-3</v>
      </c>
      <c r="AD1124" s="61">
        <v>0.13786008230452676</v>
      </c>
      <c r="AE1124" s="61">
        <v>1.131687242798354E-2</v>
      </c>
      <c r="AF1124" s="61">
        <v>0</v>
      </c>
      <c r="AG1124" s="61">
        <v>0.83950617283950613</v>
      </c>
      <c r="AH1124" s="61">
        <v>8.23045267489712E-3</v>
      </c>
      <c r="AI1124" s="61">
        <v>0.16049382716049382</v>
      </c>
      <c r="AJ1124" s="59">
        <v>0.58540000000000003</v>
      </c>
      <c r="AK1124" s="59">
        <v>5.1000000000000004E-3</v>
      </c>
      <c r="AL1124" s="3">
        <v>90</v>
      </c>
      <c r="AM1124" s="3">
        <v>102</v>
      </c>
      <c r="AN1124" s="3">
        <v>0</v>
      </c>
      <c r="AO1124" s="3">
        <v>103</v>
      </c>
      <c r="AP1124" s="3">
        <v>98</v>
      </c>
      <c r="AQ1124" s="3">
        <v>76</v>
      </c>
      <c r="AR1124" s="3">
        <v>68</v>
      </c>
      <c r="AS1124" s="59">
        <v>0</v>
      </c>
      <c r="AT1124" s="3">
        <v>1</v>
      </c>
      <c r="AU1124" s="3">
        <v>3</v>
      </c>
      <c r="AV1124" s="49">
        <v>81.698389458272302</v>
      </c>
      <c r="AW1124" s="49">
        <v>15.226939970717401</v>
      </c>
      <c r="AX1124" s="49">
        <v>1.02489019033675</v>
      </c>
      <c r="AY1124" s="67">
        <v>2.0497803806735</v>
      </c>
      <c r="AZ1124" s="63">
        <v>4.8180924287118974E-2</v>
      </c>
      <c r="BA1124" s="63">
        <v>2.2615535889872172E-2</v>
      </c>
      <c r="BB1124" s="78">
        <v>92.4336895349347</v>
      </c>
      <c r="BC1124" s="49">
        <v>77.231695085255794</v>
      </c>
      <c r="BD1124" s="3"/>
      <c r="BE1124" s="3"/>
      <c r="BF1124" s="3"/>
      <c r="BG1124" s="3"/>
      <c r="BH1124" s="3"/>
      <c r="BI1124" s="3"/>
      <c r="BJ1124" s="88">
        <v>19.899999999999999</v>
      </c>
      <c r="BK1124" s="88"/>
      <c r="BL1124" s="88"/>
      <c r="BM1124" s="88"/>
      <c r="BN1124" s="88"/>
      <c r="BO1124" s="63"/>
      <c r="BP1124" s="63"/>
      <c r="BQ1124" s="63"/>
      <c r="BR1124" s="63"/>
      <c r="BS1124" s="63"/>
      <c r="BT1124" s="88"/>
      <c r="BU1124" s="59"/>
      <c r="BV1124" s="63"/>
      <c r="BW1124" s="63"/>
      <c r="BX1124" s="63"/>
      <c r="BY1124" s="63"/>
      <c r="BZ1124" s="63"/>
      <c r="CA1124" s="88"/>
      <c r="CB1124" s="59"/>
      <c r="CC1124" s="63"/>
      <c r="CD1124" s="63"/>
      <c r="CE1124" s="63"/>
      <c r="CF1124" s="63"/>
      <c r="CG1124" s="63"/>
      <c r="CH1124" s="88"/>
      <c r="CI1124" s="26" t="s">
        <v>274</v>
      </c>
      <c r="CJ1124" s="18" t="s">
        <v>505</v>
      </c>
      <c r="CK1124" s="28" t="s">
        <v>511</v>
      </c>
    </row>
    <row r="1125" spans="1:89" x14ac:dyDescent="0.25">
      <c r="A1125" s="18" t="s">
        <v>505</v>
      </c>
      <c r="B1125" s="19" t="s">
        <v>275</v>
      </c>
      <c r="C1125" s="26" t="s">
        <v>276</v>
      </c>
      <c r="D1125" s="6">
        <v>42</v>
      </c>
      <c r="E1125" s="40" t="s">
        <v>83</v>
      </c>
      <c r="F1125" s="6">
        <v>42</v>
      </c>
      <c r="N1125" s="119">
        <v>2.9370629370629401E-2</v>
      </c>
      <c r="O1125" s="119">
        <v>2.9370629370629401E-2</v>
      </c>
      <c r="P1125" s="116" t="s">
        <v>83</v>
      </c>
      <c r="Q1125" s="116" t="s">
        <v>83</v>
      </c>
      <c r="R1125" s="116" t="s">
        <v>83</v>
      </c>
      <c r="S1125" s="119">
        <v>2.2113022113022102E-2</v>
      </c>
      <c r="T1125" s="119">
        <v>3.00751879699248E-2</v>
      </c>
      <c r="U1125" s="119">
        <v>2.8662420382165599E-2</v>
      </c>
      <c r="V1125" s="119">
        <v>3.8709677419354799E-2</v>
      </c>
      <c r="W1125" s="6">
        <v>1339</v>
      </c>
      <c r="X1125" s="40">
        <f t="shared" si="78"/>
        <v>1339</v>
      </c>
      <c r="Y1125" s="40">
        <f t="shared" si="79"/>
        <v>1339</v>
      </c>
      <c r="Z1125" s="59">
        <v>0.49370000000000003</v>
      </c>
      <c r="AA1125" s="59">
        <v>0.50629999999999997</v>
      </c>
      <c r="AB1125" s="61">
        <v>1.1202389843166542E-2</v>
      </c>
      <c r="AC1125" s="61">
        <v>3.7341299477221808E-3</v>
      </c>
      <c r="AD1125" s="61">
        <v>0.57953696788648246</v>
      </c>
      <c r="AE1125" s="61">
        <v>1.9417475728155338E-2</v>
      </c>
      <c r="AF1125" s="61">
        <v>0</v>
      </c>
      <c r="AG1125" s="61">
        <v>0.36743838685586261</v>
      </c>
      <c r="AH1125" s="61">
        <v>1.8670649738610903E-2</v>
      </c>
      <c r="AI1125" s="61">
        <v>0.63256161314413739</v>
      </c>
      <c r="AJ1125" s="59">
        <v>0.66469999999999996</v>
      </c>
      <c r="AK1125" s="59">
        <v>7.4999999999999997E-3</v>
      </c>
      <c r="AL1125" s="3">
        <v>0</v>
      </c>
      <c r="AM1125" s="3">
        <v>0</v>
      </c>
      <c r="AN1125" s="3">
        <v>0</v>
      </c>
      <c r="AO1125" s="3">
        <v>373</v>
      </c>
      <c r="AP1125" s="3">
        <v>377</v>
      </c>
      <c r="AQ1125" s="3">
        <v>301</v>
      </c>
      <c r="AR1125" s="3">
        <v>288</v>
      </c>
      <c r="AS1125" s="59">
        <v>0</v>
      </c>
      <c r="AT1125" s="3">
        <v>9</v>
      </c>
      <c r="AU1125" s="3">
        <v>6</v>
      </c>
      <c r="AV1125" s="49">
        <v>51.839999999999996</v>
      </c>
      <c r="AW1125" s="49">
        <v>25.119999999999997</v>
      </c>
      <c r="AX1125" s="49">
        <v>21.12</v>
      </c>
      <c r="AY1125" s="67">
        <v>1.92</v>
      </c>
      <c r="AZ1125" s="63">
        <v>0.29257950530035337</v>
      </c>
      <c r="BA1125" s="63">
        <v>0.24381625441696114</v>
      </c>
      <c r="BB1125" s="77">
        <v>93.323192680675504</v>
      </c>
      <c r="BC1125" s="49">
        <v>46.798029556650199</v>
      </c>
      <c r="BD1125" s="3"/>
      <c r="BE1125" s="3"/>
      <c r="BF1125" s="3"/>
      <c r="BG1125" s="3"/>
      <c r="BH1125" s="3"/>
      <c r="BI1125" s="3"/>
      <c r="BJ1125" s="88">
        <v>18.7</v>
      </c>
      <c r="BK1125" s="126">
        <v>10802</v>
      </c>
      <c r="BL1125" s="126">
        <v>53833</v>
      </c>
      <c r="BM1125" s="126">
        <v>46131</v>
      </c>
      <c r="BN1125" s="126">
        <v>46969</v>
      </c>
      <c r="BO1125" s="59">
        <v>8.2000000000000007E-3</v>
      </c>
      <c r="BP1125" s="63">
        <v>0.37180000000000002</v>
      </c>
      <c r="BQ1125" s="63">
        <v>0.27989999999999998</v>
      </c>
      <c r="BR1125" s="63">
        <v>0</v>
      </c>
      <c r="BS1125" s="63">
        <v>8.2000000000000007E-3</v>
      </c>
      <c r="BT1125" s="88">
        <v>12.9</v>
      </c>
      <c r="BU1125" s="59">
        <f t="shared" si="80"/>
        <v>0.66809999999999992</v>
      </c>
      <c r="BV1125" s="59">
        <v>2.4400000000000002E-2</v>
      </c>
      <c r="BW1125" s="63">
        <v>2.4299999999999999E-2</v>
      </c>
      <c r="BX1125" s="63">
        <v>1.7299999999999999E-2</v>
      </c>
      <c r="BY1125" s="63">
        <v>0</v>
      </c>
      <c r="BZ1125" s="63">
        <v>0</v>
      </c>
      <c r="CA1125" s="88">
        <v>19.600000000000001</v>
      </c>
      <c r="CB1125" s="59">
        <f t="shared" si="81"/>
        <v>6.6000000000000003E-2</v>
      </c>
      <c r="CC1125" s="59">
        <v>0.22470000000000001</v>
      </c>
      <c r="CD1125" s="63">
        <v>0.41249999999999998</v>
      </c>
      <c r="CE1125" s="63">
        <v>0.34639999999999999</v>
      </c>
      <c r="CF1125" s="63">
        <v>8.2000000000000007E-3</v>
      </c>
      <c r="CG1125" s="63">
        <v>8.2000000000000007E-3</v>
      </c>
      <c r="CH1125" s="88">
        <v>14.2</v>
      </c>
      <c r="CI1125" s="26" t="s">
        <v>276</v>
      </c>
      <c r="CJ1125" s="18" t="s">
        <v>505</v>
      </c>
      <c r="CK1125" s="20"/>
    </row>
    <row r="1126" spans="1:89" x14ac:dyDescent="0.25">
      <c r="A1126" s="18" t="s">
        <v>505</v>
      </c>
      <c r="B1126" s="19" t="s">
        <v>275</v>
      </c>
      <c r="C1126" s="26" t="s">
        <v>494</v>
      </c>
      <c r="D1126" s="6">
        <v>3</v>
      </c>
      <c r="E1126" s="6">
        <v>0</v>
      </c>
      <c r="F1126" s="6">
        <v>3</v>
      </c>
      <c r="N1126" s="119">
        <v>6.41025641025641E-3</v>
      </c>
      <c r="O1126" s="119">
        <v>8.9552238805970207E-3</v>
      </c>
      <c r="P1126" s="119">
        <v>0</v>
      </c>
      <c r="Q1126" s="119">
        <v>0</v>
      </c>
      <c r="R1126" s="116" t="s">
        <v>83</v>
      </c>
      <c r="S1126" s="119">
        <v>0</v>
      </c>
      <c r="T1126" s="119">
        <v>1.0638297872340399E-2</v>
      </c>
      <c r="U1126" s="119">
        <v>1.4285714285714299E-2</v>
      </c>
      <c r="V1126" s="119">
        <v>1.1111111111111099E-2</v>
      </c>
      <c r="W1126" s="6">
        <v>438</v>
      </c>
      <c r="X1126" s="40">
        <f t="shared" si="78"/>
        <v>318</v>
      </c>
      <c r="Y1126" s="40">
        <f t="shared" si="79"/>
        <v>438</v>
      </c>
      <c r="Z1126" s="59">
        <v>0.45429999999999998</v>
      </c>
      <c r="AA1126" s="59">
        <v>0.54569999999999996</v>
      </c>
      <c r="AB1126" s="61">
        <v>0</v>
      </c>
      <c r="AC1126" s="61">
        <v>2.2831050228310501E-3</v>
      </c>
      <c r="AD1126" s="61">
        <v>0.5365296803652968</v>
      </c>
      <c r="AE1126" s="61">
        <v>6.8493150684931503E-3</v>
      </c>
      <c r="AF1126" s="61">
        <v>0</v>
      </c>
      <c r="AG1126" s="61">
        <v>0.4269406392694064</v>
      </c>
      <c r="AH1126" s="61">
        <v>2.7397260273972601E-2</v>
      </c>
      <c r="AI1126" s="61">
        <v>0.5730593607305936</v>
      </c>
      <c r="AJ1126" s="59">
        <v>0.78080000000000005</v>
      </c>
      <c r="AK1126" s="59">
        <v>6.7999999999999996E-3</v>
      </c>
      <c r="AL1126" s="3">
        <v>53</v>
      </c>
      <c r="AM1126" s="3">
        <v>67</v>
      </c>
      <c r="AN1126" s="3">
        <v>0</v>
      </c>
      <c r="AO1126" s="3">
        <v>78</v>
      </c>
      <c r="AP1126" s="3">
        <v>90</v>
      </c>
      <c r="AQ1126" s="3">
        <v>66</v>
      </c>
      <c r="AR1126" s="3">
        <v>84</v>
      </c>
      <c r="AS1126" s="59">
        <v>0</v>
      </c>
      <c r="AT1126" s="3">
        <v>7</v>
      </c>
      <c r="AU1126" s="3">
        <v>6</v>
      </c>
      <c r="AV1126" s="49">
        <v>81.1023622047244</v>
      </c>
      <c r="AW1126" s="49">
        <v>11.0236220472441</v>
      </c>
      <c r="AX1126" s="49">
        <v>6.0367454068241493</v>
      </c>
      <c r="AY1126" s="67">
        <v>1.8372703412073501</v>
      </c>
      <c r="AZ1126" s="63">
        <v>4.2735042735042739E-3</v>
      </c>
      <c r="BA1126" s="63">
        <v>0.24786324786324787</v>
      </c>
      <c r="BB1126" s="78">
        <v>91.861690912924303</v>
      </c>
      <c r="BC1126" s="49">
        <v>60.593220338983102</v>
      </c>
      <c r="BD1126" s="3"/>
      <c r="BE1126" s="3"/>
      <c r="BF1126" s="3"/>
      <c r="BG1126" s="3"/>
      <c r="BH1126" s="3"/>
      <c r="BI1126" s="3"/>
      <c r="BJ1126" s="88">
        <v>17.2</v>
      </c>
      <c r="BK1126" s="126">
        <v>10754</v>
      </c>
      <c r="BL1126" s="126">
        <v>53456</v>
      </c>
      <c r="BM1126" s="126">
        <v>46226</v>
      </c>
      <c r="BN1126" s="126">
        <v>44147</v>
      </c>
      <c r="BO1126" s="59">
        <v>2.3400000000000001E-2</v>
      </c>
      <c r="BP1126" s="63">
        <v>0.34029999999999999</v>
      </c>
      <c r="BQ1126" s="63">
        <v>0.2392</v>
      </c>
      <c r="BR1126" s="63">
        <v>0</v>
      </c>
      <c r="BS1126" s="63">
        <v>0</v>
      </c>
      <c r="BT1126" s="88">
        <v>13.4</v>
      </c>
      <c r="BU1126" s="59">
        <f t="shared" si="80"/>
        <v>0.60289999999999999</v>
      </c>
      <c r="BV1126" s="59">
        <v>4.7699999999999999E-2</v>
      </c>
      <c r="BW1126" s="63">
        <v>0</v>
      </c>
      <c r="BX1126" s="63">
        <v>4.9799999999999997E-2</v>
      </c>
      <c r="BY1126" s="63">
        <v>0</v>
      </c>
      <c r="BZ1126" s="63">
        <v>0</v>
      </c>
      <c r="CA1126" s="88">
        <v>20.3</v>
      </c>
      <c r="CB1126" s="59">
        <f t="shared" si="81"/>
        <v>9.7500000000000003E-2</v>
      </c>
      <c r="CC1126" s="59">
        <v>0.30030000000000001</v>
      </c>
      <c r="CD1126" s="63">
        <v>0.38800000000000001</v>
      </c>
      <c r="CE1126" s="63">
        <v>0.31169999999999998</v>
      </c>
      <c r="CF1126" s="63">
        <v>0</v>
      </c>
      <c r="CG1126" s="63">
        <v>0</v>
      </c>
      <c r="CH1126" s="88">
        <v>16.2</v>
      </c>
      <c r="CI1126" s="26" t="s">
        <v>494</v>
      </c>
      <c r="CJ1126" s="18" t="s">
        <v>505</v>
      </c>
      <c r="CK1126" s="20"/>
    </row>
    <row r="1127" spans="1:89" x14ac:dyDescent="0.25">
      <c r="A1127" s="18" t="s">
        <v>505</v>
      </c>
      <c r="B1127" s="19" t="s">
        <v>512</v>
      </c>
      <c r="C1127" s="26" t="s">
        <v>279</v>
      </c>
      <c r="D1127" s="6">
        <v>5</v>
      </c>
      <c r="E1127" s="40" t="s">
        <v>83</v>
      </c>
      <c r="F1127" s="6">
        <v>5</v>
      </c>
      <c r="N1127" s="119">
        <v>4.9309664694280097E-3</v>
      </c>
      <c r="O1127" s="119">
        <v>4.9309664694280097E-3</v>
      </c>
      <c r="P1127" s="116" t="s">
        <v>83</v>
      </c>
      <c r="Q1127" s="116" t="s">
        <v>83</v>
      </c>
      <c r="R1127" s="119">
        <v>0</v>
      </c>
      <c r="S1127" s="119">
        <v>4.11522633744856E-3</v>
      </c>
      <c r="T1127" s="119">
        <v>7.9681274900398405E-3</v>
      </c>
      <c r="U1127" s="119">
        <v>7.7821011673151804E-3</v>
      </c>
      <c r="V1127" s="119">
        <v>0</v>
      </c>
      <c r="W1127" s="6">
        <v>989</v>
      </c>
      <c r="X1127" s="40">
        <f t="shared" si="78"/>
        <v>989</v>
      </c>
      <c r="Y1127" s="40">
        <f t="shared" si="79"/>
        <v>989</v>
      </c>
      <c r="Z1127" s="59">
        <v>0.53890000000000005</v>
      </c>
      <c r="AA1127" s="59">
        <v>0.46110000000000001</v>
      </c>
      <c r="AB1127" s="61">
        <v>0</v>
      </c>
      <c r="AC1127" s="61">
        <v>2.0222446916076846E-3</v>
      </c>
      <c r="AD1127" s="61">
        <v>0.96865520728008092</v>
      </c>
      <c r="AE1127" s="61">
        <v>2.4266936299292215E-2</v>
      </c>
      <c r="AF1127" s="61">
        <v>0</v>
      </c>
      <c r="AG1127" s="61">
        <v>2.0222446916076846E-3</v>
      </c>
      <c r="AH1127" s="61">
        <v>3.0333670374115269E-3</v>
      </c>
      <c r="AI1127" s="61">
        <v>0.99797775530839228</v>
      </c>
      <c r="AJ1127" s="59">
        <v>0.80279999999999996</v>
      </c>
      <c r="AK1127" s="59">
        <v>1.9199999999999998E-2</v>
      </c>
      <c r="AL1127" s="3">
        <v>0</v>
      </c>
      <c r="AM1127" s="3">
        <v>0</v>
      </c>
      <c r="AN1127" s="3">
        <v>7</v>
      </c>
      <c r="AO1127" s="3">
        <v>240</v>
      </c>
      <c r="AP1127" s="3">
        <v>249</v>
      </c>
      <c r="AQ1127" s="3">
        <v>244</v>
      </c>
      <c r="AR1127" s="3">
        <v>249</v>
      </c>
      <c r="AS1127" s="59">
        <v>2.8340080971659919E-2</v>
      </c>
      <c r="AT1127" s="3">
        <v>9</v>
      </c>
      <c r="AU1127" s="3">
        <v>3</v>
      </c>
      <c r="AV1127" s="49">
        <v>52.676659528907898</v>
      </c>
      <c r="AW1127" s="49">
        <v>29.336188436830803</v>
      </c>
      <c r="AX1127" s="49">
        <v>16.916488222698099</v>
      </c>
      <c r="AY1127" s="67">
        <v>1.0706638115631699</v>
      </c>
      <c r="AZ1127" s="63">
        <v>3.9564787339268048E-2</v>
      </c>
      <c r="BA1127" s="63">
        <v>0.11374876360039565</v>
      </c>
      <c r="BB1127" s="77">
        <v>93.468990956831405</v>
      </c>
      <c r="BC1127" s="49">
        <v>25.024727992087001</v>
      </c>
      <c r="BD1127" s="3"/>
      <c r="BE1127" s="3"/>
      <c r="BF1127" s="3"/>
      <c r="BG1127" s="3"/>
      <c r="BH1127" s="3"/>
      <c r="BI1127" s="3"/>
      <c r="BJ1127" s="88">
        <v>19.100000000000001</v>
      </c>
      <c r="BK1127" s="126">
        <v>19624</v>
      </c>
      <c r="BL1127" s="126">
        <v>49905</v>
      </c>
      <c r="BM1127" s="126">
        <v>70028</v>
      </c>
      <c r="BN1127" s="126">
        <v>48464</v>
      </c>
      <c r="BO1127" s="59">
        <v>0</v>
      </c>
      <c r="BP1127" s="63">
        <v>0.28689999999999999</v>
      </c>
      <c r="BQ1127" s="63">
        <v>0.2606</v>
      </c>
      <c r="BR1127" s="63">
        <v>0</v>
      </c>
      <c r="BS1127" s="63">
        <v>0</v>
      </c>
      <c r="BT1127" s="88">
        <v>13.3</v>
      </c>
      <c r="BU1127" s="59">
        <f t="shared" si="80"/>
        <v>0.54749999999999999</v>
      </c>
      <c r="BV1127" s="59">
        <v>9.5999999999999992E-3</v>
      </c>
      <c r="BW1127" s="63">
        <v>2.87E-2</v>
      </c>
      <c r="BX1127" s="63">
        <v>3.8300000000000001E-2</v>
      </c>
      <c r="BY1127" s="63">
        <v>0</v>
      </c>
      <c r="BZ1127" s="63">
        <v>0</v>
      </c>
      <c r="CA1127" s="88">
        <v>21.9</v>
      </c>
      <c r="CB1127" s="59">
        <f t="shared" si="81"/>
        <v>7.6600000000000001E-2</v>
      </c>
      <c r="CC1127" s="59">
        <v>0.1895</v>
      </c>
      <c r="CD1127" s="63">
        <v>0.4017</v>
      </c>
      <c r="CE1127" s="63">
        <v>0.40889999999999999</v>
      </c>
      <c r="CF1127" s="63">
        <v>0</v>
      </c>
      <c r="CG1127" s="63">
        <v>0</v>
      </c>
      <c r="CH1127" s="88">
        <v>14.8</v>
      </c>
      <c r="CI1127" s="26" t="s">
        <v>279</v>
      </c>
      <c r="CJ1127" s="18" t="s">
        <v>505</v>
      </c>
      <c r="CK1127" s="28" t="s">
        <v>513</v>
      </c>
    </row>
    <row r="1128" spans="1:89" x14ac:dyDescent="0.25">
      <c r="A1128" s="18" t="s">
        <v>505</v>
      </c>
      <c r="B1128" s="19" t="s">
        <v>512</v>
      </c>
      <c r="C1128" s="26" t="s">
        <v>283</v>
      </c>
      <c r="D1128" s="6">
        <v>29</v>
      </c>
      <c r="E1128" s="40" t="s">
        <v>83</v>
      </c>
      <c r="F1128" s="6">
        <v>29</v>
      </c>
      <c r="N1128" s="119">
        <v>3.1453362255965303E-2</v>
      </c>
      <c r="O1128" s="119">
        <v>3.1453362255965303E-2</v>
      </c>
      <c r="P1128" s="116" t="s">
        <v>83</v>
      </c>
      <c r="Q1128" s="116" t="s">
        <v>83</v>
      </c>
      <c r="R1128" s="119">
        <v>0</v>
      </c>
      <c r="S1128" s="119">
        <v>3.9840637450199202E-2</v>
      </c>
      <c r="T1128" s="119">
        <v>5.32544378698225E-2</v>
      </c>
      <c r="U1128" s="119">
        <v>2.7777777777777801E-2</v>
      </c>
      <c r="V1128" s="119">
        <v>1.20481927710843E-2</v>
      </c>
      <c r="W1128" s="6">
        <v>860</v>
      </c>
      <c r="X1128" s="40">
        <f t="shared" si="78"/>
        <v>860</v>
      </c>
      <c r="Y1128" s="40">
        <f t="shared" si="79"/>
        <v>860</v>
      </c>
      <c r="Z1128" s="59">
        <v>0.45929999999999999</v>
      </c>
      <c r="AA1128" s="59">
        <v>0.54069999999999996</v>
      </c>
      <c r="AB1128" s="61">
        <v>0</v>
      </c>
      <c r="AC1128" s="61">
        <v>1.1627906976744186E-3</v>
      </c>
      <c r="AD1128" s="61">
        <v>0.99186046511627912</v>
      </c>
      <c r="AE1128" s="61">
        <v>5.8139534883720929E-3</v>
      </c>
      <c r="AF1128" s="61">
        <v>0</v>
      </c>
      <c r="AG1128" s="61">
        <v>1.1627906976744186E-3</v>
      </c>
      <c r="AH1128" s="61">
        <v>0</v>
      </c>
      <c r="AI1128" s="61">
        <v>0.99883720930232556</v>
      </c>
      <c r="AJ1128" s="59">
        <v>0.91049999999999998</v>
      </c>
      <c r="AK1128" s="59">
        <v>5.7999999999999996E-3</v>
      </c>
      <c r="AL1128" s="3">
        <v>0</v>
      </c>
      <c r="AM1128" s="3">
        <v>0</v>
      </c>
      <c r="AN1128" s="3">
        <v>1</v>
      </c>
      <c r="AO1128" s="3">
        <v>238</v>
      </c>
      <c r="AP1128" s="3">
        <v>173</v>
      </c>
      <c r="AQ1128" s="3">
        <v>202</v>
      </c>
      <c r="AR1128" s="3">
        <v>246</v>
      </c>
      <c r="AS1128" s="59">
        <v>4.1841004184100415E-3</v>
      </c>
      <c r="AT1128" s="3">
        <v>9</v>
      </c>
      <c r="AU1128" s="3">
        <v>3</v>
      </c>
      <c r="AV1128" s="49">
        <v>37.068965517241395</v>
      </c>
      <c r="AW1128" s="49">
        <v>34.7701149425287</v>
      </c>
      <c r="AX1128" s="49">
        <v>25</v>
      </c>
      <c r="AY1128" s="67">
        <v>3.1609195402298904</v>
      </c>
      <c r="AZ1128" s="63">
        <v>4.4052863436123352E-3</v>
      </c>
      <c r="BA1128" s="63">
        <v>0.15088105726872247</v>
      </c>
      <c r="BB1128" s="78">
        <v>94.424624231339493</v>
      </c>
      <c r="BC1128" s="49">
        <v>0.5175983436853</v>
      </c>
      <c r="BD1128" s="3"/>
      <c r="BE1128" s="3"/>
      <c r="BF1128" s="3"/>
      <c r="BG1128" s="3"/>
      <c r="BH1128" s="3"/>
      <c r="BI1128" s="3"/>
      <c r="BJ1128" s="88">
        <v>16.100000000000001</v>
      </c>
      <c r="BK1128" s="126">
        <v>20016</v>
      </c>
      <c r="BL1128" s="126">
        <v>48601</v>
      </c>
      <c r="BM1128" s="126">
        <v>63081</v>
      </c>
      <c r="BN1128" s="126">
        <v>41943</v>
      </c>
      <c r="BO1128" s="59">
        <v>1.9699999999999999E-2</v>
      </c>
      <c r="BP1128" s="63">
        <v>0.25040000000000001</v>
      </c>
      <c r="BQ1128" s="63">
        <v>0.25829999999999997</v>
      </c>
      <c r="BR1128" s="63">
        <v>0</v>
      </c>
      <c r="BS1128" s="63">
        <v>5.3E-3</v>
      </c>
      <c r="BT1128" s="88">
        <v>14.9</v>
      </c>
      <c r="BU1128" s="59">
        <f t="shared" si="80"/>
        <v>0.53369999999999995</v>
      </c>
      <c r="BV1128" s="59">
        <v>2.3300000000000001E-2</v>
      </c>
      <c r="BW1128" s="63">
        <v>2.5399999999999999E-2</v>
      </c>
      <c r="BX1128" s="63">
        <v>3.7999999999999999E-2</v>
      </c>
      <c r="BY1128" s="63">
        <v>0</v>
      </c>
      <c r="BZ1128" s="63">
        <v>0</v>
      </c>
      <c r="CA1128" s="87">
        <v>6</v>
      </c>
      <c r="CB1128" s="59">
        <f t="shared" si="81"/>
        <v>8.6699999999999999E-2</v>
      </c>
      <c r="CC1128" s="59">
        <v>0.27189999999999998</v>
      </c>
      <c r="CD1128" s="63">
        <v>0.35249999999999998</v>
      </c>
      <c r="CE1128" s="63">
        <v>0.36080000000000001</v>
      </c>
      <c r="CF1128" s="63">
        <v>0</v>
      </c>
      <c r="CG1128" s="63">
        <v>1.4800000000000001E-2</v>
      </c>
      <c r="CH1128" s="88">
        <v>10.3</v>
      </c>
      <c r="CI1128" s="26" t="s">
        <v>283</v>
      </c>
      <c r="CJ1128" s="18" t="s">
        <v>505</v>
      </c>
      <c r="CK1128" s="20"/>
    </row>
    <row r="1129" spans="1:89" x14ac:dyDescent="0.25">
      <c r="A1129" s="18" t="s">
        <v>505</v>
      </c>
      <c r="B1129" s="29" t="s">
        <v>512</v>
      </c>
      <c r="C1129" s="29" t="s">
        <v>514</v>
      </c>
      <c r="D1129" s="6" t="s">
        <v>515</v>
      </c>
      <c r="E1129" s="40" t="s">
        <v>83</v>
      </c>
      <c r="F1129" s="6" t="s">
        <v>515</v>
      </c>
      <c r="N1129" s="119">
        <v>0</v>
      </c>
      <c r="O1129" s="119">
        <v>0</v>
      </c>
      <c r="P1129" s="116" t="s">
        <v>83</v>
      </c>
      <c r="Q1129" s="116" t="s">
        <v>83</v>
      </c>
      <c r="R1129" s="116" t="s">
        <v>83</v>
      </c>
      <c r="S1129" s="119">
        <v>0</v>
      </c>
      <c r="T1129" s="116" t="s">
        <v>83</v>
      </c>
      <c r="U1129" s="116" t="s">
        <v>83</v>
      </c>
      <c r="V1129" s="116" t="s">
        <v>83</v>
      </c>
      <c r="W1129" s="6">
        <v>40</v>
      </c>
      <c r="X1129" s="40">
        <f>SUM(AN1129:AR1129)</f>
        <v>40</v>
      </c>
      <c r="Y1129" s="40">
        <f>SUM(AL1129:AR1129)</f>
        <v>40</v>
      </c>
      <c r="Z1129" s="59">
        <v>0.25</v>
      </c>
      <c r="AA1129" s="59">
        <v>0.75</v>
      </c>
      <c r="AB1129" s="61">
        <v>0</v>
      </c>
      <c r="AC1129" s="61">
        <v>0</v>
      </c>
      <c r="AD1129" s="61">
        <f>36/40</f>
        <v>0.9</v>
      </c>
      <c r="AE1129" s="61">
        <f>3/40</f>
        <v>7.4999999999999997E-2</v>
      </c>
      <c r="AF1129" s="61">
        <v>0</v>
      </c>
      <c r="AG1129" s="61">
        <f>1/40</f>
        <v>2.5000000000000001E-2</v>
      </c>
      <c r="AH1129" s="61">
        <v>0</v>
      </c>
      <c r="AI1129" s="61">
        <f>39/40</f>
        <v>0.97499999999999998</v>
      </c>
      <c r="AJ1129" s="59">
        <v>0.77500000000000002</v>
      </c>
      <c r="AK1129" s="59">
        <v>2.5000000000000001E-2</v>
      </c>
      <c r="AL1129" s="3">
        <v>0</v>
      </c>
      <c r="AM1129" s="3">
        <v>0</v>
      </c>
      <c r="AN1129" s="3">
        <v>0</v>
      </c>
      <c r="AO1129" s="3">
        <v>40</v>
      </c>
      <c r="AP1129" s="3">
        <v>0</v>
      </c>
      <c r="AQ1129" s="3">
        <v>0</v>
      </c>
      <c r="AR1129" s="3">
        <v>0</v>
      </c>
      <c r="AS1129" s="59">
        <v>0</v>
      </c>
      <c r="AT1129" s="3">
        <v>9</v>
      </c>
      <c r="AU1129" s="3">
        <v>1</v>
      </c>
      <c r="AV1129" s="50">
        <v>100</v>
      </c>
      <c r="AW1129" s="50">
        <v>0</v>
      </c>
      <c r="AX1129" s="50">
        <v>0</v>
      </c>
      <c r="AY1129" s="74">
        <v>0</v>
      </c>
      <c r="AZ1129" s="63">
        <v>7.4999999999999997E-2</v>
      </c>
      <c r="BA1129" s="63">
        <v>0.1</v>
      </c>
      <c r="BB1129" s="78">
        <v>92.547290570331398</v>
      </c>
      <c r="BC1129" s="49">
        <v>15</v>
      </c>
      <c r="BD1129" s="3"/>
      <c r="BE1129" s="3"/>
      <c r="BF1129" s="3"/>
      <c r="BG1129" s="3"/>
      <c r="BH1129" s="3"/>
      <c r="BI1129" s="3"/>
      <c r="BJ1129" s="49"/>
      <c r="BK1129" s="126">
        <v>33372</v>
      </c>
      <c r="BL1129" s="126">
        <v>59188</v>
      </c>
      <c r="BM1129" s="126">
        <v>76528</v>
      </c>
      <c r="BN1129" s="126">
        <v>66768</v>
      </c>
      <c r="BO1129" s="59">
        <v>0</v>
      </c>
      <c r="BP1129" s="59">
        <v>0.22220000000000001</v>
      </c>
      <c r="BQ1129" s="59">
        <v>0.22220000000000001</v>
      </c>
      <c r="BR1129" s="59">
        <v>0</v>
      </c>
      <c r="BS1129" s="59">
        <v>0</v>
      </c>
      <c r="BT1129" s="49">
        <v>4</v>
      </c>
      <c r="BU1129" s="59">
        <f t="shared" si="80"/>
        <v>0.44440000000000002</v>
      </c>
      <c r="BV1129" s="59">
        <v>0</v>
      </c>
      <c r="BW1129" s="59">
        <v>0.1111</v>
      </c>
      <c r="BX1129" s="59">
        <v>0.22220000000000001</v>
      </c>
      <c r="BY1129" s="59">
        <v>0</v>
      </c>
      <c r="BZ1129" s="59">
        <v>0</v>
      </c>
      <c r="CA1129" s="49">
        <v>16</v>
      </c>
      <c r="CB1129" s="59">
        <f t="shared" si="81"/>
        <v>0.33330000000000004</v>
      </c>
      <c r="CC1129" s="59">
        <v>0</v>
      </c>
      <c r="CD1129" s="59">
        <v>0.44440000000000002</v>
      </c>
      <c r="CE1129" s="59">
        <v>0.55559999999999998</v>
      </c>
      <c r="CF1129" s="59">
        <v>0</v>
      </c>
      <c r="CG1129" s="59">
        <v>0</v>
      </c>
      <c r="CH1129" s="49">
        <v>9.3000000000000007</v>
      </c>
      <c r="CI1129" s="29" t="s">
        <v>514</v>
      </c>
      <c r="CJ1129" s="18" t="s">
        <v>505</v>
      </c>
      <c r="CK1129" s="28" t="s">
        <v>514</v>
      </c>
    </row>
    <row r="1130" spans="1:89" x14ac:dyDescent="0.25">
      <c r="A1130" s="18" t="s">
        <v>505</v>
      </c>
      <c r="B1130" s="19" t="s">
        <v>286</v>
      </c>
      <c r="C1130" s="26" t="s">
        <v>287</v>
      </c>
      <c r="D1130" s="6">
        <v>29</v>
      </c>
      <c r="E1130" s="40" t="s">
        <v>83</v>
      </c>
      <c r="F1130" s="6">
        <v>29</v>
      </c>
      <c r="N1130" s="119">
        <v>2.26209048361934E-2</v>
      </c>
      <c r="O1130" s="119">
        <v>2.26209048361934E-2</v>
      </c>
      <c r="P1130" s="116" t="s">
        <v>83</v>
      </c>
      <c r="Q1130" s="116" t="s">
        <v>83</v>
      </c>
      <c r="R1130" s="116" t="s">
        <v>83</v>
      </c>
      <c r="S1130" s="119">
        <v>1.2232415902140701E-2</v>
      </c>
      <c r="T1130" s="119">
        <v>2.1671826625387001E-2</v>
      </c>
      <c r="U1130" s="119">
        <v>2.1874999999999999E-2</v>
      </c>
      <c r="V1130" s="119">
        <v>3.53697749196141E-2</v>
      </c>
      <c r="W1130" s="6">
        <v>1178</v>
      </c>
      <c r="X1130" s="40">
        <f t="shared" si="78"/>
        <v>1178</v>
      </c>
      <c r="Y1130" s="40">
        <f t="shared" si="79"/>
        <v>1178</v>
      </c>
      <c r="Z1130" s="59">
        <v>0.51870000000000005</v>
      </c>
      <c r="AA1130" s="59">
        <v>0.48130000000000001</v>
      </c>
      <c r="AB1130" s="61">
        <v>0</v>
      </c>
      <c r="AC1130" s="61">
        <v>1.5280135823429542E-2</v>
      </c>
      <c r="AD1130" s="61">
        <v>0.6952461799660441</v>
      </c>
      <c r="AE1130" s="61">
        <v>1.6129032258064516E-2</v>
      </c>
      <c r="AF1130" s="61">
        <v>0</v>
      </c>
      <c r="AG1130" s="61">
        <v>0.25976230899830222</v>
      </c>
      <c r="AH1130" s="61">
        <v>1.3582342954159592E-2</v>
      </c>
      <c r="AI1130" s="61">
        <v>0.74023769100169778</v>
      </c>
      <c r="AJ1130" s="59">
        <v>0.69520000000000004</v>
      </c>
      <c r="AK1130" s="59">
        <v>7.6E-3</v>
      </c>
      <c r="AL1130" s="3">
        <v>0</v>
      </c>
      <c r="AM1130" s="3">
        <v>0</v>
      </c>
      <c r="AN1130" s="3">
        <v>0</v>
      </c>
      <c r="AO1130" s="3">
        <v>292</v>
      </c>
      <c r="AP1130" s="3">
        <v>295</v>
      </c>
      <c r="AQ1130" s="3">
        <v>297</v>
      </c>
      <c r="AR1130" s="3">
        <v>294</v>
      </c>
      <c r="AS1130" s="59">
        <v>0</v>
      </c>
      <c r="AT1130" s="3">
        <v>9</v>
      </c>
      <c r="AU1130" s="3">
        <v>6</v>
      </c>
      <c r="AV1130" s="49">
        <v>79.907264296754306</v>
      </c>
      <c r="AW1130" s="49">
        <v>14.837712519319901</v>
      </c>
      <c r="AX1130" s="49">
        <v>4.9459041731066504</v>
      </c>
      <c r="AY1130" s="67">
        <v>0.30911901081916499</v>
      </c>
      <c r="AZ1130" s="63">
        <v>4.1732283464566929E-2</v>
      </c>
      <c r="BA1130" s="63">
        <v>0.12755905511811025</v>
      </c>
      <c r="BB1130" s="77">
        <v>93.474500627839802</v>
      </c>
      <c r="BC1130" s="49">
        <v>52.594887683965901</v>
      </c>
      <c r="BD1130" s="3"/>
      <c r="BE1130" s="3"/>
      <c r="BF1130" s="3"/>
      <c r="BG1130" s="3"/>
      <c r="BH1130" s="3"/>
      <c r="BI1130" s="3"/>
      <c r="BJ1130" s="88">
        <v>19</v>
      </c>
      <c r="BK1130" s="126">
        <v>10667</v>
      </c>
      <c r="BL1130" s="126">
        <v>52726</v>
      </c>
      <c r="BM1130" s="126">
        <v>51059</v>
      </c>
      <c r="BN1130" s="126">
        <v>41080</v>
      </c>
      <c r="BO1130" s="59">
        <v>0</v>
      </c>
      <c r="BP1130" s="63">
        <v>0.26140000000000002</v>
      </c>
      <c r="BQ1130" s="63">
        <v>0.27360000000000001</v>
      </c>
      <c r="BR1130" s="63">
        <v>0</v>
      </c>
      <c r="BS1130" s="63">
        <v>6.4999999999999997E-3</v>
      </c>
      <c r="BT1130" s="88">
        <v>12.6</v>
      </c>
      <c r="BU1130" s="59">
        <f t="shared" si="80"/>
        <v>0.54149999999999998</v>
      </c>
      <c r="BV1130" s="59">
        <v>3.2300000000000002E-2</v>
      </c>
      <c r="BW1130" s="63">
        <v>0</v>
      </c>
      <c r="BX1130" s="63">
        <v>3.8899999999999997E-2</v>
      </c>
      <c r="BY1130" s="63">
        <v>0</v>
      </c>
      <c r="BZ1130" s="63">
        <v>0</v>
      </c>
      <c r="CA1130" s="88">
        <v>14.1</v>
      </c>
      <c r="CB1130" s="59">
        <f t="shared" si="81"/>
        <v>7.1199999999999999E-2</v>
      </c>
      <c r="CC1130" s="59">
        <v>0.36220000000000002</v>
      </c>
      <c r="CD1130" s="63">
        <v>0.2787</v>
      </c>
      <c r="CE1130" s="63">
        <v>0.35139999999999999</v>
      </c>
      <c r="CF1130" s="63">
        <v>1.2999999999999999E-3</v>
      </c>
      <c r="CG1130" s="63">
        <v>6.4999999999999997E-3</v>
      </c>
      <c r="CH1130" s="87">
        <v>11</v>
      </c>
      <c r="CI1130" s="26" t="s">
        <v>287</v>
      </c>
      <c r="CJ1130" s="18" t="s">
        <v>505</v>
      </c>
      <c r="CK1130" s="20"/>
    </row>
    <row r="1131" spans="1:89" x14ac:dyDescent="0.25">
      <c r="A1131" s="18" t="s">
        <v>505</v>
      </c>
      <c r="B1131" s="19" t="s">
        <v>286</v>
      </c>
      <c r="C1131" s="26" t="s">
        <v>288</v>
      </c>
      <c r="D1131" s="6">
        <v>4</v>
      </c>
      <c r="E1131" s="40" t="s">
        <v>83</v>
      </c>
      <c r="F1131" s="6">
        <v>4</v>
      </c>
      <c r="N1131" s="119">
        <v>7.6628352490421504E-3</v>
      </c>
      <c r="O1131" s="119">
        <v>7.6628352490421504E-3</v>
      </c>
      <c r="P1131" s="116" t="s">
        <v>83</v>
      </c>
      <c r="Q1131" s="116" t="s">
        <v>83</v>
      </c>
      <c r="R1131" s="116" t="s">
        <v>83</v>
      </c>
      <c r="S1131" s="119">
        <v>0</v>
      </c>
      <c r="T1131" s="119">
        <v>0</v>
      </c>
      <c r="U1131" s="119">
        <v>2.96296296296296E-2</v>
      </c>
      <c r="V1131" s="119">
        <v>0</v>
      </c>
      <c r="W1131" s="6">
        <v>489</v>
      </c>
      <c r="X1131" s="40">
        <f t="shared" si="78"/>
        <v>489</v>
      </c>
      <c r="Y1131" s="40">
        <f t="shared" si="79"/>
        <v>489</v>
      </c>
      <c r="Z1131" s="59">
        <v>0.47649999999999998</v>
      </c>
      <c r="AA1131" s="59">
        <v>0.52349999999999997</v>
      </c>
      <c r="AB1131" s="61">
        <v>0</v>
      </c>
      <c r="AC1131" s="61">
        <v>3.0674846625766871E-2</v>
      </c>
      <c r="AD1131" s="61">
        <v>0.15337423312883436</v>
      </c>
      <c r="AE1131" s="61">
        <v>1.2269938650306749E-2</v>
      </c>
      <c r="AF1131" s="61">
        <v>0</v>
      </c>
      <c r="AG1131" s="61">
        <v>0.80163599182004086</v>
      </c>
      <c r="AH1131" s="61">
        <v>2.0449897750511249E-3</v>
      </c>
      <c r="AI1131" s="61">
        <v>0.19836400817995911</v>
      </c>
      <c r="AJ1131" s="59">
        <v>0.38450000000000001</v>
      </c>
      <c r="AK1131" s="59">
        <v>6.1000000000000004E-3</v>
      </c>
      <c r="AL1131" s="3">
        <v>0</v>
      </c>
      <c r="AM1131" s="3">
        <v>0</v>
      </c>
      <c r="AN1131" s="3">
        <v>0</v>
      </c>
      <c r="AO1131" s="3">
        <v>115</v>
      </c>
      <c r="AP1131" s="3">
        <v>132</v>
      </c>
      <c r="AQ1131" s="3">
        <v>121</v>
      </c>
      <c r="AR1131" s="3">
        <v>121</v>
      </c>
      <c r="AS1131" s="59">
        <v>0</v>
      </c>
      <c r="AT1131" s="3">
        <v>9</v>
      </c>
      <c r="AU1131" s="3">
        <v>6</v>
      </c>
      <c r="AV1131" s="49">
        <v>83.3333333333333</v>
      </c>
      <c r="AW1131" s="49">
        <v>9.4086021505376305</v>
      </c>
      <c r="AX1131" s="49">
        <v>6.9892473118279606</v>
      </c>
      <c r="AY1131" s="67">
        <v>0.26881720430107497</v>
      </c>
      <c r="AZ1131" s="63">
        <v>6.71785028790787E-2</v>
      </c>
      <c r="BA1131" s="63">
        <v>0.11708253358925144</v>
      </c>
      <c r="BB1131" s="78">
        <v>93.904736600565201</v>
      </c>
      <c r="BC1131" s="49">
        <v>64.107485604606495</v>
      </c>
      <c r="BD1131" s="3"/>
      <c r="BE1131" s="3"/>
      <c r="BF1131" s="3"/>
      <c r="BG1131" s="3"/>
      <c r="BH1131" s="3"/>
      <c r="BI1131" s="3"/>
      <c r="BJ1131" s="88">
        <v>20.9</v>
      </c>
      <c r="BK1131" s="126">
        <v>11632</v>
      </c>
      <c r="BL1131" s="126">
        <v>55574</v>
      </c>
      <c r="BM1131" s="126">
        <v>62916</v>
      </c>
      <c r="BN1131" s="126">
        <v>46934</v>
      </c>
      <c r="BO1131" s="59">
        <v>0</v>
      </c>
      <c r="BP1131" s="63">
        <v>0.25519999999999998</v>
      </c>
      <c r="BQ1131" s="63">
        <v>0.29509999999999997</v>
      </c>
      <c r="BR1131" s="63">
        <v>0</v>
      </c>
      <c r="BS1131" s="63">
        <v>0</v>
      </c>
      <c r="BT1131" s="88">
        <v>15.5</v>
      </c>
      <c r="BU1131" s="59">
        <f t="shared" si="80"/>
        <v>0.55030000000000001</v>
      </c>
      <c r="BV1131" s="59">
        <v>3.2899999999999999E-2</v>
      </c>
      <c r="BW1131" s="63">
        <v>0</v>
      </c>
      <c r="BX1131" s="63">
        <v>4.7399999999999998E-2</v>
      </c>
      <c r="BY1131" s="63">
        <v>0</v>
      </c>
      <c r="BZ1131" s="63">
        <v>0</v>
      </c>
      <c r="CA1131" s="88">
        <v>16.100000000000001</v>
      </c>
      <c r="CB1131" s="59">
        <f t="shared" si="81"/>
        <v>8.0299999999999996E-2</v>
      </c>
      <c r="CC1131" s="59">
        <v>0.29920000000000002</v>
      </c>
      <c r="CD1131" s="63">
        <v>0.26569999999999999</v>
      </c>
      <c r="CE1131" s="63">
        <v>0.432</v>
      </c>
      <c r="CF1131" s="63">
        <v>3.2000000000000002E-3</v>
      </c>
      <c r="CG1131" s="63">
        <v>0</v>
      </c>
      <c r="CH1131" s="88">
        <v>14.1</v>
      </c>
      <c r="CI1131" s="26" t="s">
        <v>288</v>
      </c>
      <c r="CJ1131" s="18" t="s">
        <v>505</v>
      </c>
      <c r="CK1131" s="20"/>
    </row>
    <row r="1132" spans="1:89" x14ac:dyDescent="0.25">
      <c r="A1132" s="18" t="s">
        <v>505</v>
      </c>
      <c r="B1132" s="19" t="s">
        <v>286</v>
      </c>
      <c r="C1132" s="26" t="s">
        <v>289</v>
      </c>
      <c r="D1132" s="6">
        <v>64</v>
      </c>
      <c r="E1132" s="40" t="s">
        <v>83</v>
      </c>
      <c r="F1132" s="6">
        <v>64</v>
      </c>
      <c r="N1132" s="119">
        <v>2.73621205643437E-2</v>
      </c>
      <c r="O1132" s="119">
        <v>2.73621205643437E-2</v>
      </c>
      <c r="P1132" s="116" t="s">
        <v>83</v>
      </c>
      <c r="Q1132" s="116" t="s">
        <v>83</v>
      </c>
      <c r="R1132" s="119">
        <v>0</v>
      </c>
      <c r="S1132" s="119">
        <v>2.5117739403453701E-2</v>
      </c>
      <c r="T1132" s="119">
        <v>2.9900332225913599E-2</v>
      </c>
      <c r="U1132" s="119">
        <v>2.52252252252252E-2</v>
      </c>
      <c r="V1132" s="119">
        <v>2.9739776951672899E-2</v>
      </c>
      <c r="W1132" s="6">
        <v>2184</v>
      </c>
      <c r="X1132" s="40">
        <f t="shared" si="78"/>
        <v>2184</v>
      </c>
      <c r="Y1132" s="40">
        <f t="shared" si="79"/>
        <v>2184</v>
      </c>
      <c r="Z1132" s="59">
        <v>0.51329999999999998</v>
      </c>
      <c r="AA1132" s="59">
        <v>0.48670000000000002</v>
      </c>
      <c r="AB1132" s="61">
        <v>9.1575091575091575E-4</v>
      </c>
      <c r="AC1132" s="61">
        <v>1.4194139194139194E-2</v>
      </c>
      <c r="AD1132" s="61">
        <v>0.21291208791208791</v>
      </c>
      <c r="AE1132" s="61">
        <v>4.1666666666666664E-2</v>
      </c>
      <c r="AF1132" s="61">
        <v>4.5787545787545788E-4</v>
      </c>
      <c r="AG1132" s="61">
        <v>0.72252747252747251</v>
      </c>
      <c r="AH1132" s="61">
        <v>7.326007326007326E-3</v>
      </c>
      <c r="AI1132" s="61">
        <v>0.27747252747252749</v>
      </c>
      <c r="AJ1132" s="59">
        <v>0.52610000000000001</v>
      </c>
      <c r="AK1132" s="59">
        <v>1.47E-2</v>
      </c>
      <c r="AL1132" s="3">
        <v>0</v>
      </c>
      <c r="AM1132" s="3">
        <v>0</v>
      </c>
      <c r="AN1132" s="3">
        <v>8</v>
      </c>
      <c r="AO1132" s="3">
        <v>595</v>
      </c>
      <c r="AP1132" s="3">
        <v>559</v>
      </c>
      <c r="AQ1132" s="3">
        <v>515</v>
      </c>
      <c r="AR1132" s="3">
        <v>507</v>
      </c>
      <c r="AS1132" s="59">
        <v>1.3266998341625208E-2</v>
      </c>
      <c r="AT1132" s="3">
        <v>9</v>
      </c>
      <c r="AU1132" s="3">
        <v>6</v>
      </c>
      <c r="AV1132" s="49">
        <v>54.065934065934094</v>
      </c>
      <c r="AW1132" s="49">
        <v>34.615384615384599</v>
      </c>
      <c r="AX1132" s="49">
        <v>10.219780219780199</v>
      </c>
      <c r="AY1132" s="67">
        <v>1.0989010989011001</v>
      </c>
      <c r="AZ1132" s="63">
        <v>4.8051948051948054E-2</v>
      </c>
      <c r="BA1132" s="63">
        <v>0.10692640692640693</v>
      </c>
      <c r="BB1132" s="77">
        <v>92.166652990891905</v>
      </c>
      <c r="BC1132" s="49">
        <v>68.119658119658098</v>
      </c>
      <c r="BD1132" s="3"/>
      <c r="BE1132" s="3"/>
      <c r="BF1132" s="3"/>
      <c r="BG1132" s="3"/>
      <c r="BH1132" s="3"/>
      <c r="BI1132" s="3"/>
      <c r="BJ1132" s="88">
        <v>21</v>
      </c>
      <c r="BK1132" s="126">
        <v>8921</v>
      </c>
      <c r="BL1132" s="126">
        <v>54228</v>
      </c>
      <c r="BM1132" s="126">
        <v>62380</v>
      </c>
      <c r="BN1132" s="126">
        <v>44338</v>
      </c>
      <c r="BO1132" s="59">
        <v>0</v>
      </c>
      <c r="BP1132" s="63">
        <v>0.25719999999999998</v>
      </c>
      <c r="BQ1132" s="63">
        <v>0.28870000000000001</v>
      </c>
      <c r="BR1132" s="63">
        <v>0</v>
      </c>
      <c r="BS1132" s="63">
        <v>9.4999999999999998E-3</v>
      </c>
      <c r="BT1132" s="87">
        <v>16</v>
      </c>
      <c r="BU1132" s="59">
        <f t="shared" si="80"/>
        <v>0.5554</v>
      </c>
      <c r="BV1132" s="59">
        <v>3.2899999999999999E-2</v>
      </c>
      <c r="BW1132" s="63">
        <v>0</v>
      </c>
      <c r="BX1132" s="63">
        <v>4.9799999999999997E-2</v>
      </c>
      <c r="BY1132" s="63">
        <v>0</v>
      </c>
      <c r="BZ1132" s="63">
        <v>0</v>
      </c>
      <c r="CA1132" s="88">
        <v>22.1</v>
      </c>
      <c r="CB1132" s="59">
        <f t="shared" si="81"/>
        <v>8.2699999999999996E-2</v>
      </c>
      <c r="CC1132" s="59">
        <v>0.33150000000000002</v>
      </c>
      <c r="CD1132" s="63">
        <v>0.27850000000000003</v>
      </c>
      <c r="CE1132" s="63">
        <v>0.37930000000000003</v>
      </c>
      <c r="CF1132" s="63">
        <v>1.1999999999999999E-3</v>
      </c>
      <c r="CG1132" s="63">
        <v>9.4999999999999998E-3</v>
      </c>
      <c r="CH1132" s="88">
        <v>14.6</v>
      </c>
      <c r="CI1132" s="26" t="s">
        <v>289</v>
      </c>
      <c r="CJ1132" s="18" t="s">
        <v>505</v>
      </c>
      <c r="CK1132" s="20"/>
    </row>
    <row r="1133" spans="1:89" x14ac:dyDescent="0.25">
      <c r="A1133" s="18" t="s">
        <v>505</v>
      </c>
      <c r="B1133" s="19" t="s">
        <v>286</v>
      </c>
      <c r="C1133" s="26" t="s">
        <v>290</v>
      </c>
      <c r="D1133" s="6">
        <v>36</v>
      </c>
      <c r="E1133" s="40" t="s">
        <v>83</v>
      </c>
      <c r="F1133" s="6">
        <v>36</v>
      </c>
      <c r="N1133" s="119">
        <v>2.9459901800327301E-2</v>
      </c>
      <c r="O1133" s="119">
        <v>2.9459901800327301E-2</v>
      </c>
      <c r="P1133" s="116" t="s">
        <v>83</v>
      </c>
      <c r="Q1133" s="116" t="s">
        <v>83</v>
      </c>
      <c r="R1133" s="119">
        <v>0</v>
      </c>
      <c r="S1133" s="119">
        <v>1.8987341772151899E-2</v>
      </c>
      <c r="T1133" s="119">
        <v>4.0752351097178702E-2</v>
      </c>
      <c r="U1133" s="119">
        <v>4.22960725075529E-2</v>
      </c>
      <c r="V1133" s="119">
        <v>1.1764705882352899E-2</v>
      </c>
      <c r="W1133" s="6">
        <v>1134</v>
      </c>
      <c r="X1133" s="40">
        <f t="shared" si="78"/>
        <v>1134</v>
      </c>
      <c r="Y1133" s="40">
        <f t="shared" si="79"/>
        <v>1134</v>
      </c>
      <c r="Z1133" s="59">
        <v>0.48499999999999999</v>
      </c>
      <c r="AA1133" s="59">
        <v>0.51500000000000001</v>
      </c>
      <c r="AB1133" s="61">
        <v>0</v>
      </c>
      <c r="AC1133" s="61">
        <v>2.6455026455026454E-3</v>
      </c>
      <c r="AD1133" s="61">
        <v>3.7037037037037035E-2</v>
      </c>
      <c r="AE1133" s="61">
        <v>6.1728395061728392E-3</v>
      </c>
      <c r="AF1133" s="61">
        <v>0</v>
      </c>
      <c r="AG1133" s="61">
        <v>0.94973544973544977</v>
      </c>
      <c r="AH1133" s="61">
        <v>4.4091710758377423E-3</v>
      </c>
      <c r="AI1133" s="61">
        <v>5.0264550264550262E-2</v>
      </c>
      <c r="AJ1133" s="59">
        <v>0.51590000000000003</v>
      </c>
      <c r="AK1133" s="59">
        <v>0</v>
      </c>
      <c r="AL1133" s="3">
        <v>0</v>
      </c>
      <c r="AM1133" s="3">
        <v>0</v>
      </c>
      <c r="AN1133" s="3">
        <v>5</v>
      </c>
      <c r="AO1133" s="3">
        <v>292</v>
      </c>
      <c r="AP1133" s="3">
        <v>292</v>
      </c>
      <c r="AQ1133" s="3">
        <v>314</v>
      </c>
      <c r="AR1133" s="3">
        <v>231</v>
      </c>
      <c r="AS1133" s="59">
        <v>1.6835016835016835E-2</v>
      </c>
      <c r="AT1133" s="3">
        <v>9</v>
      </c>
      <c r="AU1133" s="1">
        <v>6</v>
      </c>
      <c r="AV1133" s="49">
        <v>67.213114754098399</v>
      </c>
      <c r="AW1133" s="49">
        <v>26.229508196721302</v>
      </c>
      <c r="AX1133" s="49">
        <v>5.9612518628912099</v>
      </c>
      <c r="AY1133" s="67">
        <v>0.59612518628912092</v>
      </c>
      <c r="AZ1133" s="63">
        <v>0.12080536912751678</v>
      </c>
      <c r="BA1133" s="63">
        <v>9.1442953020134235E-2</v>
      </c>
      <c r="BB1133" s="78">
        <v>93.181901562360807</v>
      </c>
      <c r="BC1133" s="49">
        <v>62.850082372322902</v>
      </c>
      <c r="BD1133" s="3"/>
      <c r="BE1133" s="3"/>
      <c r="BF1133" s="3"/>
      <c r="BG1133" s="3"/>
      <c r="BH1133" s="3"/>
      <c r="BI1133" s="3"/>
      <c r="BJ1133" s="88">
        <v>20.399999999999999</v>
      </c>
      <c r="BK1133" s="126">
        <v>10361</v>
      </c>
      <c r="BL1133" s="126">
        <v>52680</v>
      </c>
      <c r="BM1133" s="126">
        <v>56350</v>
      </c>
      <c r="BN1133" s="126">
        <v>41048</v>
      </c>
      <c r="BO1133" s="59">
        <v>5.5999999999999999E-3</v>
      </c>
      <c r="BP1133" s="63">
        <v>0.27879999999999999</v>
      </c>
      <c r="BQ1133" s="63">
        <v>0.21759999999999999</v>
      </c>
      <c r="BR1133" s="63">
        <v>0</v>
      </c>
      <c r="BS1133" s="63">
        <v>6.3E-3</v>
      </c>
      <c r="BT1133" s="88">
        <v>13.7</v>
      </c>
      <c r="BU1133" s="59">
        <f t="shared" si="80"/>
        <v>0.50829999999999997</v>
      </c>
      <c r="BV1133" s="59">
        <v>3.6299999999999999E-2</v>
      </c>
      <c r="BW1133" s="63">
        <v>0</v>
      </c>
      <c r="BX1133" s="63">
        <v>3.5099999999999999E-2</v>
      </c>
      <c r="BY1133" s="63">
        <v>0</v>
      </c>
      <c r="BZ1133" s="63">
        <v>0</v>
      </c>
      <c r="CA1133" s="88">
        <v>19.3</v>
      </c>
      <c r="CB1133" s="59">
        <f t="shared" si="81"/>
        <v>7.1399999999999991E-2</v>
      </c>
      <c r="CC1133" s="59">
        <v>0.40660000000000002</v>
      </c>
      <c r="CD1133" s="63">
        <v>0.28699999999999998</v>
      </c>
      <c r="CE1133" s="63">
        <v>0.30020000000000002</v>
      </c>
      <c r="CF1133" s="63">
        <v>0</v>
      </c>
      <c r="CG1133" s="63">
        <v>6.3E-3</v>
      </c>
      <c r="CH1133" s="88">
        <v>12.7</v>
      </c>
      <c r="CI1133" s="26" t="s">
        <v>290</v>
      </c>
      <c r="CJ1133" s="18" t="s">
        <v>505</v>
      </c>
      <c r="CK1133" s="20"/>
    </row>
    <row r="1134" spans="1:89" x14ac:dyDescent="0.25">
      <c r="A1134" s="18" t="s">
        <v>505</v>
      </c>
      <c r="B1134" s="19" t="s">
        <v>286</v>
      </c>
      <c r="C1134" s="26" t="s">
        <v>291</v>
      </c>
      <c r="D1134" s="6">
        <v>17</v>
      </c>
      <c r="E1134" s="40" t="s">
        <v>83</v>
      </c>
      <c r="F1134" s="6">
        <v>17</v>
      </c>
      <c r="N1134" s="119">
        <v>2.8099173553718999E-2</v>
      </c>
      <c r="O1134" s="119">
        <v>2.8099173553718999E-2</v>
      </c>
      <c r="P1134" s="116" t="s">
        <v>83</v>
      </c>
      <c r="Q1134" s="116" t="s">
        <v>83</v>
      </c>
      <c r="R1134" s="119">
        <v>0</v>
      </c>
      <c r="S1134" s="119">
        <v>2.5641025641025599E-2</v>
      </c>
      <c r="T1134" s="119">
        <v>0.02</v>
      </c>
      <c r="U1134" s="119">
        <v>3.5211267605633798E-2</v>
      </c>
      <c r="V1134" s="119">
        <v>3.2258064516128997E-2</v>
      </c>
      <c r="W1134" s="6">
        <v>551</v>
      </c>
      <c r="X1134" s="40">
        <f t="shared" si="78"/>
        <v>551</v>
      </c>
      <c r="Y1134" s="40">
        <f t="shared" si="79"/>
        <v>551</v>
      </c>
      <c r="Z1134" s="59">
        <v>0.48820000000000002</v>
      </c>
      <c r="AA1134" s="59">
        <v>0.51180000000000003</v>
      </c>
      <c r="AB1134" s="61">
        <v>0</v>
      </c>
      <c r="AC1134" s="61">
        <v>0</v>
      </c>
      <c r="AD1134" s="61">
        <v>0.98548094373865702</v>
      </c>
      <c r="AE1134" s="61">
        <v>1.8148820326678765E-3</v>
      </c>
      <c r="AF1134" s="61">
        <v>0</v>
      </c>
      <c r="AG1134" s="61">
        <v>1.0889292196007259E-2</v>
      </c>
      <c r="AH1134" s="61">
        <v>1.8148820326678765E-3</v>
      </c>
      <c r="AI1134" s="61">
        <v>0.98911070780399279</v>
      </c>
      <c r="AJ1134" s="59">
        <v>0.88380000000000003</v>
      </c>
      <c r="AK1134" s="59">
        <v>0</v>
      </c>
      <c r="AL1134" s="3">
        <v>0</v>
      </c>
      <c r="AM1134" s="3">
        <v>0</v>
      </c>
      <c r="AN1134" s="3">
        <v>2</v>
      </c>
      <c r="AO1134" s="3">
        <v>136</v>
      </c>
      <c r="AP1134" s="3">
        <v>138</v>
      </c>
      <c r="AQ1134" s="3">
        <v>135</v>
      </c>
      <c r="AR1134" s="3">
        <v>140</v>
      </c>
      <c r="AS1134" s="59">
        <v>1.4492753623188406E-2</v>
      </c>
      <c r="AT1134" s="3">
        <v>9</v>
      </c>
      <c r="AU1134" s="3">
        <v>6</v>
      </c>
      <c r="AV1134" s="49">
        <v>83.240223463687101</v>
      </c>
      <c r="AW1134" s="49">
        <v>14.804469273743001</v>
      </c>
      <c r="AX1134" s="49">
        <v>1.95530726256983</v>
      </c>
      <c r="AY1134" s="74">
        <v>0</v>
      </c>
      <c r="AZ1134" s="63">
        <v>0.37205387205387208</v>
      </c>
      <c r="BA1134" s="63">
        <v>0.3888888888888889</v>
      </c>
      <c r="BB1134" s="77">
        <v>87.855178484535301</v>
      </c>
      <c r="BC1134" s="49">
        <v>81.599999999999994</v>
      </c>
      <c r="BD1134" s="3"/>
      <c r="BE1134" s="3"/>
      <c r="BF1134" s="3"/>
      <c r="BG1134" s="3"/>
      <c r="BH1134" s="3"/>
      <c r="BI1134" s="3"/>
      <c r="BJ1134" s="88">
        <v>16.8</v>
      </c>
      <c r="BK1134" s="126">
        <v>13788</v>
      </c>
      <c r="BL1134" s="126">
        <v>53633</v>
      </c>
      <c r="BM1134" s="126">
        <v>50523</v>
      </c>
      <c r="BN1134" s="126">
        <v>39248</v>
      </c>
      <c r="BO1134" s="59">
        <v>0</v>
      </c>
      <c r="BP1134" s="63">
        <v>0.1764</v>
      </c>
      <c r="BQ1134" s="63">
        <v>0.21790000000000001</v>
      </c>
      <c r="BR1134" s="63">
        <v>1.1599999999999999E-2</v>
      </c>
      <c r="BS1134" s="63">
        <v>9.7000000000000003E-3</v>
      </c>
      <c r="BT1134" s="88">
        <v>12.6</v>
      </c>
      <c r="BU1134" s="59">
        <f t="shared" si="80"/>
        <v>0.41559999999999997</v>
      </c>
      <c r="BV1134" s="59">
        <v>5.4699999999999999E-2</v>
      </c>
      <c r="BW1134" s="63">
        <v>0</v>
      </c>
      <c r="BX1134" s="63">
        <v>3.8800000000000001E-2</v>
      </c>
      <c r="BY1134" s="63">
        <v>0</v>
      </c>
      <c r="BZ1134" s="63">
        <v>9.7000000000000003E-3</v>
      </c>
      <c r="CA1134" s="88">
        <v>14.9</v>
      </c>
      <c r="CB1134" s="59">
        <f t="shared" si="81"/>
        <v>0.1032</v>
      </c>
      <c r="CC1134" s="59">
        <v>0.47410000000000002</v>
      </c>
      <c r="CD1134" s="63">
        <v>0.18279999999999999</v>
      </c>
      <c r="CE1134" s="63">
        <v>0.31009999999999999</v>
      </c>
      <c r="CF1134" s="63">
        <v>1.35E-2</v>
      </c>
      <c r="CG1134" s="63">
        <v>1.9400000000000001E-2</v>
      </c>
      <c r="CH1134" s="88">
        <v>11.3</v>
      </c>
      <c r="CI1134" s="26" t="s">
        <v>291</v>
      </c>
      <c r="CJ1134" s="18" t="s">
        <v>505</v>
      </c>
      <c r="CK1134" s="20"/>
    </row>
    <row r="1135" spans="1:89" x14ac:dyDescent="0.25">
      <c r="A1135" s="18" t="s">
        <v>505</v>
      </c>
      <c r="B1135" s="19" t="s">
        <v>292</v>
      </c>
      <c r="C1135" s="26" t="s">
        <v>293</v>
      </c>
      <c r="D1135" s="6">
        <v>14</v>
      </c>
      <c r="E1135" s="40" t="s">
        <v>83</v>
      </c>
      <c r="F1135" s="6">
        <v>14</v>
      </c>
      <c r="N1135" s="119">
        <v>1.3579049466537299E-2</v>
      </c>
      <c r="O1135" s="119">
        <v>1.3579049466537299E-2</v>
      </c>
      <c r="P1135" s="116" t="s">
        <v>83</v>
      </c>
      <c r="Q1135" s="116" t="s">
        <v>83</v>
      </c>
      <c r="R1135" s="119">
        <v>0</v>
      </c>
      <c r="S1135" s="119">
        <v>3.3670033670033699E-3</v>
      </c>
      <c r="T1135" s="119">
        <v>1.15830115830116E-2</v>
      </c>
      <c r="U1135" s="119">
        <v>2.5104602510460299E-2</v>
      </c>
      <c r="V1135" s="119">
        <v>1.7391304347826101E-2</v>
      </c>
      <c r="W1135" s="6">
        <v>926</v>
      </c>
      <c r="X1135" s="40">
        <f t="shared" si="78"/>
        <v>926</v>
      </c>
      <c r="Y1135" s="40">
        <f t="shared" si="79"/>
        <v>926</v>
      </c>
      <c r="Z1135" s="59">
        <v>0.49030000000000001</v>
      </c>
      <c r="AA1135" s="59">
        <v>0.50970000000000004</v>
      </c>
      <c r="AB1135" s="61">
        <v>8.6393088552915772E-3</v>
      </c>
      <c r="AC1135" s="61">
        <v>3.6717062634989202E-2</v>
      </c>
      <c r="AD1135" s="61">
        <v>0.21382289416846653</v>
      </c>
      <c r="AE1135" s="61">
        <v>9.2872570194384454E-2</v>
      </c>
      <c r="AF1135" s="61">
        <v>2.1598272138228943E-3</v>
      </c>
      <c r="AG1135" s="61">
        <v>0.62095032397408212</v>
      </c>
      <c r="AH1135" s="61">
        <v>2.4838012958963283E-2</v>
      </c>
      <c r="AI1135" s="61">
        <v>0.37904967602591794</v>
      </c>
      <c r="AJ1135" s="59">
        <v>0.45679999999999998</v>
      </c>
      <c r="AK1135" s="59">
        <v>1.7299999999999999E-2</v>
      </c>
      <c r="AL1135" s="3">
        <v>0</v>
      </c>
      <c r="AM1135" s="3">
        <v>0</v>
      </c>
      <c r="AN1135" s="3">
        <v>6</v>
      </c>
      <c r="AO1135" s="3">
        <v>258</v>
      </c>
      <c r="AP1135" s="3">
        <v>232</v>
      </c>
      <c r="AQ1135" s="3">
        <v>217</v>
      </c>
      <c r="AR1135" s="3">
        <v>213</v>
      </c>
      <c r="AS1135" s="59">
        <v>2.2727272727272728E-2</v>
      </c>
      <c r="AT1135" s="3">
        <v>9</v>
      </c>
      <c r="AU1135" s="3">
        <v>6</v>
      </c>
      <c r="AV1135" s="49">
        <v>53.896103896103895</v>
      </c>
      <c r="AW1135" s="49">
        <v>24.458874458874501</v>
      </c>
      <c r="AX1135" s="49">
        <v>20.995670995671002</v>
      </c>
      <c r="AY1135" s="67">
        <v>0.64935064935064901</v>
      </c>
      <c r="AZ1135" s="63">
        <v>2.9296875E-3</v>
      </c>
      <c r="BA1135" s="63">
        <v>6.34765625E-2</v>
      </c>
      <c r="BB1135" s="78">
        <v>95.4108788783591</v>
      </c>
      <c r="BC1135" s="49">
        <v>31.34765625</v>
      </c>
      <c r="BD1135" s="3"/>
      <c r="BE1135" s="3"/>
      <c r="BF1135" s="3"/>
      <c r="BG1135" s="3"/>
      <c r="BH1135" s="3"/>
      <c r="BI1135" s="3"/>
      <c r="BJ1135" s="88">
        <v>21.3</v>
      </c>
      <c r="BK1135" s="126">
        <v>12885</v>
      </c>
      <c r="BL1135" s="126">
        <v>57572</v>
      </c>
      <c r="BM1135" s="126">
        <v>62808</v>
      </c>
      <c r="BN1135" s="126">
        <v>48537</v>
      </c>
      <c r="BO1135" s="59">
        <v>0</v>
      </c>
      <c r="BP1135" s="63">
        <v>0.29189999999999999</v>
      </c>
      <c r="BQ1135" s="63">
        <v>0.24690000000000001</v>
      </c>
      <c r="BR1135" s="63">
        <v>0</v>
      </c>
      <c r="BS1135" s="63">
        <v>0</v>
      </c>
      <c r="BT1135" s="88">
        <v>7.8</v>
      </c>
      <c r="BU1135" s="59">
        <f t="shared" si="80"/>
        <v>0.53879999999999995</v>
      </c>
      <c r="BV1135" s="59">
        <v>1.12E-2</v>
      </c>
      <c r="BW1135" s="63">
        <v>1.1299999999999999E-2</v>
      </c>
      <c r="BX1135" s="63">
        <v>3.3700000000000001E-2</v>
      </c>
      <c r="BY1135" s="63">
        <v>0</v>
      </c>
      <c r="BZ1135" s="63">
        <v>0</v>
      </c>
      <c r="CA1135" s="88">
        <v>12.8</v>
      </c>
      <c r="CB1135" s="59">
        <f t="shared" si="81"/>
        <v>5.62E-2</v>
      </c>
      <c r="CC1135" s="59">
        <v>0.33760000000000001</v>
      </c>
      <c r="CD1135" s="63">
        <v>0.33689999999999998</v>
      </c>
      <c r="CE1135" s="63">
        <v>0.32550000000000001</v>
      </c>
      <c r="CF1135" s="63">
        <v>0</v>
      </c>
      <c r="CG1135" s="63">
        <v>0</v>
      </c>
      <c r="CH1135" s="87">
        <v>8</v>
      </c>
      <c r="CI1135" s="26" t="s">
        <v>293</v>
      </c>
      <c r="CJ1135" s="18" t="s">
        <v>505</v>
      </c>
      <c r="CK1135" s="20"/>
    </row>
    <row r="1136" spans="1:89" x14ac:dyDescent="0.25">
      <c r="A1136" s="18" t="s">
        <v>505</v>
      </c>
      <c r="B1136" s="19" t="s">
        <v>292</v>
      </c>
      <c r="C1136" s="26" t="s">
        <v>294</v>
      </c>
      <c r="D1136" s="6">
        <v>2</v>
      </c>
      <c r="E1136" s="6">
        <v>0</v>
      </c>
      <c r="F1136" s="6">
        <v>2</v>
      </c>
      <c r="N1136" s="119">
        <v>2.1739130434782601E-2</v>
      </c>
      <c r="O1136" s="119">
        <v>3.2258064516128997E-2</v>
      </c>
      <c r="P1136" s="119">
        <v>0</v>
      </c>
      <c r="Q1136" s="119">
        <v>0</v>
      </c>
      <c r="R1136" s="116" t="s">
        <v>83</v>
      </c>
      <c r="S1136" s="119">
        <v>5.8823529411764698E-2</v>
      </c>
      <c r="T1136" s="119">
        <v>5.8823529411764698E-2</v>
      </c>
      <c r="U1136" s="119">
        <v>0</v>
      </c>
      <c r="V1136" s="119">
        <v>0</v>
      </c>
      <c r="W1136" s="6">
        <v>194</v>
      </c>
      <c r="X1136" s="40">
        <f t="shared" si="78"/>
        <v>56</v>
      </c>
      <c r="Y1136" s="40">
        <f t="shared" si="79"/>
        <v>84</v>
      </c>
      <c r="Z1136" s="59">
        <v>0.40210000000000001</v>
      </c>
      <c r="AA1136" s="59">
        <v>0.59789999999999999</v>
      </c>
      <c r="AB1136" s="61">
        <v>0</v>
      </c>
      <c r="AC1136" s="61">
        <v>0</v>
      </c>
      <c r="AD1136" s="61">
        <v>0.98453608247422686</v>
      </c>
      <c r="AE1136" s="61">
        <v>5.1546391752577319E-3</v>
      </c>
      <c r="AF1136" s="61">
        <v>0</v>
      </c>
      <c r="AG1136" s="61">
        <v>5.1546391752577319E-3</v>
      </c>
      <c r="AH1136" s="61">
        <v>5.1546391752577319E-3</v>
      </c>
      <c r="AI1136" s="61">
        <v>0.99484536082474229</v>
      </c>
      <c r="AJ1136" s="59">
        <v>0.86599999999999999</v>
      </c>
      <c r="AK1136" s="59">
        <v>0</v>
      </c>
      <c r="AL1136" s="3">
        <v>12</v>
      </c>
      <c r="AM1136" s="3">
        <v>16</v>
      </c>
      <c r="AN1136" s="3">
        <v>0</v>
      </c>
      <c r="AO1136" s="3">
        <v>16</v>
      </c>
      <c r="AP1136" s="3">
        <v>16</v>
      </c>
      <c r="AQ1136" s="3">
        <v>9</v>
      </c>
      <c r="AR1136" s="3">
        <v>15</v>
      </c>
      <c r="AS1136" s="59">
        <v>0</v>
      </c>
      <c r="AT1136" s="3">
        <v>1</v>
      </c>
      <c r="AU1136" s="3">
        <v>6</v>
      </c>
      <c r="AV1136" s="49">
        <v>99.275362318840592</v>
      </c>
      <c r="AW1136" s="50">
        <v>0</v>
      </c>
      <c r="AX1136" s="49">
        <v>0.72463768115942007</v>
      </c>
      <c r="AY1136" s="74">
        <v>0</v>
      </c>
      <c r="AZ1136" s="63">
        <v>4.807692307692308E-3</v>
      </c>
      <c r="BA1136" s="63">
        <v>2.403846153846154E-2</v>
      </c>
      <c r="BB1136" s="77">
        <v>94.908734349072304</v>
      </c>
      <c r="BC1136" s="49">
        <v>10.5820105820106</v>
      </c>
      <c r="BD1136" s="119"/>
      <c r="BE1136" s="119"/>
      <c r="BF1136" s="49"/>
      <c r="BG1136" s="49"/>
      <c r="BH1136" s="49"/>
      <c r="BI1136" s="49"/>
      <c r="BJ1136" s="88">
        <v>17</v>
      </c>
      <c r="BK1136" s="126">
        <v>30185</v>
      </c>
      <c r="BL1136" s="126">
        <v>57855</v>
      </c>
      <c r="BM1136" s="126">
        <v>82801</v>
      </c>
      <c r="BN1136" s="126">
        <v>45080</v>
      </c>
      <c r="BO1136" s="59">
        <v>0</v>
      </c>
      <c r="BP1136" s="63">
        <v>0.25530000000000003</v>
      </c>
      <c r="BQ1136" s="63">
        <v>0.1489</v>
      </c>
      <c r="BR1136" s="63">
        <v>0</v>
      </c>
      <c r="BS1136" s="63">
        <v>0</v>
      </c>
      <c r="BT1136" s="88">
        <v>7.5</v>
      </c>
      <c r="BU1136" s="59">
        <f t="shared" si="80"/>
        <v>0.4042</v>
      </c>
      <c r="BV1136" s="59">
        <v>0</v>
      </c>
      <c r="BW1136" s="63">
        <v>0</v>
      </c>
      <c r="BX1136" s="63">
        <v>2.1299999999999999E-2</v>
      </c>
      <c r="BY1136" s="63">
        <v>0</v>
      </c>
      <c r="BZ1136" s="63">
        <v>0</v>
      </c>
      <c r="CA1136" s="87">
        <v>17</v>
      </c>
      <c r="CB1136" s="59">
        <f t="shared" si="81"/>
        <v>2.1299999999999999E-2</v>
      </c>
      <c r="CC1136" s="59">
        <v>0.4894</v>
      </c>
      <c r="CD1136" s="63">
        <v>0.25530000000000003</v>
      </c>
      <c r="CE1136" s="63">
        <v>0.25530000000000003</v>
      </c>
      <c r="CF1136" s="63">
        <v>0</v>
      </c>
      <c r="CG1136" s="63">
        <v>0</v>
      </c>
      <c r="CH1136" s="88">
        <v>8.4</v>
      </c>
      <c r="CI1136" s="26" t="s">
        <v>294</v>
      </c>
      <c r="CJ1136" s="18" t="s">
        <v>505</v>
      </c>
      <c r="CK1136" s="20"/>
    </row>
    <row r="1137" spans="1:99" x14ac:dyDescent="0.25">
      <c r="A1137" s="18" t="s">
        <v>505</v>
      </c>
      <c r="B1137" s="19" t="s">
        <v>292</v>
      </c>
      <c r="C1137" s="26" t="s">
        <v>295</v>
      </c>
      <c r="D1137" s="6">
        <v>7</v>
      </c>
      <c r="E1137" s="6">
        <v>1</v>
      </c>
      <c r="F1137" s="6">
        <v>6</v>
      </c>
      <c r="N1137" s="119">
        <v>1.4767932489451499E-2</v>
      </c>
      <c r="O1137" s="119">
        <v>2.06185567010309E-2</v>
      </c>
      <c r="P1137" s="119">
        <v>0</v>
      </c>
      <c r="Q1137" s="119">
        <v>1.01010101010101E-2</v>
      </c>
      <c r="R1137" s="116" t="s">
        <v>83</v>
      </c>
      <c r="S1137" s="119">
        <v>0</v>
      </c>
      <c r="T1137" s="119">
        <v>2.53164556962025E-2</v>
      </c>
      <c r="U1137" s="119">
        <v>5.4794520547945202E-2</v>
      </c>
      <c r="V1137" s="119">
        <v>0</v>
      </c>
      <c r="W1137" s="6">
        <v>452</v>
      </c>
      <c r="X1137" s="40">
        <f t="shared" si="78"/>
        <v>279</v>
      </c>
      <c r="Y1137" s="40">
        <f t="shared" si="79"/>
        <v>452</v>
      </c>
      <c r="Z1137" s="59">
        <v>0.52210000000000001</v>
      </c>
      <c r="AA1137" s="59">
        <v>0.47789999999999999</v>
      </c>
      <c r="AB1137" s="61">
        <v>4.4247787610619468E-2</v>
      </c>
      <c r="AC1137" s="61">
        <v>0.16814159292035399</v>
      </c>
      <c r="AD1137" s="61">
        <v>0.43141592920353983</v>
      </c>
      <c r="AE1137" s="61">
        <v>3.0973451327433628E-2</v>
      </c>
      <c r="AF1137" s="61">
        <v>4.4247787610619468E-3</v>
      </c>
      <c r="AG1137" s="61">
        <v>0.30309734513274339</v>
      </c>
      <c r="AH1137" s="61">
        <v>1.7699115044247787E-2</v>
      </c>
      <c r="AI1137" s="61">
        <v>0.69690265486725667</v>
      </c>
      <c r="AJ1137" s="59">
        <v>0.81859999999999999</v>
      </c>
      <c r="AK1137" s="59">
        <v>3.32E-2</v>
      </c>
      <c r="AL1137" s="3">
        <v>80</v>
      </c>
      <c r="AM1137" s="3">
        <v>93</v>
      </c>
      <c r="AN1137" s="3">
        <v>0</v>
      </c>
      <c r="AO1137" s="3">
        <v>74</v>
      </c>
      <c r="AP1137" s="3">
        <v>74</v>
      </c>
      <c r="AQ1137" s="3">
        <v>72</v>
      </c>
      <c r="AR1137" s="3">
        <v>59</v>
      </c>
      <c r="AS1137" s="59">
        <v>0</v>
      </c>
      <c r="AT1137" s="3">
        <v>7</v>
      </c>
      <c r="AU1137" s="3">
        <v>6</v>
      </c>
      <c r="AV1137" s="49">
        <v>71.604938271604908</v>
      </c>
      <c r="AW1137" s="49">
        <v>21.810699588477402</v>
      </c>
      <c r="AX1137" s="49">
        <v>5.7613168724279804</v>
      </c>
      <c r="AY1137" s="67">
        <v>0.82304526748971196</v>
      </c>
      <c r="AZ1137" s="63">
        <v>4.2283298097251587E-3</v>
      </c>
      <c r="BA1137" s="63">
        <v>4.6511627906976744E-2</v>
      </c>
      <c r="BB1137" s="78">
        <v>94.545828406929502</v>
      </c>
      <c r="BC1137" s="49">
        <v>29.598308668076101</v>
      </c>
      <c r="BD1137" s="119"/>
      <c r="BE1137" s="119"/>
      <c r="BF1137" s="49"/>
      <c r="BG1137" s="49"/>
      <c r="BH1137" s="49"/>
      <c r="BI1137" s="49"/>
      <c r="BJ1137" s="88">
        <v>21</v>
      </c>
      <c r="BK1137" s="126">
        <v>16977</v>
      </c>
      <c r="BL1137" s="126">
        <v>56840</v>
      </c>
      <c r="BM1137" s="126">
        <v>62494</v>
      </c>
      <c r="BN1137" s="126">
        <v>47588</v>
      </c>
      <c r="BO1137" s="59">
        <v>0</v>
      </c>
      <c r="BP1137" s="63">
        <v>0.27260000000000001</v>
      </c>
      <c r="BQ1137" s="63">
        <v>0.1636</v>
      </c>
      <c r="BR1137" s="63">
        <v>0</v>
      </c>
      <c r="BS1137" s="63">
        <v>0</v>
      </c>
      <c r="BT1137" s="88">
        <v>3.6</v>
      </c>
      <c r="BU1137" s="59">
        <f t="shared" si="80"/>
        <v>0.43620000000000003</v>
      </c>
      <c r="BV1137" s="59">
        <v>3.6400000000000002E-2</v>
      </c>
      <c r="BW1137" s="63">
        <v>0</v>
      </c>
      <c r="BX1137" s="63">
        <v>1.8200000000000001E-2</v>
      </c>
      <c r="BY1137" s="63">
        <v>0</v>
      </c>
      <c r="BZ1137" s="63">
        <v>0</v>
      </c>
      <c r="CA1137" s="88">
        <v>20.3</v>
      </c>
      <c r="CB1137" s="59">
        <f t="shared" si="81"/>
        <v>5.4600000000000003E-2</v>
      </c>
      <c r="CC1137" s="59">
        <v>0.4365</v>
      </c>
      <c r="CD1137" s="63">
        <v>0.34539999999999998</v>
      </c>
      <c r="CE1137" s="63">
        <v>0.21809999999999999</v>
      </c>
      <c r="CF1137" s="63">
        <v>0</v>
      </c>
      <c r="CG1137" s="63">
        <v>0</v>
      </c>
      <c r="CH1137" s="87">
        <v>6</v>
      </c>
      <c r="CI1137" s="26" t="s">
        <v>295</v>
      </c>
      <c r="CJ1137" s="18" t="s">
        <v>505</v>
      </c>
      <c r="CK1137" s="20"/>
    </row>
    <row r="1138" spans="1:99" s="1" customFormat="1" ht="21" customHeight="1" x14ac:dyDescent="0.25">
      <c r="A1138" s="21" t="s">
        <v>0</v>
      </c>
      <c r="B1138" s="22" t="s">
        <v>1</v>
      </c>
      <c r="C1138" s="22" t="s">
        <v>2</v>
      </c>
      <c r="D1138" s="9" t="s">
        <v>3</v>
      </c>
      <c r="E1138" s="9" t="s">
        <v>4</v>
      </c>
      <c r="F1138" s="9" t="s">
        <v>5</v>
      </c>
      <c r="G1138" s="167"/>
      <c r="H1138" s="168"/>
      <c r="I1138" s="168"/>
      <c r="J1138" s="168"/>
      <c r="K1138" s="168"/>
      <c r="L1138" s="168"/>
      <c r="M1138" s="168"/>
      <c r="N1138" s="120" t="s">
        <v>6</v>
      </c>
      <c r="O1138" s="120" t="s">
        <v>7</v>
      </c>
      <c r="P1138" s="120" t="s">
        <v>8</v>
      </c>
      <c r="Q1138" s="120" t="s">
        <v>9</v>
      </c>
      <c r="R1138" s="120" t="s">
        <v>10</v>
      </c>
      <c r="S1138" s="120" t="s">
        <v>11</v>
      </c>
      <c r="T1138" s="120" t="s">
        <v>12</v>
      </c>
      <c r="U1138" s="120" t="s">
        <v>13</v>
      </c>
      <c r="V1138" s="120" t="s">
        <v>14</v>
      </c>
      <c r="W1138" s="41" t="s">
        <v>15</v>
      </c>
      <c r="X1138" s="41" t="s">
        <v>16</v>
      </c>
      <c r="Y1138" s="41" t="s">
        <v>17</v>
      </c>
      <c r="Z1138" s="107" t="s">
        <v>18</v>
      </c>
      <c r="AA1138" s="107" t="s">
        <v>19</v>
      </c>
      <c r="AB1138" s="95" t="s">
        <v>20</v>
      </c>
      <c r="AC1138" s="95" t="s">
        <v>21</v>
      </c>
      <c r="AD1138" s="95" t="s">
        <v>22</v>
      </c>
      <c r="AE1138" s="95" t="s">
        <v>23</v>
      </c>
      <c r="AF1138" s="95" t="s">
        <v>24</v>
      </c>
      <c r="AG1138" s="95" t="s">
        <v>25</v>
      </c>
      <c r="AH1138" s="95" t="s">
        <v>26</v>
      </c>
      <c r="AI1138" s="95" t="s">
        <v>27</v>
      </c>
      <c r="AJ1138" s="95" t="s">
        <v>28</v>
      </c>
      <c r="AK1138" s="107" t="s">
        <v>29</v>
      </c>
      <c r="AL1138" s="42" t="s">
        <v>30</v>
      </c>
      <c r="AM1138" s="42" t="s">
        <v>31</v>
      </c>
      <c r="AN1138" s="42" t="s">
        <v>32</v>
      </c>
      <c r="AO1138" s="42" t="s">
        <v>33</v>
      </c>
      <c r="AP1138" s="42" t="s">
        <v>34</v>
      </c>
      <c r="AQ1138" s="42" t="s">
        <v>35</v>
      </c>
      <c r="AR1138" s="42" t="s">
        <v>36</v>
      </c>
      <c r="AS1138" s="100" t="s">
        <v>37</v>
      </c>
      <c r="AT1138" s="41" t="s">
        <v>38</v>
      </c>
      <c r="AU1138" s="23" t="s">
        <v>39</v>
      </c>
      <c r="AV1138" s="51" t="s">
        <v>40</v>
      </c>
      <c r="AW1138" s="51" t="s">
        <v>41</v>
      </c>
      <c r="AX1138" s="51" t="s">
        <v>42</v>
      </c>
      <c r="AY1138" s="66" t="s">
        <v>43</v>
      </c>
      <c r="AZ1138" s="58" t="s">
        <v>44</v>
      </c>
      <c r="BA1138" s="58" t="s">
        <v>45</v>
      </c>
      <c r="BB1138" s="75" t="s">
        <v>46</v>
      </c>
      <c r="BC1138" s="83" t="s">
        <v>47</v>
      </c>
      <c r="BD1138" s="89" t="s">
        <v>48</v>
      </c>
      <c r="BE1138" s="89" t="s">
        <v>49</v>
      </c>
      <c r="BF1138" s="89" t="s">
        <v>50</v>
      </c>
      <c r="BG1138" s="89" t="s">
        <v>51</v>
      </c>
      <c r="BH1138" s="89" t="s">
        <v>52</v>
      </c>
      <c r="BI1138" s="89" t="s">
        <v>53</v>
      </c>
      <c r="BJ1138" s="86" t="s">
        <v>54</v>
      </c>
      <c r="BK1138" s="123" t="s">
        <v>55</v>
      </c>
      <c r="BL1138" s="123" t="s">
        <v>56</v>
      </c>
      <c r="BM1138" s="123" t="s">
        <v>57</v>
      </c>
      <c r="BN1138" s="123" t="s">
        <v>58</v>
      </c>
      <c r="BO1138" s="131" t="s">
        <v>59</v>
      </c>
      <c r="BP1138" s="131" t="s">
        <v>60</v>
      </c>
      <c r="BQ1138" s="131" t="s">
        <v>61</v>
      </c>
      <c r="BR1138" s="131" t="s">
        <v>62</v>
      </c>
      <c r="BS1138" s="131" t="s">
        <v>63</v>
      </c>
      <c r="BT1138" s="131" t="s">
        <v>64</v>
      </c>
      <c r="BU1138" s="131" t="s">
        <v>65</v>
      </c>
      <c r="BV1138" s="132" t="s">
        <v>66</v>
      </c>
      <c r="BW1138" s="132" t="s">
        <v>67</v>
      </c>
      <c r="BX1138" s="132" t="s">
        <v>68</v>
      </c>
      <c r="BY1138" s="132" t="s">
        <v>69</v>
      </c>
      <c r="BZ1138" s="132" t="s">
        <v>70</v>
      </c>
      <c r="CA1138" s="132" t="s">
        <v>71</v>
      </c>
      <c r="CB1138" s="132" t="s">
        <v>72</v>
      </c>
      <c r="CC1138" s="123" t="s">
        <v>73</v>
      </c>
      <c r="CD1138" s="123" t="s">
        <v>74</v>
      </c>
      <c r="CE1138" s="123" t="s">
        <v>75</v>
      </c>
      <c r="CF1138" s="123" t="s">
        <v>76</v>
      </c>
      <c r="CG1138" s="123" t="s">
        <v>77</v>
      </c>
      <c r="CH1138" s="123" t="s">
        <v>78</v>
      </c>
      <c r="CI1138" s="22" t="s">
        <v>2</v>
      </c>
      <c r="CJ1138" s="21" t="s">
        <v>0</v>
      </c>
      <c r="CK1138" s="24" t="s">
        <v>79</v>
      </c>
      <c r="CL1138"/>
      <c r="CM1138"/>
      <c r="CN1138"/>
      <c r="CO1138"/>
      <c r="CP1138"/>
      <c r="CQ1138"/>
      <c r="CU1138"/>
    </row>
    <row r="1139" spans="1:99" x14ac:dyDescent="0.25">
      <c r="A1139" s="18" t="s">
        <v>505</v>
      </c>
      <c r="B1139" s="19" t="s">
        <v>296</v>
      </c>
      <c r="C1139" s="26" t="s">
        <v>297</v>
      </c>
      <c r="D1139" s="6">
        <v>49</v>
      </c>
      <c r="E1139" s="6">
        <v>5</v>
      </c>
      <c r="F1139" s="6">
        <v>44</v>
      </c>
      <c r="N1139" s="119">
        <v>4.6357615894039701E-2</v>
      </c>
      <c r="O1139" s="119">
        <v>5.5766793409378998E-2</v>
      </c>
      <c r="P1139" s="119">
        <v>7.3529411764705899E-3</v>
      </c>
      <c r="Q1139" s="119">
        <v>3.03030303030303E-2</v>
      </c>
      <c r="R1139" s="119">
        <v>0</v>
      </c>
      <c r="S1139" s="119">
        <v>6.6945606694560705E-2</v>
      </c>
      <c r="T1139" s="119">
        <v>3.5874439461883401E-2</v>
      </c>
      <c r="U1139" s="119">
        <v>6.9182389937106903E-2</v>
      </c>
      <c r="V1139" s="119">
        <v>5.9210526315789498E-2</v>
      </c>
      <c r="W1139" s="6">
        <v>984</v>
      </c>
      <c r="X1139" s="40">
        <f t="shared" si="78"/>
        <v>738</v>
      </c>
      <c r="Y1139" s="40">
        <f t="shared" si="79"/>
        <v>984</v>
      </c>
      <c r="Z1139" s="59">
        <v>0.47660000000000002</v>
      </c>
      <c r="AA1139" s="59">
        <v>0.52339999999999998</v>
      </c>
      <c r="AB1139" s="61">
        <v>2.0325203252032522E-3</v>
      </c>
      <c r="AC1139" s="61">
        <v>0</v>
      </c>
      <c r="AD1139" s="61">
        <v>0.57621951219512191</v>
      </c>
      <c r="AE1139" s="61">
        <v>2.6422764227642278E-2</v>
      </c>
      <c r="AF1139" s="61">
        <v>0</v>
      </c>
      <c r="AG1139" s="61">
        <v>0.37804878048780488</v>
      </c>
      <c r="AH1139" s="61">
        <v>1.7276422764227643E-2</v>
      </c>
      <c r="AI1139" s="61">
        <v>0.62195121951219512</v>
      </c>
      <c r="AJ1139" s="59">
        <v>0.71750000000000003</v>
      </c>
      <c r="AK1139" s="59">
        <v>5.1000000000000004E-3</v>
      </c>
      <c r="AL1139" s="3">
        <v>127</v>
      </c>
      <c r="AM1139" s="3">
        <v>119</v>
      </c>
      <c r="AN1139" s="3">
        <v>17</v>
      </c>
      <c r="AO1139" s="3">
        <v>217</v>
      </c>
      <c r="AP1139" s="3">
        <v>214</v>
      </c>
      <c r="AQ1139" s="3">
        <v>147</v>
      </c>
      <c r="AR1139" s="3">
        <v>143</v>
      </c>
      <c r="AS1139" s="59">
        <v>7.2649572649572655E-2</v>
      </c>
      <c r="AT1139" s="3">
        <v>7</v>
      </c>
      <c r="AU1139" s="3">
        <v>6</v>
      </c>
      <c r="AV1139" s="49">
        <v>65.2173913043478</v>
      </c>
      <c r="AW1139" s="49">
        <v>29.300567107750503</v>
      </c>
      <c r="AX1139" s="49">
        <v>4.9149338374291096</v>
      </c>
      <c r="AY1139" s="67">
        <v>0.56710775047258999</v>
      </c>
      <c r="AZ1139" s="63">
        <v>0.25287356321839083</v>
      </c>
      <c r="BA1139" s="63">
        <v>1.1494252873563218E-2</v>
      </c>
      <c r="BB1139" s="77">
        <v>89.123371619163905</v>
      </c>
      <c r="BC1139" s="49">
        <v>73.440453686200399</v>
      </c>
      <c r="BD1139" s="49"/>
      <c r="BE1139" s="49"/>
      <c r="BF1139" s="49"/>
      <c r="BG1139" s="49"/>
      <c r="BH1139" s="49"/>
      <c r="BI1139" s="49"/>
      <c r="BJ1139" s="88">
        <v>17.5</v>
      </c>
      <c r="BK1139" s="126">
        <v>11679</v>
      </c>
      <c r="BL1139" s="126">
        <v>44845</v>
      </c>
      <c r="BM1139" s="126">
        <v>46885</v>
      </c>
      <c r="BN1139" s="126">
        <v>41632</v>
      </c>
      <c r="BO1139" s="59">
        <v>2.4E-2</v>
      </c>
      <c r="BP1139" s="63">
        <v>0.58699999999999997</v>
      </c>
      <c r="BQ1139" s="63">
        <v>0.1198</v>
      </c>
      <c r="BR1139" s="63">
        <v>2.4E-2</v>
      </c>
      <c r="BS1139" s="63">
        <v>0</v>
      </c>
      <c r="BT1139" s="87">
        <v>10</v>
      </c>
      <c r="BU1139" s="59">
        <f t="shared" si="80"/>
        <v>0.75480000000000003</v>
      </c>
      <c r="BV1139" s="59">
        <v>3.5900000000000001E-2</v>
      </c>
      <c r="BW1139" s="63">
        <v>0</v>
      </c>
      <c r="BX1139" s="63">
        <v>4.7600000000000003E-2</v>
      </c>
      <c r="BY1139" s="63">
        <v>0</v>
      </c>
      <c r="BZ1139" s="63">
        <v>0</v>
      </c>
      <c r="CA1139" s="87">
        <v>21.4</v>
      </c>
      <c r="CB1139" s="59">
        <f t="shared" si="81"/>
        <v>8.3500000000000005E-2</v>
      </c>
      <c r="CC1139" s="59">
        <v>0.1857</v>
      </c>
      <c r="CD1139" s="63">
        <v>0.59899999999999998</v>
      </c>
      <c r="CE1139" s="63">
        <v>0.19139999999999999</v>
      </c>
      <c r="CF1139" s="63">
        <v>2.4E-2</v>
      </c>
      <c r="CG1139" s="63">
        <v>0</v>
      </c>
      <c r="CH1139" s="87">
        <v>10.7</v>
      </c>
      <c r="CI1139" s="26" t="s">
        <v>297</v>
      </c>
      <c r="CJ1139" s="18" t="s">
        <v>505</v>
      </c>
      <c r="CK1139" s="20"/>
    </row>
    <row r="1140" spans="1:99" x14ac:dyDescent="0.25">
      <c r="A1140" s="18" t="s">
        <v>505</v>
      </c>
      <c r="B1140" s="19" t="s">
        <v>298</v>
      </c>
      <c r="C1140" s="26" t="s">
        <v>299</v>
      </c>
      <c r="D1140" s="6">
        <v>46</v>
      </c>
      <c r="E1140" s="40" t="s">
        <v>83</v>
      </c>
      <c r="F1140" s="6">
        <v>46</v>
      </c>
      <c r="N1140" s="119">
        <v>3.2485875706214702E-2</v>
      </c>
      <c r="O1140" s="119">
        <v>3.2485875706214702E-2</v>
      </c>
      <c r="P1140" s="116" t="s">
        <v>83</v>
      </c>
      <c r="Q1140" s="116" t="s">
        <v>83</v>
      </c>
      <c r="R1140" s="119">
        <v>3.125E-2</v>
      </c>
      <c r="S1140" s="119">
        <v>4.81927710843374E-2</v>
      </c>
      <c r="T1140" s="119">
        <v>2.5210084033613401E-2</v>
      </c>
      <c r="U1140" s="119">
        <v>2.9498525073746298E-2</v>
      </c>
      <c r="V1140" s="119">
        <v>2.7777777777777801E-2</v>
      </c>
      <c r="W1140" s="6">
        <v>1319</v>
      </c>
      <c r="X1140" s="40">
        <f t="shared" si="78"/>
        <v>1319</v>
      </c>
      <c r="Y1140" s="40">
        <f t="shared" si="79"/>
        <v>1319</v>
      </c>
      <c r="Z1140" s="59">
        <v>0.50870000000000004</v>
      </c>
      <c r="AA1140" s="59">
        <v>0.49130000000000001</v>
      </c>
      <c r="AB1140" s="61">
        <v>3.7907505686125853E-3</v>
      </c>
      <c r="AC1140" s="61">
        <v>2.1228203184230479E-2</v>
      </c>
      <c r="AD1140" s="61">
        <v>0.45943896891584535</v>
      </c>
      <c r="AE1140" s="61">
        <v>2.3502653525398029E-2</v>
      </c>
      <c r="AF1140" s="61">
        <v>0</v>
      </c>
      <c r="AG1140" s="61">
        <v>0.49128127369219105</v>
      </c>
      <c r="AH1140" s="61">
        <v>7.5815011372251705E-4</v>
      </c>
      <c r="AI1140" s="61">
        <v>0.5087187263078089</v>
      </c>
      <c r="AJ1140" s="59">
        <v>0.56410000000000005</v>
      </c>
      <c r="AK1140" s="59">
        <v>7.6E-3</v>
      </c>
      <c r="AL1140" s="3">
        <v>0</v>
      </c>
      <c r="AM1140" s="3">
        <v>0</v>
      </c>
      <c r="AN1140" s="3">
        <v>57</v>
      </c>
      <c r="AO1140" s="3">
        <v>303</v>
      </c>
      <c r="AP1140" s="3">
        <v>340</v>
      </c>
      <c r="AQ1140" s="3">
        <v>319</v>
      </c>
      <c r="AR1140" s="3">
        <v>300</v>
      </c>
      <c r="AS1140" s="59">
        <v>0.15833333333333333</v>
      </c>
      <c r="AT1140" s="3">
        <v>9</v>
      </c>
      <c r="AU1140" s="3">
        <v>6</v>
      </c>
      <c r="AV1140" s="49">
        <v>63.529411764705898</v>
      </c>
      <c r="AW1140" s="49">
        <v>23.088235294117602</v>
      </c>
      <c r="AX1140" s="49">
        <v>12.352941176470599</v>
      </c>
      <c r="AY1140" s="67">
        <v>1.02941176470588</v>
      </c>
      <c r="AZ1140" s="63">
        <v>6.7002881844380399E-2</v>
      </c>
      <c r="BA1140" s="63">
        <v>0.15489913544668588</v>
      </c>
      <c r="BB1140" s="78">
        <v>94.713280163092094</v>
      </c>
      <c r="BC1140" s="49"/>
      <c r="BD1140" s="49"/>
      <c r="BE1140" s="49"/>
      <c r="BF1140" s="49"/>
      <c r="BG1140" s="49"/>
      <c r="BH1140" s="49"/>
      <c r="BI1140" s="49"/>
      <c r="BJ1140" s="88">
        <v>20.5</v>
      </c>
      <c r="BK1140" s="126">
        <v>10067</v>
      </c>
      <c r="BL1140" s="126">
        <v>50872</v>
      </c>
      <c r="BM1140" s="126">
        <v>52745</v>
      </c>
      <c r="BN1140" s="126">
        <v>41373</v>
      </c>
      <c r="BO1140" s="59">
        <v>0</v>
      </c>
      <c r="BP1140" s="63">
        <v>0.42180000000000001</v>
      </c>
      <c r="BQ1140" s="63">
        <v>0.16339999999999999</v>
      </c>
      <c r="BR1140" s="63">
        <v>0</v>
      </c>
      <c r="BS1140" s="63">
        <v>7.7000000000000002E-3</v>
      </c>
      <c r="BT1140" s="87">
        <v>12.9</v>
      </c>
      <c r="BU1140" s="59">
        <f t="shared" si="80"/>
        <v>0.59289999999999998</v>
      </c>
      <c r="BV1140" s="59">
        <v>3.0599999999999999E-2</v>
      </c>
      <c r="BW1140" s="63">
        <v>0</v>
      </c>
      <c r="BX1140" s="63">
        <v>3.8300000000000001E-2</v>
      </c>
      <c r="BY1140" s="63">
        <v>0</v>
      </c>
      <c r="BZ1140" s="63">
        <v>0</v>
      </c>
      <c r="CA1140" s="87">
        <v>15.7</v>
      </c>
      <c r="CB1140" s="59">
        <f t="shared" si="81"/>
        <v>6.8900000000000003E-2</v>
      </c>
      <c r="CC1140" s="59">
        <v>0.33260000000000001</v>
      </c>
      <c r="CD1140" s="63">
        <v>0.42559999999999998</v>
      </c>
      <c r="CE1140" s="63">
        <v>0.2341</v>
      </c>
      <c r="CF1140" s="63">
        <v>0</v>
      </c>
      <c r="CG1140" s="63">
        <v>7.7000000000000002E-3</v>
      </c>
      <c r="CH1140" s="87">
        <v>12.2</v>
      </c>
      <c r="CI1140" s="26" t="s">
        <v>299</v>
      </c>
      <c r="CJ1140" s="18" t="s">
        <v>505</v>
      </c>
      <c r="CK1140" s="20"/>
    </row>
    <row r="1141" spans="1:99" x14ac:dyDescent="0.25">
      <c r="A1141" s="18" t="s">
        <v>505</v>
      </c>
      <c r="B1141" s="19" t="s">
        <v>298</v>
      </c>
      <c r="C1141" s="26" t="s">
        <v>300</v>
      </c>
      <c r="D1141" s="6">
        <v>57</v>
      </c>
      <c r="E1141" s="40" t="s">
        <v>83</v>
      </c>
      <c r="F1141" s="6">
        <v>57</v>
      </c>
      <c r="N1141" s="119">
        <v>7.6819407008086302E-2</v>
      </c>
      <c r="O1141" s="119">
        <v>7.6819407008086302E-2</v>
      </c>
      <c r="P1141" s="116" t="s">
        <v>83</v>
      </c>
      <c r="Q1141" s="116" t="s">
        <v>83</v>
      </c>
      <c r="R1141" s="119">
        <v>2.9411764705882401E-2</v>
      </c>
      <c r="S1141" s="119">
        <v>0.12682926829268301</v>
      </c>
      <c r="T1141" s="119">
        <v>7.7625570776255703E-2</v>
      </c>
      <c r="U1141" s="119">
        <v>4.3478260869565202E-2</v>
      </c>
      <c r="V1141" s="119">
        <v>5.1851851851851899E-2</v>
      </c>
      <c r="W1141" s="6">
        <v>638</v>
      </c>
      <c r="X1141" s="40">
        <f t="shared" si="78"/>
        <v>638</v>
      </c>
      <c r="Y1141" s="40">
        <f t="shared" si="79"/>
        <v>638</v>
      </c>
      <c r="Z1141" s="59">
        <v>0.50629999999999997</v>
      </c>
      <c r="AA1141" s="59">
        <v>0.49370000000000003</v>
      </c>
      <c r="AB1141" s="61">
        <v>1.567398119122257E-3</v>
      </c>
      <c r="AC1141" s="61">
        <v>2.9780564263322883E-2</v>
      </c>
      <c r="AD1141" s="61">
        <v>0.7288401253918495</v>
      </c>
      <c r="AE1141" s="61">
        <v>2.5078369905956112E-2</v>
      </c>
      <c r="AF1141" s="61">
        <v>0</v>
      </c>
      <c r="AG1141" s="61">
        <v>0.21316614420062696</v>
      </c>
      <c r="AH1141" s="61">
        <v>1.567398119122257E-3</v>
      </c>
      <c r="AI1141" s="61">
        <v>0.78683385579937304</v>
      </c>
      <c r="AJ1141" s="59">
        <v>0.80089999999999995</v>
      </c>
      <c r="AK1141" s="59">
        <v>3.2899999999999999E-2</v>
      </c>
      <c r="AL1141" s="3">
        <v>0</v>
      </c>
      <c r="AM1141" s="3">
        <v>0</v>
      </c>
      <c r="AN1141" s="3">
        <v>54</v>
      </c>
      <c r="AO1141" s="3">
        <v>164</v>
      </c>
      <c r="AP1141" s="3">
        <v>189</v>
      </c>
      <c r="AQ1141" s="3">
        <v>128</v>
      </c>
      <c r="AR1141" s="3">
        <v>103</v>
      </c>
      <c r="AS1141" s="59">
        <v>0.24770642201834864</v>
      </c>
      <c r="AT1141" s="3">
        <v>9</v>
      </c>
      <c r="AU1141" s="3">
        <v>6</v>
      </c>
      <c r="AV1141" s="49">
        <v>83.509513742071888</v>
      </c>
      <c r="AW1141" s="49">
        <v>12.4735729386892</v>
      </c>
      <c r="AX1141" s="49">
        <v>4.0169133192388999</v>
      </c>
      <c r="AY1141" s="67">
        <v>0</v>
      </c>
      <c r="AZ1141" s="63">
        <v>0.22959889349930843</v>
      </c>
      <c r="BA1141" s="63">
        <v>0.13139695712309821</v>
      </c>
      <c r="BB1141" s="77">
        <v>90.747140821748999</v>
      </c>
      <c r="BC1141" s="49"/>
      <c r="BD1141" s="49"/>
      <c r="BE1141" s="49"/>
      <c r="BF1141" s="49"/>
      <c r="BG1141" s="49"/>
      <c r="BH1141" s="49"/>
      <c r="BI1141" s="49"/>
      <c r="BJ1141" s="88">
        <v>18.5</v>
      </c>
      <c r="BK1141" s="126">
        <v>14033</v>
      </c>
      <c r="BL1141" s="126">
        <v>50582</v>
      </c>
      <c r="BM1141" s="126">
        <v>46132</v>
      </c>
      <c r="BN1141" s="126">
        <v>37509</v>
      </c>
      <c r="BO1141" s="59">
        <v>0</v>
      </c>
      <c r="BP1141" s="63">
        <v>0.25619999999999998</v>
      </c>
      <c r="BQ1141" s="63">
        <v>0.23130000000000001</v>
      </c>
      <c r="BR1141" s="63">
        <v>0</v>
      </c>
      <c r="BS1141" s="63">
        <v>0</v>
      </c>
      <c r="BT1141" s="87">
        <v>12.1</v>
      </c>
      <c r="BU1141" s="59">
        <f t="shared" si="80"/>
        <v>0.48749999999999999</v>
      </c>
      <c r="BV1141" s="59">
        <v>0.04</v>
      </c>
      <c r="BW1141" s="63">
        <v>0</v>
      </c>
      <c r="BX1141" s="63">
        <v>0.02</v>
      </c>
      <c r="BY1141" s="63">
        <v>0.01</v>
      </c>
      <c r="BZ1141" s="63">
        <v>0</v>
      </c>
      <c r="CA1141" s="87">
        <v>19.100000000000001</v>
      </c>
      <c r="CB1141" s="59">
        <f t="shared" si="81"/>
        <v>6.9999999999999993E-2</v>
      </c>
      <c r="CC1141" s="59">
        <v>0.44919999999999999</v>
      </c>
      <c r="CD1141" s="63">
        <v>0.25619999999999998</v>
      </c>
      <c r="CE1141" s="63">
        <v>0.28460000000000002</v>
      </c>
      <c r="CF1141" s="63">
        <v>0.01</v>
      </c>
      <c r="CG1141" s="63">
        <v>0</v>
      </c>
      <c r="CH1141" s="87">
        <v>11.9</v>
      </c>
      <c r="CI1141" s="26" t="s">
        <v>300</v>
      </c>
      <c r="CJ1141" s="18" t="s">
        <v>505</v>
      </c>
      <c r="CK1141" s="20"/>
    </row>
    <row r="1142" spans="1:99" x14ac:dyDescent="0.25">
      <c r="A1142" s="18" t="s">
        <v>505</v>
      </c>
      <c r="B1142" s="19" t="s">
        <v>298</v>
      </c>
      <c r="C1142" s="26" t="s">
        <v>301</v>
      </c>
      <c r="D1142" s="6">
        <v>17</v>
      </c>
      <c r="E1142" s="6">
        <v>1</v>
      </c>
      <c r="F1142" s="6">
        <v>16</v>
      </c>
      <c r="N1142" s="119">
        <v>1.7000000000000001E-2</v>
      </c>
      <c r="O1142" s="119">
        <v>2.36336779911374E-2</v>
      </c>
      <c r="P1142" s="119">
        <v>6.7567567567567597E-3</v>
      </c>
      <c r="Q1142" s="119">
        <v>0</v>
      </c>
      <c r="R1142" s="119">
        <v>0</v>
      </c>
      <c r="S1142" s="119">
        <v>2.6315789473684199E-2</v>
      </c>
      <c r="T1142" s="119">
        <v>5.8823529411764696E-3</v>
      </c>
      <c r="U1142" s="119">
        <v>4.2424242424242399E-2</v>
      </c>
      <c r="V1142" s="119">
        <v>2.5641025641025599E-2</v>
      </c>
      <c r="W1142" s="6">
        <v>1113</v>
      </c>
      <c r="X1142" s="40">
        <f t="shared" si="78"/>
        <v>656</v>
      </c>
      <c r="Y1142" s="40">
        <f t="shared" si="79"/>
        <v>968</v>
      </c>
      <c r="Z1142" s="59">
        <v>0.4798</v>
      </c>
      <c r="AA1142" s="59">
        <v>0.5202</v>
      </c>
      <c r="AB1142" s="61">
        <v>6.2893081761006293E-3</v>
      </c>
      <c r="AC1142" s="61">
        <v>3.5938903863432167E-3</v>
      </c>
      <c r="AD1142" s="61">
        <v>1.7969451931716084E-3</v>
      </c>
      <c r="AE1142" s="61">
        <v>1.3477088948787063E-2</v>
      </c>
      <c r="AF1142" s="61">
        <v>0</v>
      </c>
      <c r="AG1142" s="61">
        <v>0.97214734950584003</v>
      </c>
      <c r="AH1142" s="61">
        <v>2.6954177897574125E-3</v>
      </c>
      <c r="AI1142" s="61">
        <v>2.7852650494159928E-2</v>
      </c>
      <c r="AJ1142" s="59">
        <v>0.52559999999999996</v>
      </c>
      <c r="AK1142" s="59">
        <v>0</v>
      </c>
      <c r="AL1142" s="3">
        <v>143</v>
      </c>
      <c r="AM1142" s="3">
        <v>169</v>
      </c>
      <c r="AN1142" s="3">
        <v>32</v>
      </c>
      <c r="AO1142" s="3">
        <v>147</v>
      </c>
      <c r="AP1142" s="3">
        <v>165</v>
      </c>
      <c r="AQ1142" s="3">
        <v>161</v>
      </c>
      <c r="AR1142" s="3">
        <v>151</v>
      </c>
      <c r="AS1142" s="59">
        <v>0.1787709497206704</v>
      </c>
      <c r="AT1142" s="3">
        <v>6</v>
      </c>
      <c r="AU1142" s="3">
        <v>6</v>
      </c>
      <c r="AV1142" s="49">
        <v>60.952380952381006</v>
      </c>
      <c r="AW1142" s="49">
        <v>22.285714285714299</v>
      </c>
      <c r="AX1142" s="49">
        <v>15.809523809523801</v>
      </c>
      <c r="AY1142" s="67">
        <v>0.952380952380952</v>
      </c>
      <c r="AZ1142" s="63">
        <v>0.14372822299651569</v>
      </c>
      <c r="BA1142" s="63">
        <v>8.5365853658536592E-2</v>
      </c>
      <c r="BB1142" s="78">
        <v>92.343003027178398</v>
      </c>
      <c r="BC1142" s="49"/>
      <c r="BD1142" s="49"/>
      <c r="BE1142" s="49"/>
      <c r="BF1142" s="49"/>
      <c r="BG1142" s="49"/>
      <c r="BH1142" s="49"/>
      <c r="BI1142" s="49"/>
      <c r="BJ1142" s="88">
        <v>21.1</v>
      </c>
      <c r="BK1142" s="126">
        <v>10320</v>
      </c>
      <c r="BL1142" s="126">
        <v>52277</v>
      </c>
      <c r="BM1142" s="126">
        <v>44536</v>
      </c>
      <c r="BN1142" s="126">
        <v>41608</v>
      </c>
      <c r="BO1142" s="59">
        <v>0</v>
      </c>
      <c r="BP1142" s="63">
        <v>0.44190000000000002</v>
      </c>
      <c r="BQ1142" s="63">
        <v>0.14649999999999999</v>
      </c>
      <c r="BR1142" s="63">
        <v>0</v>
      </c>
      <c r="BS1142" s="63">
        <v>0</v>
      </c>
      <c r="BT1142" s="87">
        <v>15.1</v>
      </c>
      <c r="BU1142" s="59">
        <f t="shared" si="80"/>
        <v>0.58840000000000003</v>
      </c>
      <c r="BV1142" s="59">
        <v>3.49E-2</v>
      </c>
      <c r="BW1142" s="63">
        <v>0</v>
      </c>
      <c r="BX1142" s="63">
        <v>2.6200000000000001E-2</v>
      </c>
      <c r="BY1142" s="63">
        <v>0</v>
      </c>
      <c r="BZ1142" s="63">
        <v>0</v>
      </c>
      <c r="CA1142" s="87">
        <v>15.1</v>
      </c>
      <c r="CB1142" s="59">
        <f t="shared" si="81"/>
        <v>6.1100000000000002E-2</v>
      </c>
      <c r="CC1142" s="59">
        <v>0.35049999999999998</v>
      </c>
      <c r="CD1142" s="63">
        <v>0.45069999999999999</v>
      </c>
      <c r="CE1142" s="63">
        <v>0.1988</v>
      </c>
      <c r="CF1142" s="63">
        <v>0</v>
      </c>
      <c r="CG1142" s="63">
        <v>0</v>
      </c>
      <c r="CH1142" s="87">
        <v>14.2</v>
      </c>
      <c r="CI1142" s="26" t="s">
        <v>301</v>
      </c>
      <c r="CJ1142" s="18" t="s">
        <v>505</v>
      </c>
      <c r="CK1142" s="20"/>
    </row>
    <row r="1143" spans="1:99" x14ac:dyDescent="0.25">
      <c r="A1143" s="18" t="s">
        <v>505</v>
      </c>
      <c r="B1143" s="19" t="s">
        <v>298</v>
      </c>
      <c r="C1143" s="26" t="s">
        <v>302</v>
      </c>
      <c r="D1143" s="6">
        <v>8</v>
      </c>
      <c r="E1143" s="6">
        <v>0</v>
      </c>
      <c r="F1143" s="6">
        <v>8</v>
      </c>
      <c r="N1143" s="119">
        <v>2.4922118380062301E-2</v>
      </c>
      <c r="O1143" s="119">
        <v>3.82775119617225E-2</v>
      </c>
      <c r="P1143" s="119">
        <v>0</v>
      </c>
      <c r="Q1143" s="119">
        <v>0</v>
      </c>
      <c r="R1143" s="119">
        <v>0</v>
      </c>
      <c r="S1143" s="119">
        <v>5.2631578947368397E-2</v>
      </c>
      <c r="T1143" s="119">
        <v>3.4482758620689703E-2</v>
      </c>
      <c r="U1143" s="119">
        <v>6.5217391304347797E-2</v>
      </c>
      <c r="V1143" s="119">
        <v>0</v>
      </c>
      <c r="W1143" s="6">
        <v>674</v>
      </c>
      <c r="X1143" s="40">
        <f t="shared" si="78"/>
        <v>196</v>
      </c>
      <c r="Y1143" s="40">
        <f t="shared" si="79"/>
        <v>300</v>
      </c>
      <c r="Z1143" s="59">
        <v>0.4703</v>
      </c>
      <c r="AA1143" s="59">
        <v>0.52969999999999995</v>
      </c>
      <c r="AB1143" s="61">
        <v>1.0385756676557863E-2</v>
      </c>
      <c r="AC1143" s="61">
        <v>2.5222551928783383E-2</v>
      </c>
      <c r="AD1143" s="61">
        <v>0.15875370919881307</v>
      </c>
      <c r="AE1143" s="61">
        <v>0.18100890207715134</v>
      </c>
      <c r="AF1143" s="61">
        <v>0</v>
      </c>
      <c r="AG1143" s="61">
        <v>0.61127596439169141</v>
      </c>
      <c r="AH1143" s="61">
        <v>1.3353115727002967E-2</v>
      </c>
      <c r="AI1143" s="61">
        <v>0.38872403560830859</v>
      </c>
      <c r="AJ1143" s="59">
        <v>0.75219999999999998</v>
      </c>
      <c r="AK1143" s="59">
        <v>8.8999999999999996E-2</v>
      </c>
      <c r="AL1143" s="3">
        <v>57</v>
      </c>
      <c r="AM1143" s="3">
        <v>47</v>
      </c>
      <c r="AN1143" s="3">
        <v>9</v>
      </c>
      <c r="AO1143" s="3">
        <v>52</v>
      </c>
      <c r="AP1143" s="3">
        <v>54</v>
      </c>
      <c r="AQ1143" s="3">
        <v>44</v>
      </c>
      <c r="AR1143" s="3">
        <v>37</v>
      </c>
      <c r="AS1143" s="59">
        <v>0.14754098360655737</v>
      </c>
      <c r="AT1143" s="3">
        <v>1</v>
      </c>
      <c r="AU1143" s="3">
        <v>6</v>
      </c>
      <c r="AV1143" s="49">
        <v>50.773993808049497</v>
      </c>
      <c r="AW1143" s="49">
        <v>39.009287925696597</v>
      </c>
      <c r="AX1143" s="49">
        <v>10.216718266253901</v>
      </c>
      <c r="AY1143" s="67">
        <v>0</v>
      </c>
      <c r="AZ1143" s="63">
        <v>0.14809782608695651</v>
      </c>
      <c r="BA1143" s="63">
        <v>5.8423913043478264E-2</v>
      </c>
      <c r="BB1143" s="77">
        <v>94.303085090354799</v>
      </c>
      <c r="BC1143" s="49"/>
      <c r="BD1143" s="49"/>
      <c r="BE1143" s="49"/>
      <c r="BF1143" s="49"/>
      <c r="BG1143" s="49"/>
      <c r="BH1143" s="49"/>
      <c r="BI1143" s="49"/>
      <c r="BJ1143" s="88">
        <v>19.5</v>
      </c>
      <c r="BK1143" s="126">
        <v>10487</v>
      </c>
      <c r="BL1143" s="126">
        <v>50765</v>
      </c>
      <c r="BM1143" s="126">
        <v>49177</v>
      </c>
      <c r="BN1143" s="126">
        <v>40061</v>
      </c>
      <c r="BO1143" s="59">
        <v>0</v>
      </c>
      <c r="BP1143" s="63">
        <v>0.38990000000000002</v>
      </c>
      <c r="BQ1143" s="63">
        <v>0.13789999999999999</v>
      </c>
      <c r="BR1143" s="63">
        <v>0</v>
      </c>
      <c r="BS1143" s="63">
        <v>1.24E-2</v>
      </c>
      <c r="BT1143" s="87">
        <v>14.4</v>
      </c>
      <c r="BU1143" s="59">
        <f t="shared" si="80"/>
        <v>0.54020000000000001</v>
      </c>
      <c r="BV1143" s="59">
        <v>3.5400000000000001E-2</v>
      </c>
      <c r="BW1143" s="63">
        <v>0</v>
      </c>
      <c r="BX1143" s="63">
        <v>3.73E-2</v>
      </c>
      <c r="BY1143" s="63">
        <v>0</v>
      </c>
      <c r="BZ1143" s="63">
        <v>0</v>
      </c>
      <c r="CA1143" s="87">
        <v>16.100000000000001</v>
      </c>
      <c r="CB1143" s="59">
        <f t="shared" si="81"/>
        <v>7.2700000000000001E-2</v>
      </c>
      <c r="CC1143" s="59">
        <v>0.3851</v>
      </c>
      <c r="CD1143" s="63">
        <v>0.42720000000000002</v>
      </c>
      <c r="CE1143" s="63">
        <v>0.17519999999999999</v>
      </c>
      <c r="CF1143" s="63">
        <v>0</v>
      </c>
      <c r="CG1143" s="63">
        <v>1.24E-2</v>
      </c>
      <c r="CH1143" s="87">
        <v>13.3</v>
      </c>
      <c r="CI1143" s="26" t="s">
        <v>302</v>
      </c>
      <c r="CJ1143" s="18" t="s">
        <v>505</v>
      </c>
      <c r="CK1143" s="20"/>
    </row>
    <row r="1144" spans="1:99" x14ac:dyDescent="0.25">
      <c r="A1144" s="18" t="s">
        <v>505</v>
      </c>
      <c r="B1144" s="19" t="s">
        <v>298</v>
      </c>
      <c r="C1144" s="26" t="s">
        <v>303</v>
      </c>
      <c r="D1144" s="6">
        <v>9</v>
      </c>
      <c r="E1144" s="6">
        <v>1</v>
      </c>
      <c r="F1144" s="6">
        <v>8</v>
      </c>
      <c r="N1144" s="119">
        <v>2.54957507082153E-2</v>
      </c>
      <c r="O1144" s="119">
        <v>3.7209302325581402E-2</v>
      </c>
      <c r="P1144" s="119">
        <v>1.63934426229508E-2</v>
      </c>
      <c r="Q1144" s="119">
        <v>0</v>
      </c>
      <c r="R1144" s="119">
        <v>0</v>
      </c>
      <c r="S1144" s="119">
        <v>2.8571428571428598E-2</v>
      </c>
      <c r="T1144" s="119">
        <v>6.15384615384615E-2</v>
      </c>
      <c r="U1144" s="119">
        <v>4.7619047619047603E-2</v>
      </c>
      <c r="V1144" s="119">
        <v>0</v>
      </c>
      <c r="W1144" s="6">
        <v>772</v>
      </c>
      <c r="X1144" s="40">
        <f t="shared" si="78"/>
        <v>202</v>
      </c>
      <c r="Y1144" s="40">
        <f t="shared" si="79"/>
        <v>333</v>
      </c>
      <c r="Z1144" s="59">
        <v>0.49480000000000002</v>
      </c>
      <c r="AA1144" s="59">
        <v>0.50519999999999998</v>
      </c>
      <c r="AB1144" s="61">
        <v>1.5544041450777202E-2</v>
      </c>
      <c r="AC1144" s="61">
        <v>3.8860103626943004E-3</v>
      </c>
      <c r="AD1144" s="61">
        <v>1.1658031088082901E-2</v>
      </c>
      <c r="AE1144" s="61">
        <v>1.2953367875647668E-2</v>
      </c>
      <c r="AF1144" s="61">
        <v>0</v>
      </c>
      <c r="AG1144" s="61">
        <v>0.95466321243523311</v>
      </c>
      <c r="AH1144" s="61">
        <v>1.2953367875647669E-3</v>
      </c>
      <c r="AI1144" s="61">
        <v>4.5336787564766841E-2</v>
      </c>
      <c r="AJ1144" s="59">
        <v>0.63859999999999995</v>
      </c>
      <c r="AK1144" s="59">
        <v>5.1999999999999998E-3</v>
      </c>
      <c r="AL1144" s="3">
        <v>58</v>
      </c>
      <c r="AM1144" s="3">
        <v>73</v>
      </c>
      <c r="AN1144" s="3">
        <v>8</v>
      </c>
      <c r="AO1144" s="3">
        <v>30</v>
      </c>
      <c r="AP1144" s="3">
        <v>60</v>
      </c>
      <c r="AQ1144" s="3">
        <v>60</v>
      </c>
      <c r="AR1144" s="3">
        <v>44</v>
      </c>
      <c r="AS1144" s="59">
        <v>0.21052631578947367</v>
      </c>
      <c r="AT1144" s="3">
        <v>1</v>
      </c>
      <c r="AU1144" s="3">
        <v>6</v>
      </c>
      <c r="AV1144" s="49">
        <v>69.975186104218395</v>
      </c>
      <c r="AW1144" s="49">
        <v>26.799007444168698</v>
      </c>
      <c r="AX1144" s="49">
        <v>2.4813895781637703</v>
      </c>
      <c r="AY1144" s="67">
        <v>0.74441687344913199</v>
      </c>
      <c r="AZ1144" s="63">
        <v>0.10036275695284159</v>
      </c>
      <c r="BA1144" s="63">
        <v>5.1995163240628778E-2</v>
      </c>
      <c r="BB1144" s="78">
        <v>92.521693543970002</v>
      </c>
      <c r="BC1144" s="49"/>
      <c r="BD1144" s="49"/>
      <c r="BE1144" s="49"/>
      <c r="BF1144" s="49"/>
      <c r="BG1144" s="49"/>
      <c r="BH1144" s="49"/>
      <c r="BI1144" s="49"/>
      <c r="BJ1144" s="88">
        <v>20.100000000000001</v>
      </c>
      <c r="BK1144" s="126">
        <v>11093</v>
      </c>
      <c r="BL1144" s="126">
        <v>50079</v>
      </c>
      <c r="BM1144" s="126">
        <v>57525</v>
      </c>
      <c r="BN1144" s="126">
        <v>39721</v>
      </c>
      <c r="BO1144" s="59">
        <v>0</v>
      </c>
      <c r="BP1144" s="63">
        <v>0.3926</v>
      </c>
      <c r="BQ1144" s="63">
        <v>0.1459</v>
      </c>
      <c r="BR1144" s="63">
        <v>0</v>
      </c>
      <c r="BS1144" s="63">
        <v>0</v>
      </c>
      <c r="BT1144" s="87">
        <v>12.5</v>
      </c>
      <c r="BU1144" s="59">
        <f t="shared" si="80"/>
        <v>0.53849999999999998</v>
      </c>
      <c r="BV1144" s="59">
        <v>2.5700000000000001E-2</v>
      </c>
      <c r="BW1144" s="63">
        <v>0</v>
      </c>
      <c r="BX1144" s="63">
        <v>3.9399999999999998E-2</v>
      </c>
      <c r="BY1144" s="63">
        <v>0</v>
      </c>
      <c r="BZ1144" s="63">
        <v>0</v>
      </c>
      <c r="CA1144" s="87">
        <v>21.3</v>
      </c>
      <c r="CB1144" s="59">
        <f t="shared" si="81"/>
        <v>6.5099999999999991E-2</v>
      </c>
      <c r="CC1144" s="59">
        <v>0.39639999999999997</v>
      </c>
      <c r="CD1144" s="63">
        <v>0.40289999999999998</v>
      </c>
      <c r="CE1144" s="63">
        <v>0.20069999999999999</v>
      </c>
      <c r="CF1144" s="63">
        <v>0</v>
      </c>
      <c r="CG1144" s="63">
        <v>0</v>
      </c>
      <c r="CH1144" s="87">
        <v>13.3</v>
      </c>
      <c r="CI1144" s="26" t="s">
        <v>303</v>
      </c>
      <c r="CJ1144" s="18" t="s">
        <v>505</v>
      </c>
      <c r="CK1144" s="20"/>
    </row>
    <row r="1145" spans="1:99" x14ac:dyDescent="0.25">
      <c r="A1145" s="18" t="s">
        <v>505</v>
      </c>
      <c r="B1145" s="19" t="s">
        <v>298</v>
      </c>
      <c r="C1145" s="26" t="s">
        <v>304</v>
      </c>
      <c r="D1145" s="6">
        <v>50</v>
      </c>
      <c r="E1145" s="40" t="s">
        <v>83</v>
      </c>
      <c r="F1145" s="6">
        <v>50</v>
      </c>
      <c r="N1145" s="119">
        <v>6.7934782608695607E-2</v>
      </c>
      <c r="O1145" s="119">
        <v>6.7934782608695607E-2</v>
      </c>
      <c r="P1145" s="116" t="s">
        <v>83</v>
      </c>
      <c r="Q1145" s="116" t="s">
        <v>83</v>
      </c>
      <c r="R1145" s="119">
        <v>1.21951219512195E-2</v>
      </c>
      <c r="S1145" s="119">
        <v>8.3798882681564199E-2</v>
      </c>
      <c r="T1145" s="119">
        <v>9.0047393364928896E-2</v>
      </c>
      <c r="U1145" s="119">
        <v>6.2068965517241399E-2</v>
      </c>
      <c r="V1145" s="119">
        <v>5.0420168067226899E-2</v>
      </c>
      <c r="W1145" s="6">
        <v>653</v>
      </c>
      <c r="X1145" s="40">
        <f t="shared" si="78"/>
        <v>653</v>
      </c>
      <c r="Y1145" s="40">
        <f t="shared" si="79"/>
        <v>653</v>
      </c>
      <c r="Z1145" s="59">
        <v>0.49309999999999998</v>
      </c>
      <c r="AA1145" s="59">
        <v>0.50690000000000002</v>
      </c>
      <c r="AB1145" s="61">
        <v>4.5941807044410417E-3</v>
      </c>
      <c r="AC1145" s="61">
        <v>0</v>
      </c>
      <c r="AD1145" s="61">
        <v>0.97243491577335373</v>
      </c>
      <c r="AE1145" s="61">
        <v>0</v>
      </c>
      <c r="AF1145" s="61">
        <v>0</v>
      </c>
      <c r="AG1145" s="61">
        <v>2.2970903522205207E-2</v>
      </c>
      <c r="AH1145" s="61">
        <v>0</v>
      </c>
      <c r="AI1145" s="61">
        <v>0.97702909647779479</v>
      </c>
      <c r="AJ1145" s="59">
        <v>0.89429999999999998</v>
      </c>
      <c r="AK1145" s="59">
        <v>0</v>
      </c>
      <c r="AL1145" s="3">
        <v>0</v>
      </c>
      <c r="AM1145" s="3">
        <v>0</v>
      </c>
      <c r="AN1145" s="3">
        <v>72</v>
      </c>
      <c r="AO1145" s="3">
        <v>150</v>
      </c>
      <c r="AP1145" s="3">
        <v>190</v>
      </c>
      <c r="AQ1145" s="3">
        <v>147</v>
      </c>
      <c r="AR1145" s="3">
        <v>94</v>
      </c>
      <c r="AS1145" s="59">
        <v>0.32432432432432434</v>
      </c>
      <c r="AT1145" s="3">
        <v>9</v>
      </c>
      <c r="AU1145" s="3">
        <v>6</v>
      </c>
      <c r="AV1145" s="49">
        <v>69.293478260869605</v>
      </c>
      <c r="AW1145" s="49">
        <v>12.5</v>
      </c>
      <c r="AX1145" s="49">
        <v>16.304347826087</v>
      </c>
      <c r="AY1145" s="67">
        <v>1.90217391304348</v>
      </c>
      <c r="AZ1145" s="63">
        <v>8.2644628099173556E-3</v>
      </c>
      <c r="BA1145" s="63">
        <v>0.26584022038567495</v>
      </c>
      <c r="BB1145" s="77">
        <v>87.546327137616203</v>
      </c>
      <c r="BC1145" s="49"/>
      <c r="BD1145" s="49"/>
      <c r="BE1145" s="49"/>
      <c r="BF1145" s="49"/>
      <c r="BG1145" s="49"/>
      <c r="BH1145" s="49"/>
      <c r="BI1145" s="49"/>
      <c r="BJ1145" s="88">
        <v>16.100000000000001</v>
      </c>
      <c r="BK1145" s="126">
        <v>12779</v>
      </c>
      <c r="BL1145" s="126">
        <v>51467</v>
      </c>
      <c r="BM1145" s="126">
        <v>46090</v>
      </c>
      <c r="BN1145" s="126">
        <v>38445</v>
      </c>
      <c r="BO1145" s="59">
        <v>0</v>
      </c>
      <c r="BP1145" s="63">
        <v>0.31180000000000002</v>
      </c>
      <c r="BQ1145" s="63">
        <v>0.1666</v>
      </c>
      <c r="BR1145" s="63">
        <v>1.1599999999999999E-2</v>
      </c>
      <c r="BS1145" s="63">
        <v>0</v>
      </c>
      <c r="BT1145" s="87">
        <v>14.6</v>
      </c>
      <c r="BU1145" s="59">
        <f t="shared" si="80"/>
        <v>0.49000000000000005</v>
      </c>
      <c r="BV1145" s="59">
        <v>3.4700000000000002E-2</v>
      </c>
      <c r="BW1145" s="63">
        <v>0</v>
      </c>
      <c r="BX1145" s="63">
        <v>3.95E-2</v>
      </c>
      <c r="BY1145" s="63">
        <v>0</v>
      </c>
      <c r="BZ1145" s="63">
        <v>0</v>
      </c>
      <c r="CA1145" s="87">
        <v>35.299999999999997</v>
      </c>
      <c r="CB1145" s="59">
        <f t="shared" si="81"/>
        <v>7.4200000000000002E-2</v>
      </c>
      <c r="CC1145" s="59">
        <v>0.43130000000000002</v>
      </c>
      <c r="CD1145" s="63">
        <v>0.31180000000000002</v>
      </c>
      <c r="CE1145" s="63">
        <v>0.24529999999999999</v>
      </c>
      <c r="CF1145" s="63">
        <v>1.1599999999999999E-2</v>
      </c>
      <c r="CG1145" s="63">
        <v>0</v>
      </c>
      <c r="CH1145" s="87">
        <v>14.4</v>
      </c>
      <c r="CI1145" s="26" t="s">
        <v>304</v>
      </c>
      <c r="CJ1145" s="18" t="s">
        <v>505</v>
      </c>
      <c r="CK1145" s="20"/>
    </row>
    <row r="1146" spans="1:99" x14ac:dyDescent="0.25">
      <c r="A1146" s="18" t="s">
        <v>505</v>
      </c>
      <c r="B1146" s="19" t="s">
        <v>298</v>
      </c>
      <c r="C1146" s="26" t="s">
        <v>305</v>
      </c>
      <c r="D1146" s="6">
        <v>48</v>
      </c>
      <c r="E1146" s="40" t="s">
        <v>83</v>
      </c>
      <c r="F1146" s="6">
        <v>48</v>
      </c>
      <c r="N1146" s="119">
        <v>3.2193158953722302E-2</v>
      </c>
      <c r="O1146" s="119">
        <v>3.2193158953722302E-2</v>
      </c>
      <c r="P1146" s="116" t="s">
        <v>83</v>
      </c>
      <c r="Q1146" s="116" t="s">
        <v>83</v>
      </c>
      <c r="R1146" s="119">
        <v>0</v>
      </c>
      <c r="S1146" s="119">
        <v>4.0106951871657803E-2</v>
      </c>
      <c r="T1146" s="119">
        <v>3.9267015706806303E-2</v>
      </c>
      <c r="U1146" s="119">
        <v>1.7647058823529401E-2</v>
      </c>
      <c r="V1146" s="119">
        <v>3.6809815950920199E-2</v>
      </c>
      <c r="W1146" s="6">
        <v>1399</v>
      </c>
      <c r="X1146" s="40">
        <f t="shared" si="78"/>
        <v>1399</v>
      </c>
      <c r="Y1146" s="40">
        <f t="shared" si="79"/>
        <v>1399</v>
      </c>
      <c r="Z1146" s="59">
        <v>0.52039999999999997</v>
      </c>
      <c r="AA1146" s="59">
        <v>0.47960000000000003</v>
      </c>
      <c r="AB1146" s="61">
        <v>5.003573981415297E-3</v>
      </c>
      <c r="AC1146" s="61">
        <v>2.5017869907076482E-2</v>
      </c>
      <c r="AD1146" s="61">
        <v>0.3538241601143674</v>
      </c>
      <c r="AE1146" s="61">
        <v>1.2866333095067906E-2</v>
      </c>
      <c r="AF1146" s="61">
        <v>1.4295925661186562E-3</v>
      </c>
      <c r="AG1146" s="61">
        <v>0.59471050750536092</v>
      </c>
      <c r="AH1146" s="61">
        <v>7.1479628305932807E-3</v>
      </c>
      <c r="AI1146" s="61">
        <v>0.40528949249463903</v>
      </c>
      <c r="AJ1146" s="59">
        <v>0.53539999999999999</v>
      </c>
      <c r="AK1146" s="59">
        <v>2.0999999999999999E-3</v>
      </c>
      <c r="AL1146" s="3">
        <v>0</v>
      </c>
      <c r="AM1146" s="3">
        <v>0</v>
      </c>
      <c r="AN1146" s="3">
        <v>55</v>
      </c>
      <c r="AO1146" s="3">
        <v>350</v>
      </c>
      <c r="AP1146" s="3">
        <v>351</v>
      </c>
      <c r="AQ1146" s="3">
        <v>338</v>
      </c>
      <c r="AR1146" s="3">
        <v>305</v>
      </c>
      <c r="AS1146" s="59">
        <v>0.13580246913580246</v>
      </c>
      <c r="AT1146" s="3">
        <v>9</v>
      </c>
      <c r="AU1146" s="3">
        <v>6</v>
      </c>
      <c r="AV1146" s="49">
        <v>57.3913043478261</v>
      </c>
      <c r="AW1146" s="49">
        <v>23.913043478260899</v>
      </c>
      <c r="AX1146" s="49">
        <v>16.956521739130402</v>
      </c>
      <c r="AY1146" s="67">
        <v>1.7391304347826102</v>
      </c>
      <c r="AZ1146" s="63">
        <v>0.13577732518669383</v>
      </c>
      <c r="BA1146" s="63">
        <v>7.8750848608282423E-2</v>
      </c>
      <c r="BB1146" s="78">
        <v>94.262078809637103</v>
      </c>
      <c r="BC1146" s="49">
        <v>6.7888662593346902E-2</v>
      </c>
      <c r="BD1146" s="49"/>
      <c r="BE1146" s="49"/>
      <c r="BF1146" s="49"/>
      <c r="BG1146" s="49"/>
      <c r="BH1146" s="49"/>
      <c r="BI1146" s="49"/>
      <c r="BJ1146" s="88">
        <v>20.6</v>
      </c>
      <c r="BK1146" s="126">
        <v>9634</v>
      </c>
      <c r="BL1146" s="126">
        <v>50958</v>
      </c>
      <c r="BM1146" s="126">
        <v>46499</v>
      </c>
      <c r="BN1146" s="126">
        <v>40747</v>
      </c>
      <c r="BO1146" s="59">
        <v>0</v>
      </c>
      <c r="BP1146" s="63">
        <v>0.36599999999999999</v>
      </c>
      <c r="BQ1146" s="63">
        <v>0.2228</v>
      </c>
      <c r="BR1146" s="63">
        <v>0</v>
      </c>
      <c r="BS1146" s="63">
        <v>0</v>
      </c>
      <c r="BT1146" s="87">
        <v>12.7</v>
      </c>
      <c r="BU1146" s="59">
        <f t="shared" si="80"/>
        <v>0.58879999999999999</v>
      </c>
      <c r="BV1146" s="59">
        <v>2.9600000000000001E-2</v>
      </c>
      <c r="BW1146" s="63">
        <v>7.4000000000000003E-3</v>
      </c>
      <c r="BX1146" s="63">
        <v>1.4800000000000001E-2</v>
      </c>
      <c r="BY1146" s="63">
        <v>0</v>
      </c>
      <c r="BZ1146" s="63">
        <v>7.4000000000000003E-3</v>
      </c>
      <c r="CA1146" s="87">
        <v>20.3</v>
      </c>
      <c r="CB1146" s="59">
        <f t="shared" si="81"/>
        <v>5.9200000000000003E-2</v>
      </c>
      <c r="CC1146" s="59">
        <v>0.34860000000000002</v>
      </c>
      <c r="CD1146" s="63">
        <v>0.38919999999999999</v>
      </c>
      <c r="CE1146" s="63">
        <v>0.25490000000000002</v>
      </c>
      <c r="CF1146" s="63">
        <v>0</v>
      </c>
      <c r="CG1146" s="63">
        <v>7.4000000000000003E-3</v>
      </c>
      <c r="CH1146" s="87">
        <v>12.6</v>
      </c>
      <c r="CI1146" s="26" t="s">
        <v>305</v>
      </c>
      <c r="CJ1146" s="18" t="s">
        <v>505</v>
      </c>
      <c r="CK1146" s="20"/>
    </row>
    <row r="1147" spans="1:99" x14ac:dyDescent="0.25">
      <c r="A1147" s="18" t="s">
        <v>505</v>
      </c>
      <c r="B1147" s="19" t="s">
        <v>298</v>
      </c>
      <c r="C1147" s="26" t="s">
        <v>306</v>
      </c>
      <c r="D1147" s="6">
        <v>0</v>
      </c>
      <c r="E1147" s="6">
        <v>0</v>
      </c>
      <c r="F1147" s="6">
        <v>0</v>
      </c>
      <c r="N1147" s="119">
        <v>0</v>
      </c>
      <c r="O1147" s="119">
        <v>0</v>
      </c>
      <c r="P1147" s="119">
        <v>0</v>
      </c>
      <c r="Q1147" s="119">
        <v>0</v>
      </c>
      <c r="R1147" s="119">
        <v>0</v>
      </c>
      <c r="S1147" s="119">
        <v>0</v>
      </c>
      <c r="T1147" s="119">
        <v>0</v>
      </c>
      <c r="U1147" s="119">
        <v>0</v>
      </c>
      <c r="V1147" s="119">
        <v>0</v>
      </c>
      <c r="W1147" s="6">
        <v>301</v>
      </c>
      <c r="X1147" s="40">
        <f t="shared" si="78"/>
        <v>78</v>
      </c>
      <c r="Y1147" s="40">
        <f t="shared" si="79"/>
        <v>120</v>
      </c>
      <c r="Z1147" s="59">
        <v>0.51829999999999998</v>
      </c>
      <c r="AA1147" s="59">
        <v>0.48170000000000002</v>
      </c>
      <c r="AB1147" s="61">
        <v>4.3189368770764118E-2</v>
      </c>
      <c r="AC1147" s="61">
        <v>6.6445182724252493E-3</v>
      </c>
      <c r="AD1147" s="61">
        <v>1.3289036544850499E-2</v>
      </c>
      <c r="AE1147" s="61">
        <v>6.9767441860465115E-2</v>
      </c>
      <c r="AF1147" s="61">
        <v>0</v>
      </c>
      <c r="AG1147" s="61">
        <v>0.84717607973421927</v>
      </c>
      <c r="AH1147" s="61">
        <v>1.9933554817275746E-2</v>
      </c>
      <c r="AI1147" s="61">
        <v>0.15282392026578073</v>
      </c>
      <c r="AJ1147" s="59">
        <v>0.73089999999999999</v>
      </c>
      <c r="AK1147" s="59">
        <v>4.65E-2</v>
      </c>
      <c r="AL1147" s="3">
        <v>18</v>
      </c>
      <c r="AM1147" s="3">
        <v>24</v>
      </c>
      <c r="AN1147" s="3">
        <v>2</v>
      </c>
      <c r="AO1147" s="3">
        <v>20</v>
      </c>
      <c r="AP1147" s="3">
        <v>19</v>
      </c>
      <c r="AQ1147" s="3">
        <v>23</v>
      </c>
      <c r="AR1147" s="3">
        <v>14</v>
      </c>
      <c r="AS1147" s="59">
        <v>9.0909090909090912E-2</v>
      </c>
      <c r="AT1147" s="3">
        <v>1</v>
      </c>
      <c r="AU1147" s="3">
        <v>6</v>
      </c>
      <c r="AV1147" s="49">
        <v>74.860335195530709</v>
      </c>
      <c r="AW1147" s="49">
        <v>17.318435754189903</v>
      </c>
      <c r="AX1147" s="49">
        <v>7.8212290502793298</v>
      </c>
      <c r="AY1147" s="67">
        <v>0</v>
      </c>
      <c r="AZ1147" s="63">
        <v>2.8391167192429023E-2</v>
      </c>
      <c r="BA1147" s="63">
        <v>3.1545741324921135E-3</v>
      </c>
      <c r="BB1147" s="77">
        <v>91.436112309240698</v>
      </c>
      <c r="BC1147" s="49"/>
      <c r="BD1147" s="49"/>
      <c r="BE1147" s="49"/>
      <c r="BF1147" s="49"/>
      <c r="BG1147" s="49"/>
      <c r="BH1147" s="49"/>
      <c r="BI1147" s="49"/>
      <c r="BJ1147" s="88">
        <v>17.3</v>
      </c>
      <c r="BK1147" s="126">
        <v>12875</v>
      </c>
      <c r="BL1147" s="126">
        <v>49651</v>
      </c>
      <c r="BM1147" s="126">
        <v>50085</v>
      </c>
      <c r="BN1147" s="126">
        <v>39652</v>
      </c>
      <c r="BO1147" s="59">
        <v>0</v>
      </c>
      <c r="BP1147" s="63">
        <v>0.35010000000000002</v>
      </c>
      <c r="BQ1147" s="63">
        <v>0.13350000000000001</v>
      </c>
      <c r="BR1147" s="63">
        <v>0</v>
      </c>
      <c r="BS1147" s="63">
        <v>0</v>
      </c>
      <c r="BT1147" s="87">
        <v>10.6</v>
      </c>
      <c r="BU1147" s="59">
        <f t="shared" si="80"/>
        <v>0.48360000000000003</v>
      </c>
      <c r="BV1147" s="59">
        <v>4.3299999999999998E-2</v>
      </c>
      <c r="BW1147" s="63">
        <v>0</v>
      </c>
      <c r="BX1147" s="63">
        <v>2.1600000000000001E-2</v>
      </c>
      <c r="BY1147" s="63">
        <v>2.1600000000000001E-2</v>
      </c>
      <c r="BZ1147" s="63">
        <v>0</v>
      </c>
      <c r="CA1147" s="87">
        <v>16.5</v>
      </c>
      <c r="CB1147" s="59">
        <f t="shared" si="81"/>
        <v>8.6499999999999994E-2</v>
      </c>
      <c r="CC1147" s="59">
        <v>0.41899999999999998</v>
      </c>
      <c r="CD1147" s="63">
        <v>0.37169999999999997</v>
      </c>
      <c r="CE1147" s="63">
        <v>0.18759999999999999</v>
      </c>
      <c r="CF1147" s="63">
        <v>2.1600000000000001E-2</v>
      </c>
      <c r="CG1147" s="63">
        <v>0</v>
      </c>
      <c r="CH1147" s="87">
        <v>13.9</v>
      </c>
      <c r="CI1147" s="26" t="s">
        <v>306</v>
      </c>
      <c r="CJ1147" s="18" t="s">
        <v>505</v>
      </c>
      <c r="CK1147" s="20"/>
    </row>
    <row r="1148" spans="1:99" x14ac:dyDescent="0.25">
      <c r="A1148" s="18" t="s">
        <v>505</v>
      </c>
      <c r="B1148" s="19" t="s">
        <v>298</v>
      </c>
      <c r="C1148" s="26" t="s">
        <v>307</v>
      </c>
      <c r="D1148" s="6">
        <v>10</v>
      </c>
      <c r="E1148" s="40" t="s">
        <v>83</v>
      </c>
      <c r="F1148" s="6">
        <v>10</v>
      </c>
      <c r="N1148" s="119">
        <v>3.0395136778115499E-2</v>
      </c>
      <c r="O1148" s="119">
        <v>3.0395136778115499E-2</v>
      </c>
      <c r="P1148" s="116" t="s">
        <v>83</v>
      </c>
      <c r="Q1148" s="116" t="s">
        <v>83</v>
      </c>
      <c r="R1148" s="119">
        <v>0</v>
      </c>
      <c r="S1148" s="119">
        <v>1.5151515151515201E-2</v>
      </c>
      <c r="T1148" s="119">
        <v>5.2631578947368397E-2</v>
      </c>
      <c r="U1148" s="119">
        <v>1.49253731343284E-2</v>
      </c>
      <c r="V1148" s="119">
        <v>4.2253521126760597E-2</v>
      </c>
      <c r="W1148" s="6">
        <v>291</v>
      </c>
      <c r="X1148" s="40">
        <f t="shared" si="78"/>
        <v>291</v>
      </c>
      <c r="Y1148" s="40">
        <f t="shared" si="79"/>
        <v>291</v>
      </c>
      <c r="Z1148" s="59">
        <v>0.44330000000000003</v>
      </c>
      <c r="AA1148" s="59">
        <v>0.55669999999999997</v>
      </c>
      <c r="AB1148" s="61">
        <v>1.0309278350515464E-2</v>
      </c>
      <c r="AC1148" s="61">
        <v>3.4364261168384879E-3</v>
      </c>
      <c r="AD1148" s="61">
        <v>0.35738831615120276</v>
      </c>
      <c r="AE1148" s="61">
        <v>0.19931271477663232</v>
      </c>
      <c r="AF1148" s="61">
        <v>0</v>
      </c>
      <c r="AG1148" s="61">
        <v>0.42955326460481097</v>
      </c>
      <c r="AH1148" s="61">
        <v>0</v>
      </c>
      <c r="AI1148" s="61">
        <v>0.57044673539518898</v>
      </c>
      <c r="AJ1148" s="59">
        <v>0.79730000000000001</v>
      </c>
      <c r="AK1148" s="59">
        <v>4.4699999999999997E-2</v>
      </c>
      <c r="AL1148" s="3">
        <v>0</v>
      </c>
      <c r="AM1148" s="3">
        <v>0</v>
      </c>
      <c r="AN1148" s="3">
        <v>23</v>
      </c>
      <c r="AO1148" s="3">
        <v>59</v>
      </c>
      <c r="AP1148" s="3">
        <v>79</v>
      </c>
      <c r="AQ1148" s="3">
        <v>61</v>
      </c>
      <c r="AR1148" s="3">
        <v>69</v>
      </c>
      <c r="AS1148" s="59">
        <v>0.28048780487804881</v>
      </c>
      <c r="AT1148" s="3">
        <v>9</v>
      </c>
      <c r="AU1148" s="3">
        <v>6</v>
      </c>
      <c r="AV1148" s="49">
        <v>77.040816326530603</v>
      </c>
      <c r="AW1148" s="49">
        <v>13.7755102040816</v>
      </c>
      <c r="AX1148" s="49">
        <v>8.6734693877550999</v>
      </c>
      <c r="AY1148" s="67">
        <v>0.51020408163265307</v>
      </c>
      <c r="AZ1148" s="63">
        <v>0.16666666666666666</v>
      </c>
      <c r="BA1148" s="63">
        <v>8.9506172839506168E-2</v>
      </c>
      <c r="BB1148" s="78">
        <v>93.409208484221395</v>
      </c>
      <c r="BC1148" s="49"/>
      <c r="BD1148" s="49"/>
      <c r="BE1148" s="49"/>
      <c r="BF1148" s="49"/>
      <c r="BG1148" s="49"/>
      <c r="BH1148" s="49"/>
      <c r="BI1148" s="49"/>
      <c r="BJ1148" s="88">
        <v>16.899999999999999</v>
      </c>
      <c r="BK1148" s="126">
        <v>12990</v>
      </c>
      <c r="BL1148" s="126">
        <v>53218</v>
      </c>
      <c r="BM1148" s="126">
        <v>50295</v>
      </c>
      <c r="BN1148" s="126">
        <v>42676</v>
      </c>
      <c r="BO1148" s="59">
        <v>0</v>
      </c>
      <c r="BP1148" s="63">
        <v>0.37940000000000002</v>
      </c>
      <c r="BQ1148" s="63">
        <v>0.1249</v>
      </c>
      <c r="BR1148" s="63">
        <v>2.5000000000000001E-2</v>
      </c>
      <c r="BS1148" s="63">
        <v>0</v>
      </c>
      <c r="BT1148" s="87">
        <v>15</v>
      </c>
      <c r="BU1148" s="59">
        <f t="shared" si="80"/>
        <v>0.52929999999999999</v>
      </c>
      <c r="BV1148" s="59">
        <v>0.05</v>
      </c>
      <c r="BW1148" s="63">
        <v>0</v>
      </c>
      <c r="BX1148" s="63">
        <v>0.05</v>
      </c>
      <c r="BY1148" s="63">
        <v>0</v>
      </c>
      <c r="BZ1148" s="63">
        <v>0</v>
      </c>
      <c r="CA1148" s="87">
        <v>21</v>
      </c>
      <c r="CB1148" s="59">
        <f t="shared" si="81"/>
        <v>0.1</v>
      </c>
      <c r="CC1148" s="59">
        <v>0.37080000000000002</v>
      </c>
      <c r="CD1148" s="63">
        <v>0.37940000000000002</v>
      </c>
      <c r="CE1148" s="63">
        <v>0.2248</v>
      </c>
      <c r="CF1148" s="63">
        <v>2.5000000000000001E-2</v>
      </c>
      <c r="CG1148" s="63">
        <v>0</v>
      </c>
      <c r="CH1148" s="87">
        <v>13.6</v>
      </c>
      <c r="CI1148" s="26" t="s">
        <v>307</v>
      </c>
      <c r="CJ1148" s="18" t="s">
        <v>505</v>
      </c>
      <c r="CK1148" s="20"/>
    </row>
    <row r="1149" spans="1:99" x14ac:dyDescent="0.25">
      <c r="A1149" s="18" t="s">
        <v>505</v>
      </c>
      <c r="B1149" s="19" t="s">
        <v>298</v>
      </c>
      <c r="C1149" s="26" t="s">
        <v>308</v>
      </c>
      <c r="D1149" s="6">
        <v>28</v>
      </c>
      <c r="E1149" s="40" t="s">
        <v>83</v>
      </c>
      <c r="F1149" s="6">
        <v>28</v>
      </c>
      <c r="N1149" s="119">
        <v>2.58780036968577E-2</v>
      </c>
      <c r="O1149" s="119">
        <v>2.58780036968577E-2</v>
      </c>
      <c r="P1149" s="116" t="s">
        <v>83</v>
      </c>
      <c r="Q1149" s="116" t="s">
        <v>83</v>
      </c>
      <c r="R1149" s="119">
        <v>1.5384615384615399E-2</v>
      </c>
      <c r="S1149" s="119">
        <v>2.8985507246376802E-2</v>
      </c>
      <c r="T1149" s="119">
        <v>3.6144578313252997E-2</v>
      </c>
      <c r="U1149" s="119">
        <v>1.6736401673640201E-2</v>
      </c>
      <c r="V1149" s="119">
        <v>2.3715415019762799E-2</v>
      </c>
      <c r="W1149" s="6">
        <v>1013</v>
      </c>
      <c r="X1149" s="40">
        <f t="shared" si="78"/>
        <v>1013</v>
      </c>
      <c r="Y1149" s="40">
        <f t="shared" si="79"/>
        <v>1013</v>
      </c>
      <c r="Z1149" s="59">
        <v>0.48670000000000002</v>
      </c>
      <c r="AA1149" s="59">
        <v>0.51329999999999998</v>
      </c>
      <c r="AB1149" s="61">
        <v>1.9743336623889436E-3</v>
      </c>
      <c r="AC1149" s="61">
        <v>9.871668311944718E-4</v>
      </c>
      <c r="AD1149" s="61">
        <v>0.34452122408687069</v>
      </c>
      <c r="AE1149" s="61">
        <v>1.6781836130306021E-2</v>
      </c>
      <c r="AF1149" s="61">
        <v>0</v>
      </c>
      <c r="AG1149" s="61">
        <v>0.63474827245804544</v>
      </c>
      <c r="AH1149" s="61">
        <v>9.871668311944718E-4</v>
      </c>
      <c r="AI1149" s="61">
        <v>0.36525172754195456</v>
      </c>
      <c r="AJ1149" s="59">
        <v>0.67720000000000002</v>
      </c>
      <c r="AK1149" s="59">
        <v>1E-3</v>
      </c>
      <c r="AL1149" s="3">
        <v>0</v>
      </c>
      <c r="AM1149" s="3">
        <v>0</v>
      </c>
      <c r="AN1149" s="3">
        <v>61</v>
      </c>
      <c r="AO1149" s="3">
        <v>249</v>
      </c>
      <c r="AP1149" s="3">
        <v>232</v>
      </c>
      <c r="AQ1149" s="3">
        <v>230</v>
      </c>
      <c r="AR1149" s="3">
        <v>241</v>
      </c>
      <c r="AS1149" s="59">
        <v>0.1967741935483871</v>
      </c>
      <c r="AT1149" s="3">
        <v>9</v>
      </c>
      <c r="AU1149" s="3">
        <v>6</v>
      </c>
      <c r="AV1149" s="49">
        <v>64.396284829721395</v>
      </c>
      <c r="AW1149" s="49">
        <v>20.743034055727598</v>
      </c>
      <c r="AX1149" s="49">
        <v>14.241486068111501</v>
      </c>
      <c r="AY1149" s="67">
        <v>0.61919504643962908</v>
      </c>
      <c r="AZ1149" s="63">
        <v>0.16961789375582478</v>
      </c>
      <c r="BA1149" s="63">
        <v>6.7101584342963649E-2</v>
      </c>
      <c r="BB1149" s="77">
        <v>93.141340164032997</v>
      </c>
      <c r="BC1149" s="49"/>
      <c r="BD1149" s="49"/>
      <c r="BE1149" s="49"/>
      <c r="BF1149" s="49"/>
      <c r="BG1149" s="49"/>
      <c r="BH1149" s="49"/>
      <c r="BI1149" s="49"/>
      <c r="BJ1149" s="88">
        <v>19.100000000000001</v>
      </c>
      <c r="BK1149" s="126">
        <v>11018</v>
      </c>
      <c r="BL1149" s="126">
        <v>51050</v>
      </c>
      <c r="BM1149" s="126">
        <v>44965</v>
      </c>
      <c r="BN1149" s="126">
        <v>40836</v>
      </c>
      <c r="BO1149" s="59">
        <v>0</v>
      </c>
      <c r="BP1149" s="63">
        <v>0.41770000000000002</v>
      </c>
      <c r="BQ1149" s="63">
        <v>0.1719</v>
      </c>
      <c r="BR1149" s="63">
        <v>8.9999999999999993E-3</v>
      </c>
      <c r="BS1149" s="63">
        <v>0</v>
      </c>
      <c r="BT1149" s="87">
        <v>14.1</v>
      </c>
      <c r="BU1149" s="59">
        <f t="shared" si="80"/>
        <v>0.59860000000000002</v>
      </c>
      <c r="BV1149" s="59">
        <v>3.5799999999999998E-2</v>
      </c>
      <c r="BW1149" s="63">
        <v>0</v>
      </c>
      <c r="BX1149" s="63">
        <v>2.69E-2</v>
      </c>
      <c r="BY1149" s="63">
        <v>0</v>
      </c>
      <c r="BZ1149" s="63">
        <v>0</v>
      </c>
      <c r="CA1149" s="87">
        <v>15.6</v>
      </c>
      <c r="CB1149" s="59">
        <f t="shared" si="81"/>
        <v>6.2700000000000006E-2</v>
      </c>
      <c r="CC1149" s="59">
        <v>0.3483</v>
      </c>
      <c r="CD1149" s="63">
        <v>0.42670000000000002</v>
      </c>
      <c r="CE1149" s="63">
        <v>0.21609999999999999</v>
      </c>
      <c r="CF1149" s="63">
        <v>8.9999999999999993E-3</v>
      </c>
      <c r="CG1149" s="63">
        <v>0</v>
      </c>
      <c r="CH1149" s="87">
        <v>14.1</v>
      </c>
      <c r="CI1149" s="26" t="s">
        <v>308</v>
      </c>
      <c r="CJ1149" s="18" t="s">
        <v>505</v>
      </c>
      <c r="CK1149" s="20"/>
    </row>
    <row r="1150" spans="1:99" x14ac:dyDescent="0.25">
      <c r="A1150" s="18" t="s">
        <v>505</v>
      </c>
      <c r="B1150" s="19" t="s">
        <v>298</v>
      </c>
      <c r="C1150" s="26" t="s">
        <v>135</v>
      </c>
      <c r="D1150" s="6">
        <v>12</v>
      </c>
      <c r="E1150" s="6">
        <v>0</v>
      </c>
      <c r="F1150" s="6">
        <v>12</v>
      </c>
      <c r="N1150" s="119">
        <v>3.5820895522388103E-2</v>
      </c>
      <c r="O1150" s="119">
        <v>6.0913705583756299E-2</v>
      </c>
      <c r="P1150" s="119">
        <v>0</v>
      </c>
      <c r="Q1150" s="119">
        <v>0</v>
      </c>
      <c r="R1150" s="119">
        <v>0</v>
      </c>
      <c r="S1150" s="119">
        <v>4.1666666666666699E-2</v>
      </c>
      <c r="T1150" s="119">
        <v>2.1276595744680899E-2</v>
      </c>
      <c r="U1150" s="119">
        <v>0.13207547169811301</v>
      </c>
      <c r="V1150" s="119">
        <v>5.1282051282051301E-2</v>
      </c>
      <c r="W1150" s="6">
        <v>687</v>
      </c>
      <c r="X1150" s="40">
        <f t="shared" si="78"/>
        <v>175</v>
      </c>
      <c r="Y1150" s="40">
        <f t="shared" si="79"/>
        <v>296</v>
      </c>
      <c r="Z1150" s="59">
        <v>0.48909999999999998</v>
      </c>
      <c r="AA1150" s="59">
        <v>0.51090000000000002</v>
      </c>
      <c r="AB1150" s="61">
        <v>1.8922852983988356E-2</v>
      </c>
      <c r="AC1150" s="61">
        <v>2.911208151382824E-3</v>
      </c>
      <c r="AD1150" s="61">
        <v>0.37700145560407566</v>
      </c>
      <c r="AE1150" s="61">
        <v>2.1834061135371178E-2</v>
      </c>
      <c r="AF1150" s="61">
        <v>0</v>
      </c>
      <c r="AG1150" s="61">
        <v>0.57350800582241634</v>
      </c>
      <c r="AH1150" s="61">
        <v>5.822416302765648E-3</v>
      </c>
      <c r="AI1150" s="61">
        <v>0.42649199417758371</v>
      </c>
      <c r="AJ1150" s="59">
        <v>0.75980000000000003</v>
      </c>
      <c r="AK1150" s="59">
        <v>2.8999999999999998E-3</v>
      </c>
      <c r="AL1150" s="3">
        <v>53</v>
      </c>
      <c r="AM1150" s="3">
        <v>68</v>
      </c>
      <c r="AN1150" s="3">
        <v>9</v>
      </c>
      <c r="AO1150" s="3">
        <v>42</v>
      </c>
      <c r="AP1150" s="3">
        <v>42</v>
      </c>
      <c r="AQ1150" s="3">
        <v>45</v>
      </c>
      <c r="AR1150" s="3">
        <v>37</v>
      </c>
      <c r="AS1150" s="59">
        <v>0.17647058823529413</v>
      </c>
      <c r="AT1150" s="3">
        <v>1</v>
      </c>
      <c r="AU1150" s="3">
        <v>6</v>
      </c>
      <c r="AV1150" s="49">
        <v>71.646341463414601</v>
      </c>
      <c r="AW1150" s="49">
        <v>19.8170731707317</v>
      </c>
      <c r="AX1150" s="49">
        <v>7.6219512195122006</v>
      </c>
      <c r="AY1150" s="67">
        <v>0.91463414634146301</v>
      </c>
      <c r="AZ1150" s="63">
        <v>0.10875</v>
      </c>
      <c r="BA1150" s="63">
        <v>7.7499999999999999E-2</v>
      </c>
      <c r="BB1150" s="77">
        <v>92.367022895453104</v>
      </c>
      <c r="BC1150" s="49"/>
      <c r="BD1150" s="49"/>
      <c r="BE1150" s="49"/>
      <c r="BF1150" s="49"/>
      <c r="BG1150" s="49"/>
      <c r="BH1150" s="49"/>
      <c r="BI1150" s="49"/>
      <c r="BJ1150" s="88">
        <v>18.399999999999999</v>
      </c>
      <c r="BK1150" s="126">
        <v>10735</v>
      </c>
      <c r="BL1150" s="126">
        <v>49502</v>
      </c>
      <c r="BM1150" s="126">
        <v>51859</v>
      </c>
      <c r="BN1150" s="126">
        <v>39494</v>
      </c>
      <c r="BO1150" s="59">
        <v>0</v>
      </c>
      <c r="BP1150" s="63">
        <v>0.41</v>
      </c>
      <c r="BQ1150" s="63">
        <v>0.14349999999999999</v>
      </c>
      <c r="BR1150" s="63">
        <v>0</v>
      </c>
      <c r="BS1150" s="63">
        <v>0</v>
      </c>
      <c r="BT1150" s="87">
        <v>10.7</v>
      </c>
      <c r="BU1150" s="59">
        <f t="shared" si="80"/>
        <v>0.55349999999999999</v>
      </c>
      <c r="BV1150" s="59">
        <v>2.35E-2</v>
      </c>
      <c r="BW1150" s="63">
        <v>0</v>
      </c>
      <c r="BX1150" s="63">
        <v>3.5200000000000002E-2</v>
      </c>
      <c r="BY1150" s="63">
        <v>0</v>
      </c>
      <c r="BZ1150" s="63">
        <v>0</v>
      </c>
      <c r="CA1150" s="87">
        <v>16.2</v>
      </c>
      <c r="CB1150" s="59">
        <f t="shared" si="81"/>
        <v>5.8700000000000002E-2</v>
      </c>
      <c r="CC1150" s="59">
        <v>0.37609999999999999</v>
      </c>
      <c r="CD1150" s="63">
        <v>0.42170000000000002</v>
      </c>
      <c r="CE1150" s="63">
        <v>0.20219999999999999</v>
      </c>
      <c r="CF1150" s="63">
        <v>0</v>
      </c>
      <c r="CG1150" s="63">
        <v>0</v>
      </c>
      <c r="CH1150" s="87">
        <v>10.8</v>
      </c>
      <c r="CI1150" s="26" t="s">
        <v>135</v>
      </c>
      <c r="CJ1150" s="18" t="s">
        <v>505</v>
      </c>
      <c r="CK1150" s="20"/>
    </row>
    <row r="1151" spans="1:99" x14ac:dyDescent="0.25">
      <c r="A1151" s="18" t="s">
        <v>505</v>
      </c>
      <c r="B1151" s="19" t="s">
        <v>309</v>
      </c>
      <c r="C1151" s="26" t="s">
        <v>310</v>
      </c>
      <c r="D1151" s="6">
        <v>9</v>
      </c>
      <c r="E1151" s="40" t="s">
        <v>83</v>
      </c>
      <c r="F1151" s="6">
        <v>9</v>
      </c>
      <c r="N1151" s="119">
        <v>2.2959183673469399E-2</v>
      </c>
      <c r="O1151" s="119">
        <v>2.2959183673469399E-2</v>
      </c>
      <c r="P1151" s="116" t="s">
        <v>83</v>
      </c>
      <c r="Q1151" s="116" t="s">
        <v>83</v>
      </c>
      <c r="R1151" s="116" t="s">
        <v>83</v>
      </c>
      <c r="S1151" s="119">
        <v>9.6153846153846194E-3</v>
      </c>
      <c r="T1151" s="119">
        <v>3.06122448979592E-2</v>
      </c>
      <c r="U1151" s="119">
        <v>1.86915887850467E-2</v>
      </c>
      <c r="V1151" s="119">
        <v>3.6144578313252997E-2</v>
      </c>
      <c r="W1151" s="6">
        <v>364</v>
      </c>
      <c r="X1151" s="40">
        <f t="shared" si="78"/>
        <v>364</v>
      </c>
      <c r="Y1151" s="40">
        <f t="shared" si="79"/>
        <v>364</v>
      </c>
      <c r="Z1151" s="59">
        <v>0.48630000000000001</v>
      </c>
      <c r="AA1151" s="59">
        <v>0.51370000000000005</v>
      </c>
      <c r="AB1151" s="61">
        <v>2.7472527472527475E-3</v>
      </c>
      <c r="AC1151" s="61">
        <v>5.4945054945054949E-3</v>
      </c>
      <c r="AD1151" s="61">
        <v>0.65659340659340659</v>
      </c>
      <c r="AE1151" s="61">
        <v>1.3736263736263736E-2</v>
      </c>
      <c r="AF1151" s="61">
        <v>0</v>
      </c>
      <c r="AG1151" s="61">
        <v>0.32142857142857145</v>
      </c>
      <c r="AH1151" s="61">
        <v>0</v>
      </c>
      <c r="AI1151" s="61">
        <v>0.6785714285714286</v>
      </c>
      <c r="AJ1151" s="59">
        <v>0.78569999999999995</v>
      </c>
      <c r="AK1151" s="59">
        <v>0</v>
      </c>
      <c r="AL1151" s="3">
        <v>0</v>
      </c>
      <c r="AM1151" s="3">
        <v>0</v>
      </c>
      <c r="AN1151" s="3">
        <v>0</v>
      </c>
      <c r="AO1151" s="3">
        <v>94</v>
      </c>
      <c r="AP1151" s="3">
        <v>92</v>
      </c>
      <c r="AQ1151" s="3">
        <v>100</v>
      </c>
      <c r="AR1151" s="3">
        <v>78</v>
      </c>
      <c r="AS1151" s="59">
        <v>0</v>
      </c>
      <c r="AT1151" s="3">
        <v>9</v>
      </c>
      <c r="AU1151" s="3">
        <v>6</v>
      </c>
      <c r="AV1151" s="49">
        <v>87.250996015936295</v>
      </c>
      <c r="AW1151" s="49">
        <v>9.9601593625498008</v>
      </c>
      <c r="AX1151" s="49">
        <v>0.79681274900398402</v>
      </c>
      <c r="AY1151" s="67">
        <v>1.9920318725099602</v>
      </c>
      <c r="AZ1151" s="63">
        <v>0.25906735751295334</v>
      </c>
      <c r="BA1151" s="63">
        <v>1.0362694300518135E-2</v>
      </c>
      <c r="BB1151" s="78">
        <v>92.298098683449794</v>
      </c>
      <c r="BC1151" s="49">
        <v>44.050632911392398</v>
      </c>
      <c r="BD1151" s="49"/>
      <c r="BE1151" s="49"/>
      <c r="BF1151" s="49"/>
      <c r="BG1151" s="49"/>
      <c r="BH1151" s="49"/>
      <c r="BI1151" s="49"/>
      <c r="BJ1151" s="88">
        <v>16.2</v>
      </c>
      <c r="BK1151" s="126">
        <v>19131</v>
      </c>
      <c r="BL1151" s="126">
        <v>68237</v>
      </c>
      <c r="BM1151" s="126">
        <v>52114</v>
      </c>
      <c r="BN1151" s="126">
        <v>56301</v>
      </c>
      <c r="BO1151" s="59">
        <v>4.7600000000000003E-2</v>
      </c>
      <c r="BP1151" s="63">
        <v>0.26279999999999998</v>
      </c>
      <c r="BQ1151" s="63">
        <v>0.2482</v>
      </c>
      <c r="BR1151" s="63">
        <v>0</v>
      </c>
      <c r="BS1151" s="63">
        <v>1.7000000000000001E-2</v>
      </c>
      <c r="BT1151" s="87">
        <v>21.9</v>
      </c>
      <c r="BU1151" s="59">
        <f t="shared" si="80"/>
        <v>0.5756</v>
      </c>
      <c r="BV1151" s="59">
        <v>6.7299999999999999E-2</v>
      </c>
      <c r="BW1151" s="63">
        <v>1.7000000000000001E-2</v>
      </c>
      <c r="BX1151" s="63">
        <v>4.6800000000000001E-2</v>
      </c>
      <c r="BY1151" s="63">
        <v>0</v>
      </c>
      <c r="BZ1151" s="63">
        <v>0</v>
      </c>
      <c r="CA1151" s="87">
        <v>21</v>
      </c>
      <c r="CB1151" s="59">
        <f t="shared" si="81"/>
        <v>0.13109999999999999</v>
      </c>
      <c r="CC1151" s="59">
        <v>0.34010000000000001</v>
      </c>
      <c r="CD1151" s="63">
        <v>0.31380000000000002</v>
      </c>
      <c r="CE1151" s="63">
        <v>0.32900000000000001</v>
      </c>
      <c r="CF1151" s="63">
        <v>0</v>
      </c>
      <c r="CG1151" s="63">
        <v>1.7000000000000001E-2</v>
      </c>
      <c r="CH1151" s="87">
        <v>19.899999999999999</v>
      </c>
      <c r="CI1151" s="26" t="s">
        <v>310</v>
      </c>
      <c r="CJ1151" s="18" t="s">
        <v>505</v>
      </c>
      <c r="CK1151" s="20"/>
    </row>
    <row r="1152" spans="1:99" x14ac:dyDescent="0.25">
      <c r="A1152" s="18" t="s">
        <v>505</v>
      </c>
      <c r="B1152" s="19" t="s">
        <v>311</v>
      </c>
      <c r="C1152" s="26" t="s">
        <v>312</v>
      </c>
      <c r="D1152" s="6">
        <v>15</v>
      </c>
      <c r="E1152" s="40" t="s">
        <v>83</v>
      </c>
      <c r="F1152" s="6">
        <v>15</v>
      </c>
      <c r="N1152" s="119">
        <v>7.10900473933649E-2</v>
      </c>
      <c r="O1152" s="119">
        <v>7.10900473933649E-2</v>
      </c>
      <c r="P1152" s="116" t="s">
        <v>83</v>
      </c>
      <c r="Q1152" s="116" t="s">
        <v>83</v>
      </c>
      <c r="R1152" s="116" t="s">
        <v>83</v>
      </c>
      <c r="S1152" s="119">
        <v>3.7037037037037E-2</v>
      </c>
      <c r="T1152" s="119">
        <v>3.4482758620689703E-2</v>
      </c>
      <c r="U1152" s="119">
        <v>7.69230769230769E-2</v>
      </c>
      <c r="V1152" s="119">
        <v>0.14893617021276601</v>
      </c>
      <c r="W1152" s="6">
        <v>180</v>
      </c>
      <c r="X1152" s="40">
        <f t="shared" si="78"/>
        <v>180</v>
      </c>
      <c r="Y1152" s="40">
        <f t="shared" si="79"/>
        <v>180</v>
      </c>
      <c r="Z1152" s="59">
        <v>0.50560000000000005</v>
      </c>
      <c r="AA1152" s="59">
        <v>0.49440000000000001</v>
      </c>
      <c r="AB1152" s="61">
        <v>0</v>
      </c>
      <c r="AC1152" s="61">
        <v>0</v>
      </c>
      <c r="AD1152" s="61">
        <v>0.90555555555555556</v>
      </c>
      <c r="AE1152" s="61">
        <v>0</v>
      </c>
      <c r="AF1152" s="61">
        <v>0</v>
      </c>
      <c r="AG1152" s="61">
        <v>8.3333333333333329E-2</v>
      </c>
      <c r="AH1152" s="61">
        <v>1.1111111111111112E-2</v>
      </c>
      <c r="AI1152" s="61">
        <v>0.91666666666666663</v>
      </c>
      <c r="AJ1152" s="59">
        <v>0.90559999999999996</v>
      </c>
      <c r="AK1152" s="59">
        <v>0</v>
      </c>
      <c r="AL1152" s="3">
        <v>0</v>
      </c>
      <c r="AM1152" s="3">
        <v>0</v>
      </c>
      <c r="AN1152" s="3">
        <v>0</v>
      </c>
      <c r="AO1152" s="3">
        <v>45</v>
      </c>
      <c r="AP1152" s="3">
        <v>50</v>
      </c>
      <c r="AQ1152" s="3">
        <v>45</v>
      </c>
      <c r="AR1152" s="3">
        <v>40</v>
      </c>
      <c r="AS1152" s="59">
        <v>0</v>
      </c>
      <c r="AT1152" s="3">
        <v>9</v>
      </c>
      <c r="AU1152" s="3">
        <v>6</v>
      </c>
      <c r="AV1152" s="49">
        <v>70.707070707070699</v>
      </c>
      <c r="AW1152" s="49">
        <v>17.171717171717198</v>
      </c>
      <c r="AX1152" s="49">
        <v>10.1010101010101</v>
      </c>
      <c r="AY1152" s="67">
        <v>2.0202020202020199</v>
      </c>
      <c r="AZ1152" s="63">
        <v>0.06</v>
      </c>
      <c r="BA1152" s="63">
        <v>0.27</v>
      </c>
      <c r="BB1152" s="78">
        <v>92.079392521780406</v>
      </c>
      <c r="BC1152" s="49">
        <v>68.656716417910403</v>
      </c>
      <c r="BD1152" s="49"/>
      <c r="BE1152" s="49"/>
      <c r="BF1152" s="49"/>
      <c r="BG1152" s="49"/>
      <c r="BH1152" s="49"/>
      <c r="BI1152" s="49"/>
      <c r="BJ1152" s="88">
        <v>15.9</v>
      </c>
      <c r="BK1152" s="126">
        <v>14059</v>
      </c>
      <c r="BL1152" s="126">
        <v>49453</v>
      </c>
      <c r="BM1152" s="126">
        <v>50559</v>
      </c>
      <c r="BN1152" s="126">
        <v>34088</v>
      </c>
      <c r="BO1152" s="59">
        <v>0</v>
      </c>
      <c r="BP1152" s="63">
        <v>0.17780000000000001</v>
      </c>
      <c r="BQ1152" s="63">
        <v>0.18290000000000001</v>
      </c>
      <c r="BR1152" s="63">
        <v>0</v>
      </c>
      <c r="BS1152" s="63">
        <v>0</v>
      </c>
      <c r="BT1152" s="87">
        <v>11.6</v>
      </c>
      <c r="BU1152" s="59">
        <f t="shared" si="80"/>
        <v>0.36070000000000002</v>
      </c>
      <c r="BV1152" s="59">
        <v>0.03</v>
      </c>
      <c r="BW1152" s="63">
        <v>0</v>
      </c>
      <c r="BX1152" s="63">
        <v>5.3900000000000003E-2</v>
      </c>
      <c r="BY1152" s="63">
        <v>0</v>
      </c>
      <c r="BZ1152" s="63">
        <v>0</v>
      </c>
      <c r="CA1152" s="87">
        <v>11.4</v>
      </c>
      <c r="CB1152" s="59">
        <f t="shared" si="81"/>
        <v>8.3900000000000002E-2</v>
      </c>
      <c r="CC1152" s="59">
        <v>0.55279999999999996</v>
      </c>
      <c r="CD1152" s="63">
        <v>0.17780000000000001</v>
      </c>
      <c r="CE1152" s="63">
        <v>0.26950000000000002</v>
      </c>
      <c r="CF1152" s="63">
        <v>0</v>
      </c>
      <c r="CG1152" s="63">
        <v>0</v>
      </c>
      <c r="CH1152" s="87">
        <v>14.9</v>
      </c>
      <c r="CI1152" s="26" t="s">
        <v>312</v>
      </c>
      <c r="CJ1152" s="18" t="s">
        <v>505</v>
      </c>
      <c r="CK1152" s="20"/>
    </row>
    <row r="1153" spans="1:89" x14ac:dyDescent="0.25">
      <c r="A1153" s="18" t="s">
        <v>505</v>
      </c>
      <c r="B1153" s="19" t="s">
        <v>311</v>
      </c>
      <c r="C1153" s="26" t="s">
        <v>313</v>
      </c>
      <c r="D1153" s="6">
        <v>3</v>
      </c>
      <c r="E1153" s="40" t="s">
        <v>83</v>
      </c>
      <c r="F1153" s="6">
        <v>3</v>
      </c>
      <c r="N1153" s="119">
        <v>8.6956521739130401E-3</v>
      </c>
      <c r="O1153" s="119">
        <v>8.6956521739130401E-3</v>
      </c>
      <c r="P1153" s="116" t="s">
        <v>83</v>
      </c>
      <c r="Q1153" s="116" t="s">
        <v>83</v>
      </c>
      <c r="R1153" s="116" t="s">
        <v>83</v>
      </c>
      <c r="S1153" s="119">
        <v>1.9607843137254902E-2</v>
      </c>
      <c r="T1153" s="119">
        <v>0</v>
      </c>
      <c r="U1153" s="119">
        <v>1.1111111111111099E-2</v>
      </c>
      <c r="V1153" s="119">
        <v>0</v>
      </c>
      <c r="W1153" s="6">
        <v>316</v>
      </c>
      <c r="X1153" s="40">
        <f t="shared" si="78"/>
        <v>316</v>
      </c>
      <c r="Y1153" s="40">
        <f t="shared" si="79"/>
        <v>316</v>
      </c>
      <c r="Z1153" s="59">
        <v>0.54110000000000003</v>
      </c>
      <c r="AA1153" s="59">
        <v>0.45889999999999997</v>
      </c>
      <c r="AB1153" s="61">
        <v>0</v>
      </c>
      <c r="AC1153" s="61">
        <v>6.3291139240506328E-3</v>
      </c>
      <c r="AD1153" s="61">
        <v>0.24050632911392406</v>
      </c>
      <c r="AE1153" s="61">
        <v>3.1645569620253164E-3</v>
      </c>
      <c r="AF1153" s="61">
        <v>0</v>
      </c>
      <c r="AG1153" s="61">
        <v>0.73734177215189878</v>
      </c>
      <c r="AH1153" s="61">
        <v>1.2658227848101266E-2</v>
      </c>
      <c r="AI1153" s="61">
        <v>0.26265822784810128</v>
      </c>
      <c r="AJ1153" s="59">
        <v>0.68669999999999998</v>
      </c>
      <c r="AK1153" s="59">
        <v>3.2000000000000002E-3</v>
      </c>
      <c r="AL1153" s="3">
        <v>0</v>
      </c>
      <c r="AM1153" s="3">
        <v>0</v>
      </c>
      <c r="AN1153" s="3">
        <v>0</v>
      </c>
      <c r="AO1153" s="3">
        <v>88</v>
      </c>
      <c r="AP1153" s="3">
        <v>67</v>
      </c>
      <c r="AQ1153" s="3">
        <v>85</v>
      </c>
      <c r="AR1153" s="3">
        <v>76</v>
      </c>
      <c r="AS1153" s="59">
        <v>0</v>
      </c>
      <c r="AT1153" s="3">
        <v>9</v>
      </c>
      <c r="AU1153" s="3">
        <v>6</v>
      </c>
      <c r="AV1153" s="49">
        <v>67.3333333333333</v>
      </c>
      <c r="AW1153" s="49">
        <v>26.6666666666667</v>
      </c>
      <c r="AX1153" s="49">
        <v>5.3333333333333304</v>
      </c>
      <c r="AY1153" s="67">
        <v>0.66666666666666696</v>
      </c>
      <c r="AZ1153" s="63">
        <v>1.1695906432748537E-2</v>
      </c>
      <c r="BA1153" s="63">
        <v>9.3567251461988299E-2</v>
      </c>
      <c r="BB1153" s="77">
        <v>93.331116891244406</v>
      </c>
      <c r="BC1153" s="49">
        <v>51.895043731778401</v>
      </c>
      <c r="BD1153" s="49"/>
      <c r="BE1153" s="49"/>
      <c r="BF1153" s="49"/>
      <c r="BG1153" s="49"/>
      <c r="BH1153" s="49"/>
      <c r="BI1153" s="49"/>
      <c r="BJ1153" s="88">
        <v>17.5</v>
      </c>
      <c r="BK1153" s="126">
        <v>9384</v>
      </c>
      <c r="BL1153" s="126">
        <v>53228</v>
      </c>
      <c r="BM1153" s="126">
        <v>56570</v>
      </c>
      <c r="BN1153" s="126">
        <v>44261</v>
      </c>
      <c r="BO1153" s="59">
        <v>0</v>
      </c>
      <c r="BP1153" s="63">
        <v>0.30499999999999999</v>
      </c>
      <c r="BQ1153" s="63">
        <v>0.2452</v>
      </c>
      <c r="BR1153" s="63">
        <v>0</v>
      </c>
      <c r="BS1153" s="63">
        <v>4.0899999999999999E-2</v>
      </c>
      <c r="BT1153" s="87">
        <v>14.7</v>
      </c>
      <c r="BU1153" s="59">
        <f t="shared" si="80"/>
        <v>0.59110000000000007</v>
      </c>
      <c r="BV1153" s="59">
        <v>4.0899999999999999E-2</v>
      </c>
      <c r="BW1153" s="63">
        <v>2.9999999999999997E-4</v>
      </c>
      <c r="BX1153" s="63">
        <v>4.0899999999999999E-2</v>
      </c>
      <c r="BY1153" s="63">
        <v>0</v>
      </c>
      <c r="BZ1153" s="63">
        <v>0</v>
      </c>
      <c r="CA1153" s="87">
        <v>20.5</v>
      </c>
      <c r="CB1153" s="59">
        <f t="shared" si="81"/>
        <v>8.2100000000000006E-2</v>
      </c>
      <c r="CC1153" s="59">
        <v>0.32690000000000002</v>
      </c>
      <c r="CD1153" s="63">
        <v>0.30530000000000002</v>
      </c>
      <c r="CE1153" s="63">
        <v>0.32690000000000002</v>
      </c>
      <c r="CF1153" s="63">
        <v>0</v>
      </c>
      <c r="CG1153" s="63">
        <v>4.0899999999999999E-2</v>
      </c>
      <c r="CH1153" s="87">
        <v>15</v>
      </c>
      <c r="CI1153" s="26" t="s">
        <v>313</v>
      </c>
      <c r="CJ1153" s="18" t="s">
        <v>505</v>
      </c>
      <c r="CK1153" s="20"/>
    </row>
    <row r="1154" spans="1:89" x14ac:dyDescent="0.25">
      <c r="A1154" s="18" t="s">
        <v>505</v>
      </c>
      <c r="B1154" s="19" t="s">
        <v>311</v>
      </c>
      <c r="C1154" s="26" t="s">
        <v>314</v>
      </c>
      <c r="D1154" s="6">
        <v>34</v>
      </c>
      <c r="E1154" s="40" t="s">
        <v>83</v>
      </c>
      <c r="F1154" s="6">
        <v>34</v>
      </c>
      <c r="N1154" s="119">
        <v>7.5723830734966593E-2</v>
      </c>
      <c r="O1154" s="119">
        <v>7.5723830734966593E-2</v>
      </c>
      <c r="P1154" s="116" t="s">
        <v>83</v>
      </c>
      <c r="Q1154" s="116" t="s">
        <v>83</v>
      </c>
      <c r="R1154" s="116" t="s">
        <v>83</v>
      </c>
      <c r="S1154" s="119">
        <v>0.11570247933884301</v>
      </c>
      <c r="T1154" s="119">
        <v>5.60747663551402E-2</v>
      </c>
      <c r="U1154" s="119">
        <v>5.0420168067226899E-2</v>
      </c>
      <c r="V1154" s="119">
        <v>7.9207920792079195E-2</v>
      </c>
      <c r="W1154" s="6">
        <v>382</v>
      </c>
      <c r="X1154" s="40">
        <f t="shared" si="78"/>
        <v>382</v>
      </c>
      <c r="Y1154" s="40">
        <f t="shared" si="79"/>
        <v>382</v>
      </c>
      <c r="Z1154" s="59">
        <v>0.50519999999999998</v>
      </c>
      <c r="AA1154" s="59">
        <v>0.49480000000000002</v>
      </c>
      <c r="AB1154" s="61">
        <v>0</v>
      </c>
      <c r="AC1154" s="61">
        <v>5.235602094240838E-3</v>
      </c>
      <c r="AD1154" s="61">
        <v>0.60994764397905754</v>
      </c>
      <c r="AE1154" s="61">
        <v>7.8534031413612562E-3</v>
      </c>
      <c r="AF1154" s="61">
        <v>2.617801047120419E-3</v>
      </c>
      <c r="AG1154" s="61">
        <v>0.37172774869109948</v>
      </c>
      <c r="AH1154" s="61">
        <v>2.617801047120419E-3</v>
      </c>
      <c r="AI1154" s="61">
        <v>0.62827225130890052</v>
      </c>
      <c r="AJ1154" s="59">
        <v>0.81410000000000005</v>
      </c>
      <c r="AK1154" s="59">
        <v>2.5999999999999999E-3</v>
      </c>
      <c r="AL1154" s="3">
        <v>0</v>
      </c>
      <c r="AM1154" s="3">
        <v>0</v>
      </c>
      <c r="AN1154" s="3">
        <v>0</v>
      </c>
      <c r="AO1154" s="3">
        <v>93</v>
      </c>
      <c r="AP1154" s="3">
        <v>89</v>
      </c>
      <c r="AQ1154" s="3">
        <v>106</v>
      </c>
      <c r="AR1154" s="3">
        <v>94</v>
      </c>
      <c r="AS1154" s="59">
        <v>0</v>
      </c>
      <c r="AT1154" s="3">
        <v>9</v>
      </c>
      <c r="AU1154" s="3">
        <v>6</v>
      </c>
      <c r="AV1154" s="49">
        <v>79.282868525896404</v>
      </c>
      <c r="AW1154" s="49">
        <v>10.7569721115538</v>
      </c>
      <c r="AX1154" s="49">
        <v>8.7649402390438294</v>
      </c>
      <c r="AY1154" s="67">
        <v>1.1952191235059801</v>
      </c>
      <c r="AZ1154" s="63">
        <v>0</v>
      </c>
      <c r="BA1154" s="63">
        <v>0.16359447004608296</v>
      </c>
      <c r="BB1154" s="78">
        <v>91.206184236007999</v>
      </c>
      <c r="BC1154" s="49">
        <v>68.192219679633894</v>
      </c>
      <c r="BD1154" s="49"/>
      <c r="BE1154" s="49"/>
      <c r="BF1154" s="49"/>
      <c r="BG1154" s="49"/>
      <c r="BH1154" s="49"/>
      <c r="BI1154" s="49"/>
      <c r="BJ1154" s="88">
        <v>17</v>
      </c>
      <c r="BK1154" s="126">
        <v>10896</v>
      </c>
      <c r="BL1154" s="126">
        <v>53702</v>
      </c>
      <c r="BM1154" s="126">
        <v>49812</v>
      </c>
      <c r="BN1154" s="126">
        <v>44203</v>
      </c>
      <c r="BO1154" s="59">
        <v>2.7199999999999998E-2</v>
      </c>
      <c r="BP1154" s="63">
        <v>0.2167</v>
      </c>
      <c r="BQ1154" s="63">
        <v>0.35160000000000002</v>
      </c>
      <c r="BR1154" s="63">
        <v>0</v>
      </c>
      <c r="BS1154" s="63">
        <v>2.7199999999999998E-2</v>
      </c>
      <c r="BT1154" s="87">
        <v>12.9</v>
      </c>
      <c r="BU1154" s="59">
        <f t="shared" si="80"/>
        <v>0.62270000000000003</v>
      </c>
      <c r="BV1154" s="59">
        <v>2.1999999999999999E-2</v>
      </c>
      <c r="BW1154" s="63">
        <v>4.0000000000000002E-4</v>
      </c>
      <c r="BX1154" s="63">
        <v>2.75E-2</v>
      </c>
      <c r="BY1154" s="63">
        <v>0</v>
      </c>
      <c r="BZ1154" s="63">
        <v>0</v>
      </c>
      <c r="CA1154" s="87">
        <v>19.600000000000001</v>
      </c>
      <c r="CB1154" s="59">
        <f t="shared" si="81"/>
        <v>4.99E-2</v>
      </c>
      <c r="CC1154" s="59">
        <v>0.3216</v>
      </c>
      <c r="CD1154" s="63">
        <v>0.24429999999999999</v>
      </c>
      <c r="CE1154" s="63">
        <v>0.40679999999999999</v>
      </c>
      <c r="CF1154" s="63">
        <v>0</v>
      </c>
      <c r="CG1154" s="63">
        <v>2.7199999999999998E-2</v>
      </c>
      <c r="CH1154" s="87">
        <v>13.4</v>
      </c>
      <c r="CI1154" s="26" t="s">
        <v>314</v>
      </c>
      <c r="CJ1154" s="18" t="s">
        <v>505</v>
      </c>
      <c r="CK1154" s="20"/>
    </row>
    <row r="1155" spans="1:89" x14ac:dyDescent="0.25">
      <c r="A1155" s="18" t="s">
        <v>505</v>
      </c>
      <c r="B1155" s="19" t="s">
        <v>315</v>
      </c>
      <c r="C1155" s="26" t="s">
        <v>316</v>
      </c>
      <c r="D1155" s="6">
        <v>0</v>
      </c>
      <c r="E1155" s="6">
        <v>0</v>
      </c>
      <c r="F1155" s="6">
        <v>0</v>
      </c>
      <c r="N1155" s="119">
        <v>0</v>
      </c>
      <c r="O1155" s="119">
        <v>0</v>
      </c>
      <c r="P1155" s="119">
        <v>0</v>
      </c>
      <c r="Q1155" s="119">
        <v>0</v>
      </c>
      <c r="R1155" s="116" t="s">
        <v>83</v>
      </c>
      <c r="S1155" s="119">
        <v>0</v>
      </c>
      <c r="T1155" s="119">
        <v>0</v>
      </c>
      <c r="U1155" s="119">
        <v>0</v>
      </c>
      <c r="V1155" s="119">
        <v>0</v>
      </c>
      <c r="W1155" s="6">
        <v>578</v>
      </c>
      <c r="X1155" s="40">
        <f t="shared" ref="X1155:X1218" si="82">SUM(AN1155:AR1155)</f>
        <v>160</v>
      </c>
      <c r="Y1155" s="40">
        <f t="shared" ref="Y1155:Y1218" si="83">SUM(AL1155:AR1155)</f>
        <v>262</v>
      </c>
      <c r="Z1155" s="59">
        <v>0.4844</v>
      </c>
      <c r="AA1155" s="59">
        <v>0.51559999999999995</v>
      </c>
      <c r="AB1155" s="61">
        <v>0.25605536332179929</v>
      </c>
      <c r="AC1155" s="61">
        <v>1.7301038062283738E-3</v>
      </c>
      <c r="AD1155" s="61">
        <v>1.7301038062283738E-2</v>
      </c>
      <c r="AE1155" s="61">
        <v>8.6505190311418692E-3</v>
      </c>
      <c r="AF1155" s="61">
        <v>0</v>
      </c>
      <c r="AG1155" s="61">
        <v>0.68166089965397925</v>
      </c>
      <c r="AH1155" s="61">
        <v>3.4602076124567477E-2</v>
      </c>
      <c r="AI1155" s="61">
        <v>0.31833910034602075</v>
      </c>
      <c r="AJ1155" s="59">
        <v>0.57440000000000002</v>
      </c>
      <c r="AK1155" s="59">
        <v>0</v>
      </c>
      <c r="AL1155" s="3">
        <v>46</v>
      </c>
      <c r="AM1155" s="3">
        <v>56</v>
      </c>
      <c r="AN1155" s="3">
        <v>0</v>
      </c>
      <c r="AO1155" s="3">
        <v>48</v>
      </c>
      <c r="AP1155" s="3">
        <v>34</v>
      </c>
      <c r="AQ1155" s="3">
        <v>42</v>
      </c>
      <c r="AR1155" s="3">
        <v>36</v>
      </c>
      <c r="AS1155" s="59">
        <v>0</v>
      </c>
      <c r="AT1155" s="3">
        <v>1</v>
      </c>
      <c r="AU1155" s="3">
        <v>6</v>
      </c>
      <c r="AV1155" s="49">
        <v>77.160493827160508</v>
      </c>
      <c r="AW1155" s="49">
        <v>20.370370370370399</v>
      </c>
      <c r="AX1155" s="49">
        <v>1.8518518518518501</v>
      </c>
      <c r="AY1155" s="67">
        <v>0.61728395061728403</v>
      </c>
      <c r="AZ1155" s="63">
        <v>1.948051948051948E-2</v>
      </c>
      <c r="BA1155" s="63">
        <v>9.0909090909090912E-2</v>
      </c>
      <c r="BB1155" s="77">
        <v>92.838461538461502</v>
      </c>
      <c r="BC1155" s="49">
        <v>58.843537414966001</v>
      </c>
      <c r="BD1155" s="49"/>
      <c r="BE1155" s="49"/>
      <c r="BF1155" s="49"/>
      <c r="BG1155" s="49"/>
      <c r="BH1155" s="49"/>
      <c r="BI1155" s="49"/>
      <c r="BJ1155" s="88">
        <v>18.3</v>
      </c>
      <c r="BK1155" s="126">
        <v>10056</v>
      </c>
      <c r="BL1155" s="126">
        <v>46933</v>
      </c>
      <c r="BM1155" s="126">
        <v>43711</v>
      </c>
      <c r="BN1155" s="126">
        <v>35670</v>
      </c>
      <c r="BO1155" s="59">
        <v>0</v>
      </c>
      <c r="BP1155" s="63">
        <v>0.42899999999999999</v>
      </c>
      <c r="BQ1155" s="63">
        <v>8.7900000000000006E-2</v>
      </c>
      <c r="BR1155" s="63">
        <v>0</v>
      </c>
      <c r="BS1155" s="63">
        <v>0</v>
      </c>
      <c r="BT1155" s="87">
        <v>12.1</v>
      </c>
      <c r="BU1155" s="59">
        <f t="shared" si="80"/>
        <v>0.51690000000000003</v>
      </c>
      <c r="BV1155" s="59">
        <v>2.92E-2</v>
      </c>
      <c r="BW1155" s="63">
        <v>1.46E-2</v>
      </c>
      <c r="BX1155" s="63">
        <v>1.46E-2</v>
      </c>
      <c r="BY1155" s="63">
        <v>0</v>
      </c>
      <c r="BZ1155" s="63">
        <v>0</v>
      </c>
      <c r="CA1155" s="87">
        <v>17.3</v>
      </c>
      <c r="CB1155" s="59">
        <f t="shared" si="81"/>
        <v>5.8400000000000001E-2</v>
      </c>
      <c r="CC1155" s="59">
        <v>0.41</v>
      </c>
      <c r="CD1155" s="63">
        <v>0.48749999999999999</v>
      </c>
      <c r="CE1155" s="63">
        <v>0.10249999999999999</v>
      </c>
      <c r="CF1155" s="63">
        <v>0</v>
      </c>
      <c r="CG1155" s="63">
        <v>0</v>
      </c>
      <c r="CH1155" s="87">
        <v>11.8</v>
      </c>
      <c r="CI1155" s="26" t="s">
        <v>316</v>
      </c>
      <c r="CJ1155" s="18" t="s">
        <v>505</v>
      </c>
      <c r="CK1155" s="20"/>
    </row>
    <row r="1156" spans="1:89" x14ac:dyDescent="0.25">
      <c r="A1156" s="18" t="s">
        <v>505</v>
      </c>
      <c r="B1156" s="19" t="s">
        <v>315</v>
      </c>
      <c r="C1156" s="26" t="s">
        <v>317</v>
      </c>
      <c r="D1156" s="6">
        <v>1</v>
      </c>
      <c r="E1156" s="6">
        <v>0</v>
      </c>
      <c r="F1156" s="6">
        <v>1</v>
      </c>
      <c r="N1156" s="119">
        <v>6.17283950617284E-3</v>
      </c>
      <c r="O1156" s="119">
        <v>9.3457943925233603E-3</v>
      </c>
      <c r="P1156" s="119">
        <v>0</v>
      </c>
      <c r="Q1156" s="119">
        <v>0</v>
      </c>
      <c r="R1156" s="116" t="s">
        <v>83</v>
      </c>
      <c r="S1156" s="119">
        <v>0</v>
      </c>
      <c r="T1156" s="119">
        <v>0.04</v>
      </c>
      <c r="U1156" s="119">
        <v>0</v>
      </c>
      <c r="V1156" s="119">
        <v>0</v>
      </c>
      <c r="W1156" s="6">
        <v>315</v>
      </c>
      <c r="X1156" s="40">
        <f t="shared" si="82"/>
        <v>103</v>
      </c>
      <c r="Y1156" s="40">
        <f t="shared" si="83"/>
        <v>155</v>
      </c>
      <c r="Z1156" s="59">
        <v>0.42220000000000002</v>
      </c>
      <c r="AA1156" s="59">
        <v>0.57779999999999998</v>
      </c>
      <c r="AB1156" s="61">
        <v>0.65396825396825398</v>
      </c>
      <c r="AC1156" s="61">
        <v>0</v>
      </c>
      <c r="AD1156" s="61">
        <v>0</v>
      </c>
      <c r="AE1156" s="61">
        <v>3.1746031746031746E-3</v>
      </c>
      <c r="AF1156" s="61">
        <v>0</v>
      </c>
      <c r="AG1156" s="61">
        <v>0.17460317460317459</v>
      </c>
      <c r="AH1156" s="61">
        <v>0.16825396825396827</v>
      </c>
      <c r="AI1156" s="61">
        <v>0.82539682539682535</v>
      </c>
      <c r="AJ1156" s="59">
        <v>0.69520000000000004</v>
      </c>
      <c r="AK1156" s="59">
        <v>0</v>
      </c>
      <c r="AL1156" s="3">
        <v>27</v>
      </c>
      <c r="AM1156" s="3">
        <v>25</v>
      </c>
      <c r="AN1156" s="3">
        <v>0</v>
      </c>
      <c r="AO1156" s="3">
        <v>29</v>
      </c>
      <c r="AP1156" s="3">
        <v>24</v>
      </c>
      <c r="AQ1156" s="3">
        <v>25</v>
      </c>
      <c r="AR1156" s="3">
        <v>25</v>
      </c>
      <c r="AS1156" s="59">
        <v>0</v>
      </c>
      <c r="AT1156" s="3">
        <v>1</v>
      </c>
      <c r="AU1156" s="3">
        <v>6</v>
      </c>
      <c r="AV1156" s="49">
        <v>75.735294117647101</v>
      </c>
      <c r="AW1156" s="49">
        <v>16.176470588235301</v>
      </c>
      <c r="AX1156" s="49">
        <v>8.0882352941176503</v>
      </c>
      <c r="AY1156" s="67">
        <v>0</v>
      </c>
      <c r="AZ1156" s="63">
        <v>1.5290519877675841E-2</v>
      </c>
      <c r="BA1156" s="63">
        <v>0.13455657492354739</v>
      </c>
      <c r="BB1156" s="78">
        <v>92.954044600796607</v>
      </c>
      <c r="BC1156" s="49">
        <v>56.549520766773199</v>
      </c>
      <c r="BD1156" s="49"/>
      <c r="BE1156" s="49"/>
      <c r="BF1156" s="49"/>
      <c r="BG1156" s="49"/>
      <c r="BH1156" s="49"/>
      <c r="BI1156" s="49"/>
      <c r="BJ1156" s="88">
        <v>18.399999999999999</v>
      </c>
      <c r="BK1156" s="126">
        <v>10906</v>
      </c>
      <c r="BL1156" s="126">
        <v>48498</v>
      </c>
      <c r="BM1156" s="126">
        <v>53503</v>
      </c>
      <c r="BN1156" s="126">
        <v>36248</v>
      </c>
      <c r="BO1156" s="59">
        <v>0</v>
      </c>
      <c r="BP1156" s="63">
        <v>0.30320000000000003</v>
      </c>
      <c r="BQ1156" s="63">
        <v>0.1459</v>
      </c>
      <c r="BR1156" s="63">
        <v>0</v>
      </c>
      <c r="BS1156" s="63">
        <v>0</v>
      </c>
      <c r="BT1156" s="87">
        <v>16.5</v>
      </c>
      <c r="BU1156" s="59">
        <f t="shared" ref="BU1156:BU1219" si="84">SUM(BO1156:BS1156)</f>
        <v>0.44910000000000005</v>
      </c>
      <c r="BV1156" s="59">
        <v>2.4299999999999999E-2</v>
      </c>
      <c r="BW1156" s="63">
        <v>0</v>
      </c>
      <c r="BX1156" s="63">
        <v>4.87E-2</v>
      </c>
      <c r="BY1156" s="63">
        <v>0</v>
      </c>
      <c r="BZ1156" s="63">
        <v>0</v>
      </c>
      <c r="CA1156" s="87">
        <v>19</v>
      </c>
      <c r="CB1156" s="59">
        <f t="shared" ref="CB1156:CB1219" si="85">SUM(BV1156:BZ1156)</f>
        <v>7.2999999999999995E-2</v>
      </c>
      <c r="CC1156" s="59">
        <v>0.42930000000000001</v>
      </c>
      <c r="CD1156" s="63">
        <v>0.32750000000000001</v>
      </c>
      <c r="CE1156" s="63">
        <v>0.2432</v>
      </c>
      <c r="CF1156" s="63">
        <v>0</v>
      </c>
      <c r="CG1156" s="63">
        <v>0</v>
      </c>
      <c r="CH1156" s="87">
        <v>14.6</v>
      </c>
      <c r="CI1156" s="26" t="s">
        <v>317</v>
      </c>
      <c r="CJ1156" s="18" t="s">
        <v>505</v>
      </c>
      <c r="CK1156" s="20"/>
    </row>
    <row r="1157" spans="1:89" x14ac:dyDescent="0.25">
      <c r="A1157" s="18" t="s">
        <v>505</v>
      </c>
      <c r="B1157" s="19" t="s">
        <v>315</v>
      </c>
      <c r="C1157" s="26" t="s">
        <v>318</v>
      </c>
      <c r="D1157" s="6">
        <v>0</v>
      </c>
      <c r="E1157" s="6">
        <v>0</v>
      </c>
      <c r="F1157" s="6">
        <v>0</v>
      </c>
      <c r="N1157" s="119">
        <v>0</v>
      </c>
      <c r="O1157" s="119">
        <v>0</v>
      </c>
      <c r="P1157" s="119">
        <v>0</v>
      </c>
      <c r="Q1157" s="119">
        <v>0</v>
      </c>
      <c r="R1157" s="116" t="s">
        <v>83</v>
      </c>
      <c r="S1157" s="119">
        <v>0</v>
      </c>
      <c r="T1157" s="119">
        <v>0</v>
      </c>
      <c r="U1157" s="119">
        <v>0</v>
      </c>
      <c r="V1157" s="119">
        <v>0</v>
      </c>
      <c r="W1157" s="6">
        <v>562</v>
      </c>
      <c r="X1157" s="40">
        <f t="shared" si="82"/>
        <v>147</v>
      </c>
      <c r="Y1157" s="40">
        <f t="shared" si="83"/>
        <v>239</v>
      </c>
      <c r="Z1157" s="59">
        <v>0.51780000000000004</v>
      </c>
      <c r="AA1157" s="59">
        <v>0.48220000000000002</v>
      </c>
      <c r="AB1157" s="61">
        <v>6.2277580071174378E-2</v>
      </c>
      <c r="AC1157" s="61">
        <v>1.7793594306049821E-3</v>
      </c>
      <c r="AD1157" s="61">
        <v>0.12633451957295375</v>
      </c>
      <c r="AE1157" s="61">
        <v>3.3807829181494664E-2</v>
      </c>
      <c r="AF1157" s="61">
        <v>0</v>
      </c>
      <c r="AG1157" s="61">
        <v>0.75444839857651247</v>
      </c>
      <c r="AH1157" s="61">
        <v>2.1352313167259787E-2</v>
      </c>
      <c r="AI1157" s="61">
        <v>0.24555160142348753</v>
      </c>
      <c r="AJ1157" s="59">
        <v>0.57650000000000001</v>
      </c>
      <c r="AK1157" s="59">
        <v>3.5999999999999999E-3</v>
      </c>
      <c r="AL1157" s="3">
        <v>41</v>
      </c>
      <c r="AM1157" s="3">
        <v>51</v>
      </c>
      <c r="AN1157" s="3">
        <v>0</v>
      </c>
      <c r="AO1157" s="3">
        <v>41</v>
      </c>
      <c r="AP1157" s="3">
        <v>31</v>
      </c>
      <c r="AQ1157" s="3">
        <v>38</v>
      </c>
      <c r="AR1157" s="3">
        <v>37</v>
      </c>
      <c r="AS1157" s="59">
        <v>0</v>
      </c>
      <c r="AT1157" s="3">
        <v>1</v>
      </c>
      <c r="AU1157" s="3">
        <v>6</v>
      </c>
      <c r="AV1157" s="49">
        <v>73.469387755102005</v>
      </c>
      <c r="AW1157" s="49">
        <v>23.265306122449001</v>
      </c>
      <c r="AX1157" s="49">
        <v>0.81632653061224492</v>
      </c>
      <c r="AY1157" s="67">
        <v>2.4489795918367299</v>
      </c>
      <c r="AZ1157" s="63">
        <v>1.9900497512437811E-2</v>
      </c>
      <c r="BA1157" s="63">
        <v>3.6484245439469321E-2</v>
      </c>
      <c r="BB1157" s="77">
        <v>93.067477622217098</v>
      </c>
      <c r="BC1157" s="49">
        <v>56.818181818181799</v>
      </c>
      <c r="BD1157" s="49"/>
      <c r="BE1157" s="49"/>
      <c r="BF1157" s="49"/>
      <c r="BG1157" s="49"/>
      <c r="BH1157" s="49"/>
      <c r="BI1157" s="49"/>
      <c r="BJ1157" s="88">
        <v>19.7</v>
      </c>
      <c r="BK1157" s="126">
        <v>11156</v>
      </c>
      <c r="BL1157" s="126">
        <v>47812</v>
      </c>
      <c r="BM1157" s="126">
        <v>45554</v>
      </c>
      <c r="BN1157" s="126">
        <v>36296</v>
      </c>
      <c r="BO1157" s="59">
        <v>0</v>
      </c>
      <c r="BP1157" s="63">
        <v>0.39100000000000001</v>
      </c>
      <c r="BQ1157" s="63">
        <v>0.1087</v>
      </c>
      <c r="BR1157" s="63">
        <v>0</v>
      </c>
      <c r="BS1157" s="63">
        <v>0</v>
      </c>
      <c r="BT1157" s="87">
        <v>14.8</v>
      </c>
      <c r="BU1157" s="59">
        <f t="shared" si="84"/>
        <v>0.49970000000000003</v>
      </c>
      <c r="BV1157" s="59">
        <v>2.6800000000000001E-2</v>
      </c>
      <c r="BW1157" s="63">
        <v>0</v>
      </c>
      <c r="BX1157" s="63">
        <v>2.6800000000000001E-2</v>
      </c>
      <c r="BY1157" s="63">
        <v>0</v>
      </c>
      <c r="BZ1157" s="63">
        <v>0</v>
      </c>
      <c r="CA1157" s="87">
        <v>20.8</v>
      </c>
      <c r="CB1157" s="59">
        <f t="shared" si="85"/>
        <v>5.3600000000000002E-2</v>
      </c>
      <c r="CC1157" s="59">
        <v>0.40660000000000002</v>
      </c>
      <c r="CD1157" s="63">
        <v>0.4178</v>
      </c>
      <c r="CE1157" s="63">
        <v>0.17560000000000001</v>
      </c>
      <c r="CF1157" s="63">
        <v>0</v>
      </c>
      <c r="CG1157" s="63">
        <v>0</v>
      </c>
      <c r="CH1157" s="87">
        <v>13.5</v>
      </c>
      <c r="CI1157" s="26" t="s">
        <v>318</v>
      </c>
      <c r="CJ1157" s="18" t="s">
        <v>505</v>
      </c>
      <c r="CK1157" s="20"/>
    </row>
    <row r="1158" spans="1:89" x14ac:dyDescent="0.25">
      <c r="A1158" s="18" t="s">
        <v>505</v>
      </c>
      <c r="B1158" s="19" t="s">
        <v>315</v>
      </c>
      <c r="C1158" s="26" t="s">
        <v>319</v>
      </c>
      <c r="D1158" s="6">
        <v>0</v>
      </c>
      <c r="E1158" s="40" t="s">
        <v>83</v>
      </c>
      <c r="F1158" s="6">
        <v>0</v>
      </c>
      <c r="N1158" s="119">
        <v>0</v>
      </c>
      <c r="O1158" s="119">
        <v>0</v>
      </c>
      <c r="P1158" s="116" t="s">
        <v>83</v>
      </c>
      <c r="Q1158" s="116" t="s">
        <v>83</v>
      </c>
      <c r="R1158" s="116" t="s">
        <v>83</v>
      </c>
      <c r="S1158" s="119">
        <v>0</v>
      </c>
      <c r="T1158" s="119">
        <v>0</v>
      </c>
      <c r="U1158" s="119">
        <v>0</v>
      </c>
      <c r="V1158" s="119">
        <v>0</v>
      </c>
      <c r="W1158" s="6">
        <v>330</v>
      </c>
      <c r="X1158" s="40">
        <f t="shared" si="82"/>
        <v>330</v>
      </c>
      <c r="Y1158" s="40">
        <f t="shared" si="83"/>
        <v>330</v>
      </c>
      <c r="Z1158" s="59">
        <v>0.4788</v>
      </c>
      <c r="AA1158" s="59">
        <v>0.5212</v>
      </c>
      <c r="AB1158" s="61">
        <v>6.0606060606060608E-2</v>
      </c>
      <c r="AC1158" s="61">
        <v>3.0303030303030303E-3</v>
      </c>
      <c r="AD1158" s="61">
        <v>0.39393939393939392</v>
      </c>
      <c r="AE1158" s="61">
        <v>3.3333333333333333E-2</v>
      </c>
      <c r="AF1158" s="61">
        <v>0</v>
      </c>
      <c r="AG1158" s="61">
        <v>0.47575757575757577</v>
      </c>
      <c r="AH1158" s="61">
        <v>3.3333333333333333E-2</v>
      </c>
      <c r="AI1158" s="61">
        <v>0.52424242424242429</v>
      </c>
      <c r="AJ1158" s="59">
        <v>0.60909999999999997</v>
      </c>
      <c r="AK1158" s="59">
        <v>9.1000000000000004E-3</v>
      </c>
      <c r="AL1158" s="3">
        <v>0</v>
      </c>
      <c r="AM1158" s="3">
        <v>0</v>
      </c>
      <c r="AN1158" s="3">
        <v>0</v>
      </c>
      <c r="AO1158" s="3">
        <v>103</v>
      </c>
      <c r="AP1158" s="3">
        <v>80</v>
      </c>
      <c r="AQ1158" s="3">
        <v>78</v>
      </c>
      <c r="AR1158" s="3">
        <v>69</v>
      </c>
      <c r="AS1158" s="59">
        <v>0</v>
      </c>
      <c r="AT1158" s="3">
        <v>9</v>
      </c>
      <c r="AU1158" s="3">
        <v>6</v>
      </c>
      <c r="AV1158" s="49">
        <v>81.018518518518505</v>
      </c>
      <c r="AW1158" s="49">
        <v>16.6666666666667</v>
      </c>
      <c r="AX1158" s="49">
        <v>2.31481481481481</v>
      </c>
      <c r="AY1158" s="67">
        <v>0</v>
      </c>
      <c r="AZ1158" s="63">
        <v>0</v>
      </c>
      <c r="BA1158" s="63">
        <v>7.4498567335243557E-2</v>
      </c>
      <c r="BB1158" s="78">
        <v>94.803260848813494</v>
      </c>
      <c r="BC1158" s="49">
        <v>29.745042492917801</v>
      </c>
      <c r="BD1158" s="49"/>
      <c r="BE1158" s="49"/>
      <c r="BF1158" s="49"/>
      <c r="BG1158" s="49"/>
      <c r="BH1158" s="49"/>
      <c r="BI1158" s="49"/>
      <c r="BJ1158" s="88">
        <v>19</v>
      </c>
      <c r="BK1158" s="126">
        <v>12969</v>
      </c>
      <c r="BL1158" s="126">
        <v>48100</v>
      </c>
      <c r="BM1158" s="126">
        <v>52862</v>
      </c>
      <c r="BN1158" s="126">
        <v>34373</v>
      </c>
      <c r="BO1158" s="59">
        <v>0</v>
      </c>
      <c r="BP1158" s="63">
        <v>0.31590000000000001</v>
      </c>
      <c r="BQ1158" s="63">
        <v>8.7800000000000003E-2</v>
      </c>
      <c r="BR1158" s="63">
        <v>0</v>
      </c>
      <c r="BS1158" s="63">
        <v>0</v>
      </c>
      <c r="BT1158" s="87">
        <v>11.1</v>
      </c>
      <c r="BU1158" s="59">
        <f t="shared" si="84"/>
        <v>0.4037</v>
      </c>
      <c r="BV1158" s="59">
        <v>1.7600000000000001E-2</v>
      </c>
      <c r="BW1158" s="63">
        <v>0</v>
      </c>
      <c r="BX1158" s="63">
        <v>3.5099999999999999E-2</v>
      </c>
      <c r="BY1158" s="63">
        <v>0</v>
      </c>
      <c r="BZ1158" s="63">
        <v>0</v>
      </c>
      <c r="CA1158" s="87">
        <v>15.7</v>
      </c>
      <c r="CB1158" s="59">
        <f t="shared" si="85"/>
        <v>5.2699999999999997E-2</v>
      </c>
      <c r="CC1158" s="59">
        <v>0.47349999999999998</v>
      </c>
      <c r="CD1158" s="63">
        <v>0.36859999999999998</v>
      </c>
      <c r="CE1158" s="63">
        <v>0.158</v>
      </c>
      <c r="CF1158" s="63">
        <v>0</v>
      </c>
      <c r="CG1158" s="63">
        <v>0</v>
      </c>
      <c r="CH1158" s="87">
        <v>10.6</v>
      </c>
      <c r="CI1158" s="26" t="s">
        <v>319</v>
      </c>
      <c r="CJ1158" s="18" t="s">
        <v>505</v>
      </c>
      <c r="CK1158" s="20"/>
    </row>
    <row r="1159" spans="1:89" x14ac:dyDescent="0.25">
      <c r="A1159" s="18" t="s">
        <v>505</v>
      </c>
      <c r="B1159" s="19" t="s">
        <v>315</v>
      </c>
      <c r="C1159" s="26" t="s">
        <v>320</v>
      </c>
      <c r="D1159" s="6">
        <v>0</v>
      </c>
      <c r="E1159" s="6">
        <v>0</v>
      </c>
      <c r="F1159" s="6">
        <v>0</v>
      </c>
      <c r="N1159" s="119">
        <v>0</v>
      </c>
      <c r="O1159" s="119">
        <v>0</v>
      </c>
      <c r="P1159" s="119">
        <v>0</v>
      </c>
      <c r="Q1159" s="119">
        <v>0</v>
      </c>
      <c r="R1159" s="119">
        <v>0</v>
      </c>
      <c r="S1159" s="119">
        <v>0</v>
      </c>
      <c r="T1159" s="119">
        <v>0</v>
      </c>
      <c r="U1159" s="119">
        <v>0</v>
      </c>
      <c r="V1159" s="119">
        <v>0</v>
      </c>
      <c r="W1159" s="6">
        <v>492</v>
      </c>
      <c r="X1159" s="40">
        <f t="shared" si="82"/>
        <v>132</v>
      </c>
      <c r="Y1159" s="40">
        <f t="shared" si="83"/>
        <v>206</v>
      </c>
      <c r="Z1159" s="59">
        <v>0.44919999999999999</v>
      </c>
      <c r="AA1159" s="59">
        <v>0.55079999999999996</v>
      </c>
      <c r="AB1159" s="61">
        <v>6.7073170731707321E-2</v>
      </c>
      <c r="AC1159" s="61">
        <v>0</v>
      </c>
      <c r="AD1159" s="61">
        <v>8.3333333333333329E-2</v>
      </c>
      <c r="AE1159" s="61">
        <v>2.4390243902439025E-2</v>
      </c>
      <c r="AF1159" s="61">
        <v>0</v>
      </c>
      <c r="AG1159" s="61">
        <v>0.78252032520325199</v>
      </c>
      <c r="AH1159" s="61">
        <v>4.2682926829268296E-2</v>
      </c>
      <c r="AI1159" s="61">
        <v>0.21747967479674796</v>
      </c>
      <c r="AJ1159" s="59">
        <v>0.56499999999999995</v>
      </c>
      <c r="AK1159" s="59">
        <v>0</v>
      </c>
      <c r="AL1159" s="3">
        <v>36</v>
      </c>
      <c r="AM1159" s="3">
        <v>38</v>
      </c>
      <c r="AN1159" s="3">
        <v>1</v>
      </c>
      <c r="AO1159" s="3">
        <v>28</v>
      </c>
      <c r="AP1159" s="3">
        <v>34</v>
      </c>
      <c r="AQ1159" s="3">
        <v>36</v>
      </c>
      <c r="AR1159" s="3">
        <v>33</v>
      </c>
      <c r="AS1159" s="59">
        <v>3.4482758620689655E-2</v>
      </c>
      <c r="AT1159" s="3">
        <v>1</v>
      </c>
      <c r="AU1159" s="3">
        <v>6</v>
      </c>
      <c r="AV1159" s="49">
        <v>93.227091633466102</v>
      </c>
      <c r="AW1159" s="49">
        <v>1.9920318725099602</v>
      </c>
      <c r="AX1159" s="49">
        <v>3.9840637450199203</v>
      </c>
      <c r="AY1159" s="67">
        <v>0.79681274900398402</v>
      </c>
      <c r="AZ1159" s="63">
        <v>1.6605166051660517E-2</v>
      </c>
      <c r="BA1159" s="63">
        <v>4.2435424354243544E-2</v>
      </c>
      <c r="BB1159" s="77">
        <v>94.189055483674593</v>
      </c>
      <c r="BC1159" s="49">
        <v>49.309664694280102</v>
      </c>
      <c r="BD1159" s="49"/>
      <c r="BE1159" s="49"/>
      <c r="BF1159" s="49"/>
      <c r="BG1159" s="49"/>
      <c r="BH1159" s="49"/>
      <c r="BI1159" s="49"/>
      <c r="BJ1159" s="88">
        <v>19.100000000000001</v>
      </c>
      <c r="BK1159" s="126">
        <v>10886</v>
      </c>
      <c r="BL1159" s="126">
        <v>47471</v>
      </c>
      <c r="BM1159" s="126">
        <v>55230</v>
      </c>
      <c r="BN1159" s="126">
        <v>37428</v>
      </c>
      <c r="BO1159" s="59">
        <v>0</v>
      </c>
      <c r="BP1159" s="63">
        <v>0.4395</v>
      </c>
      <c r="BQ1159" s="63">
        <v>0.11260000000000001</v>
      </c>
      <c r="BR1159" s="63">
        <v>0</v>
      </c>
      <c r="BS1159" s="63">
        <v>0</v>
      </c>
      <c r="BT1159" s="87">
        <v>16.8</v>
      </c>
      <c r="BU1159" s="59">
        <f t="shared" si="84"/>
        <v>0.55210000000000004</v>
      </c>
      <c r="BV1159" s="59">
        <v>1.61E-2</v>
      </c>
      <c r="BW1159" s="63">
        <v>0</v>
      </c>
      <c r="BX1159" s="63">
        <v>1.61E-2</v>
      </c>
      <c r="BY1159" s="63">
        <v>1.61E-2</v>
      </c>
      <c r="BZ1159" s="63">
        <v>0</v>
      </c>
      <c r="CA1159" s="87">
        <v>20.3</v>
      </c>
      <c r="CB1159" s="59">
        <f t="shared" si="85"/>
        <v>4.8299999999999996E-2</v>
      </c>
      <c r="CC1159" s="59">
        <v>0.37569999999999998</v>
      </c>
      <c r="CD1159" s="63">
        <v>0.44740000000000002</v>
      </c>
      <c r="CE1159" s="63">
        <v>0.1608</v>
      </c>
      <c r="CF1159" s="63">
        <v>1.61E-2</v>
      </c>
      <c r="CG1159" s="63">
        <v>0</v>
      </c>
      <c r="CH1159" s="87">
        <v>14.1</v>
      </c>
      <c r="CI1159" s="26" t="s">
        <v>320</v>
      </c>
      <c r="CJ1159" s="18" t="s">
        <v>505</v>
      </c>
      <c r="CK1159" s="20"/>
    </row>
    <row r="1160" spans="1:89" x14ac:dyDescent="0.25">
      <c r="A1160" s="18" t="s">
        <v>505</v>
      </c>
      <c r="B1160" s="19" t="s">
        <v>315</v>
      </c>
      <c r="C1160" s="26" t="s">
        <v>321</v>
      </c>
      <c r="D1160" s="6">
        <v>0</v>
      </c>
      <c r="E1160" s="6">
        <v>0</v>
      </c>
      <c r="F1160" s="6">
        <v>0</v>
      </c>
      <c r="N1160" s="119">
        <v>0</v>
      </c>
      <c r="O1160" s="119">
        <v>0</v>
      </c>
      <c r="P1160" s="119">
        <v>0</v>
      </c>
      <c r="Q1160" s="119">
        <v>0</v>
      </c>
      <c r="R1160" s="116" t="s">
        <v>83</v>
      </c>
      <c r="S1160" s="119">
        <v>0</v>
      </c>
      <c r="T1160" s="119">
        <v>0</v>
      </c>
      <c r="U1160" s="119">
        <v>0</v>
      </c>
      <c r="V1160" s="119">
        <v>0</v>
      </c>
      <c r="W1160" s="6">
        <v>312</v>
      </c>
      <c r="X1160" s="40">
        <f t="shared" si="82"/>
        <v>90</v>
      </c>
      <c r="Y1160" s="40">
        <f t="shared" si="83"/>
        <v>145</v>
      </c>
      <c r="Z1160" s="59">
        <v>0.46789999999999998</v>
      </c>
      <c r="AA1160" s="59">
        <v>0.53210000000000002</v>
      </c>
      <c r="AB1160" s="61">
        <v>2.2435897435897436E-2</v>
      </c>
      <c r="AC1160" s="61">
        <v>3.205128205128205E-3</v>
      </c>
      <c r="AD1160" s="61">
        <v>0.33012820512820512</v>
      </c>
      <c r="AE1160" s="61">
        <v>2.8846153846153848E-2</v>
      </c>
      <c r="AF1160" s="61">
        <v>0</v>
      </c>
      <c r="AG1160" s="61">
        <v>0.58333333333333337</v>
      </c>
      <c r="AH1160" s="61">
        <v>3.2051282051282048E-2</v>
      </c>
      <c r="AI1160" s="61">
        <v>0.41666666666666669</v>
      </c>
      <c r="AJ1160" s="59">
        <v>0.68269999999999997</v>
      </c>
      <c r="AK1160" s="59">
        <v>0</v>
      </c>
      <c r="AL1160" s="3">
        <v>24</v>
      </c>
      <c r="AM1160" s="3">
        <v>31</v>
      </c>
      <c r="AN1160" s="3">
        <v>0</v>
      </c>
      <c r="AO1160" s="3">
        <v>28</v>
      </c>
      <c r="AP1160" s="3">
        <v>26</v>
      </c>
      <c r="AQ1160" s="3">
        <v>18</v>
      </c>
      <c r="AR1160" s="3">
        <v>18</v>
      </c>
      <c r="AS1160" s="59">
        <v>0</v>
      </c>
      <c r="AT1160" s="3">
        <v>1</v>
      </c>
      <c r="AU1160" s="3">
        <v>6</v>
      </c>
      <c r="AV1160" s="49">
        <v>75.838926174496606</v>
      </c>
      <c r="AW1160" s="49">
        <v>22.147651006711399</v>
      </c>
      <c r="AX1160" s="49">
        <v>2.0134228187919501</v>
      </c>
      <c r="AY1160" s="67">
        <v>0</v>
      </c>
      <c r="AZ1160" s="63">
        <v>6.5671641791044774E-2</v>
      </c>
      <c r="BA1160" s="63">
        <v>7.7611940298507459E-2</v>
      </c>
      <c r="BB1160" s="78">
        <v>94.119990194876806</v>
      </c>
      <c r="BC1160" s="49">
        <v>47.094801223241603</v>
      </c>
      <c r="BD1160" s="49"/>
      <c r="BE1160" s="49"/>
      <c r="BF1160" s="49"/>
      <c r="BG1160" s="49"/>
      <c r="BH1160" s="49"/>
      <c r="BI1160" s="49"/>
      <c r="BJ1160" s="88">
        <v>16.8</v>
      </c>
      <c r="BK1160" s="126">
        <v>11023</v>
      </c>
      <c r="BL1160" s="126">
        <v>44786</v>
      </c>
      <c r="BM1160" s="126">
        <v>54285</v>
      </c>
      <c r="BN1160" s="126">
        <v>35167</v>
      </c>
      <c r="BO1160" s="59">
        <v>0</v>
      </c>
      <c r="BP1160" s="63">
        <v>0.30620000000000003</v>
      </c>
      <c r="BQ1160" s="63">
        <v>0.18909999999999999</v>
      </c>
      <c r="BR1160" s="63">
        <v>0</v>
      </c>
      <c r="BS1160" s="63">
        <v>0</v>
      </c>
      <c r="BT1160" s="87">
        <v>9.4</v>
      </c>
      <c r="BU1160" s="59">
        <f t="shared" si="84"/>
        <v>0.49530000000000002</v>
      </c>
      <c r="BV1160" s="59">
        <v>1.9E-3</v>
      </c>
      <c r="BW1160" s="63">
        <v>1.8599999999999998E-2</v>
      </c>
      <c r="BX1160" s="63">
        <v>4.7399999999999998E-2</v>
      </c>
      <c r="BY1160" s="63">
        <v>0</v>
      </c>
      <c r="BZ1160" s="63">
        <v>0</v>
      </c>
      <c r="CA1160" s="87">
        <v>15.8</v>
      </c>
      <c r="CB1160" s="59">
        <f t="shared" si="85"/>
        <v>6.7899999999999988E-2</v>
      </c>
      <c r="CC1160" s="59">
        <v>0.38</v>
      </c>
      <c r="CD1160" s="63">
        <v>0.3624</v>
      </c>
      <c r="CE1160" s="63">
        <v>0.23649999999999999</v>
      </c>
      <c r="CF1160" s="63">
        <v>2.1000000000000001E-2</v>
      </c>
      <c r="CG1160" s="63">
        <v>0</v>
      </c>
      <c r="CH1160" s="87">
        <v>12</v>
      </c>
      <c r="CI1160" s="26" t="s">
        <v>321</v>
      </c>
      <c r="CJ1160" s="18" t="s">
        <v>505</v>
      </c>
      <c r="CK1160" s="20"/>
    </row>
    <row r="1161" spans="1:89" x14ac:dyDescent="0.25">
      <c r="A1161" s="18" t="s">
        <v>505</v>
      </c>
      <c r="B1161" s="19" t="s">
        <v>315</v>
      </c>
      <c r="C1161" s="26" t="s">
        <v>322</v>
      </c>
      <c r="D1161" s="6">
        <v>0</v>
      </c>
      <c r="E1161" s="6">
        <v>0</v>
      </c>
      <c r="F1161" s="6">
        <v>0</v>
      </c>
      <c r="N1161" s="119">
        <v>0</v>
      </c>
      <c r="O1161" s="119">
        <v>0</v>
      </c>
      <c r="P1161" s="119">
        <v>0</v>
      </c>
      <c r="Q1161" s="119">
        <v>0</v>
      </c>
      <c r="R1161" s="116" t="s">
        <v>83</v>
      </c>
      <c r="S1161" s="119">
        <v>0</v>
      </c>
      <c r="T1161" s="119">
        <v>0</v>
      </c>
      <c r="U1161" s="119">
        <v>0</v>
      </c>
      <c r="V1161" s="119">
        <v>0</v>
      </c>
      <c r="W1161" s="6">
        <v>335</v>
      </c>
      <c r="X1161" s="40">
        <f t="shared" si="82"/>
        <v>195</v>
      </c>
      <c r="Y1161" s="40">
        <f t="shared" si="83"/>
        <v>335</v>
      </c>
      <c r="Z1161" s="59">
        <v>0.48959999999999998</v>
      </c>
      <c r="AA1161" s="59">
        <v>0.51039999999999996</v>
      </c>
      <c r="AB1161" s="61">
        <v>0.34626865671641793</v>
      </c>
      <c r="AC1161" s="61">
        <v>0</v>
      </c>
      <c r="AD1161" s="61">
        <v>0.32537313432835818</v>
      </c>
      <c r="AE1161" s="61">
        <v>2.9850746268656716E-2</v>
      </c>
      <c r="AF1161" s="61">
        <v>0</v>
      </c>
      <c r="AG1161" s="61">
        <v>0.12835820895522387</v>
      </c>
      <c r="AH1161" s="61">
        <v>0.17014925373134329</v>
      </c>
      <c r="AI1161" s="61">
        <v>0.87164179104477613</v>
      </c>
      <c r="AJ1161" s="59">
        <v>0.75819999999999999</v>
      </c>
      <c r="AK1161" s="59">
        <v>3.0000000000000001E-3</v>
      </c>
      <c r="AL1161" s="3">
        <v>68</v>
      </c>
      <c r="AM1161" s="3">
        <v>72</v>
      </c>
      <c r="AN1161" s="3">
        <v>0</v>
      </c>
      <c r="AO1161" s="3">
        <v>56</v>
      </c>
      <c r="AP1161" s="3">
        <v>50</v>
      </c>
      <c r="AQ1161" s="3">
        <v>42</v>
      </c>
      <c r="AR1161" s="3">
        <v>47</v>
      </c>
      <c r="AS1161" s="59">
        <v>0</v>
      </c>
      <c r="AT1161" s="3">
        <v>7</v>
      </c>
      <c r="AU1161" s="3">
        <v>6</v>
      </c>
      <c r="AV1161" s="49">
        <v>79.425837320574203</v>
      </c>
      <c r="AW1161" s="49">
        <v>19.138755980861198</v>
      </c>
      <c r="AX1161" s="49">
        <v>0</v>
      </c>
      <c r="AY1161" s="67">
        <v>1.4354066985645901</v>
      </c>
      <c r="AZ1161" s="63">
        <v>3.7037037037037035E-2</v>
      </c>
      <c r="BA1161" s="63">
        <v>0.12250712250712251</v>
      </c>
      <c r="BB1161" s="77">
        <v>94.195727449904396</v>
      </c>
      <c r="BC1161" s="49">
        <v>46.9444444444444</v>
      </c>
      <c r="BD1161" s="49"/>
      <c r="BE1161" s="49"/>
      <c r="BF1161" s="49"/>
      <c r="BG1161" s="49"/>
      <c r="BH1161" s="49"/>
      <c r="BI1161" s="49"/>
      <c r="BJ1161" s="88">
        <v>18.7</v>
      </c>
      <c r="BK1161" s="126">
        <v>13077</v>
      </c>
      <c r="BL1161" s="126">
        <v>47375</v>
      </c>
      <c r="BM1161" s="126">
        <v>53815</v>
      </c>
      <c r="BN1161" s="126">
        <v>34747</v>
      </c>
      <c r="BO1161" s="59">
        <v>1.72E-2</v>
      </c>
      <c r="BP1161" s="63">
        <v>0.30909999999999999</v>
      </c>
      <c r="BQ1161" s="63">
        <v>0.1202</v>
      </c>
      <c r="BR1161" s="63">
        <v>0</v>
      </c>
      <c r="BS1161" s="63">
        <v>0</v>
      </c>
      <c r="BT1161" s="87">
        <v>14</v>
      </c>
      <c r="BU1161" s="59">
        <f t="shared" si="84"/>
        <v>0.44650000000000001</v>
      </c>
      <c r="BV1161" s="59">
        <v>1.72E-2</v>
      </c>
      <c r="BW1161" s="63">
        <v>0</v>
      </c>
      <c r="BX1161" s="63">
        <v>3.4299999999999997E-2</v>
      </c>
      <c r="BY1161" s="63">
        <v>0</v>
      </c>
      <c r="BZ1161" s="63">
        <v>0</v>
      </c>
      <c r="CA1161" s="87">
        <v>17.7</v>
      </c>
      <c r="CB1161" s="59">
        <f t="shared" si="85"/>
        <v>5.1499999999999997E-2</v>
      </c>
      <c r="CC1161" s="59">
        <v>0.47839999999999999</v>
      </c>
      <c r="CD1161" s="63">
        <v>0.3327</v>
      </c>
      <c r="CE1161" s="63">
        <v>0.17169999999999999</v>
      </c>
      <c r="CF1161" s="63">
        <v>1.72E-2</v>
      </c>
      <c r="CG1161" s="63">
        <v>0</v>
      </c>
      <c r="CH1161" s="87">
        <v>14</v>
      </c>
      <c r="CI1161" s="26" t="s">
        <v>322</v>
      </c>
      <c r="CJ1161" s="18" t="s">
        <v>505</v>
      </c>
      <c r="CK1161" s="20"/>
    </row>
    <row r="1162" spans="1:89" x14ac:dyDescent="0.25">
      <c r="A1162" s="18" t="s">
        <v>505</v>
      </c>
      <c r="B1162" s="19" t="s">
        <v>323</v>
      </c>
      <c r="C1162" s="26" t="s">
        <v>324</v>
      </c>
      <c r="D1162" s="6">
        <v>56</v>
      </c>
      <c r="E1162" s="40" t="s">
        <v>83</v>
      </c>
      <c r="F1162" s="6">
        <v>56</v>
      </c>
      <c r="N1162" s="119">
        <v>2.7464443354585599E-2</v>
      </c>
      <c r="O1162" s="119">
        <v>2.7464443354585599E-2</v>
      </c>
      <c r="P1162" s="116" t="s">
        <v>83</v>
      </c>
      <c r="Q1162" s="116" t="s">
        <v>83</v>
      </c>
      <c r="R1162" s="119">
        <v>5.4054054054054099E-2</v>
      </c>
      <c r="S1162" s="119">
        <v>3.00751879699248E-2</v>
      </c>
      <c r="T1162" s="119">
        <v>2.66429840142096E-2</v>
      </c>
      <c r="U1162" s="119">
        <v>3.5940803382663797E-2</v>
      </c>
      <c r="V1162" s="119">
        <v>1.3824884792626699E-2</v>
      </c>
      <c r="W1162" s="6">
        <v>1896</v>
      </c>
      <c r="X1162" s="40">
        <f t="shared" si="82"/>
        <v>1896</v>
      </c>
      <c r="Y1162" s="40">
        <f t="shared" si="83"/>
        <v>1896</v>
      </c>
      <c r="Z1162" s="59">
        <v>0.51529999999999998</v>
      </c>
      <c r="AA1162" s="59">
        <v>0.48470000000000002</v>
      </c>
      <c r="AB1162" s="61">
        <v>6.3291139240506328E-3</v>
      </c>
      <c r="AC1162" s="61">
        <v>3.059071729957806E-2</v>
      </c>
      <c r="AD1162" s="61">
        <v>0.31329113924050633</v>
      </c>
      <c r="AE1162" s="61">
        <v>0.12130801687763713</v>
      </c>
      <c r="AF1162" s="61">
        <v>0</v>
      </c>
      <c r="AG1162" s="61">
        <v>0.50580168776371304</v>
      </c>
      <c r="AH1162" s="61">
        <v>2.2679324894514769E-2</v>
      </c>
      <c r="AI1162" s="61">
        <v>0.49419831223628691</v>
      </c>
      <c r="AJ1162" s="59">
        <v>0.72050000000000003</v>
      </c>
      <c r="AK1162" s="59">
        <v>3.6900000000000002E-2</v>
      </c>
      <c r="AL1162" s="3">
        <v>0</v>
      </c>
      <c r="AM1162" s="3">
        <v>0</v>
      </c>
      <c r="AN1162" s="3">
        <v>30</v>
      </c>
      <c r="AO1162" s="3">
        <v>495</v>
      </c>
      <c r="AP1162" s="3">
        <v>515</v>
      </c>
      <c r="AQ1162" s="3">
        <v>439</v>
      </c>
      <c r="AR1162" s="3">
        <v>417</v>
      </c>
      <c r="AS1162" s="59">
        <v>5.7142857142857141E-2</v>
      </c>
      <c r="AT1162" s="3">
        <v>9</v>
      </c>
      <c r="AU1162" s="3">
        <v>6</v>
      </c>
      <c r="AV1162" s="49">
        <v>44.638069705093805</v>
      </c>
      <c r="AW1162" s="49">
        <v>32.975871313672897</v>
      </c>
      <c r="AX1162" s="49">
        <v>21.849865951742601</v>
      </c>
      <c r="AY1162" s="67">
        <v>0.53619302949061698</v>
      </c>
      <c r="AZ1162" s="63">
        <v>0.16641528406234288</v>
      </c>
      <c r="BA1162" s="63">
        <v>9.8039215686274508E-2</v>
      </c>
      <c r="BB1162" s="78">
        <v>91.468895371757498</v>
      </c>
      <c r="BC1162" s="49">
        <v>70.655983975963906</v>
      </c>
      <c r="BD1162" s="49"/>
      <c r="BE1162" s="49"/>
      <c r="BF1162" s="49"/>
      <c r="BG1162" s="49"/>
      <c r="BH1162" s="49"/>
      <c r="BI1162" s="49"/>
      <c r="BJ1162" s="88">
        <v>19.600000000000001</v>
      </c>
      <c r="BK1162" s="126">
        <v>12187</v>
      </c>
      <c r="BL1162" s="126">
        <v>48500</v>
      </c>
      <c r="BM1162" s="126">
        <v>61211</v>
      </c>
      <c r="BN1162" s="126">
        <v>44881</v>
      </c>
      <c r="BO1162" s="59">
        <v>0</v>
      </c>
      <c r="BP1162" s="63">
        <v>0.43099999999999999</v>
      </c>
      <c r="BQ1162" s="63">
        <v>0.22120000000000001</v>
      </c>
      <c r="BR1162" s="63">
        <v>0</v>
      </c>
      <c r="BS1162" s="63">
        <v>1.47E-2</v>
      </c>
      <c r="BT1162" s="87">
        <v>13.4</v>
      </c>
      <c r="BU1162" s="59">
        <f t="shared" si="84"/>
        <v>0.66690000000000005</v>
      </c>
      <c r="BV1162" s="59">
        <v>1.47E-2</v>
      </c>
      <c r="BW1162" s="63">
        <v>0</v>
      </c>
      <c r="BX1162" s="63">
        <v>2.9499999999999998E-2</v>
      </c>
      <c r="BY1162" s="63">
        <v>0</v>
      </c>
      <c r="BZ1162" s="63">
        <v>0</v>
      </c>
      <c r="CA1162" s="87">
        <v>24.1</v>
      </c>
      <c r="CB1162" s="59">
        <f t="shared" si="85"/>
        <v>4.4199999999999996E-2</v>
      </c>
      <c r="CC1162" s="59">
        <v>0.2281</v>
      </c>
      <c r="CD1162" s="63">
        <v>0.4506</v>
      </c>
      <c r="CE1162" s="63">
        <v>0.30459999999999998</v>
      </c>
      <c r="CF1162" s="63">
        <v>0</v>
      </c>
      <c r="CG1162" s="63">
        <v>1.67E-2</v>
      </c>
      <c r="CH1162" s="87">
        <v>14.1</v>
      </c>
      <c r="CI1162" s="26" t="s">
        <v>324</v>
      </c>
      <c r="CJ1162" s="18" t="s">
        <v>505</v>
      </c>
      <c r="CK1162" s="20"/>
    </row>
    <row r="1163" spans="1:89" x14ac:dyDescent="0.25">
      <c r="A1163" s="18" t="s">
        <v>505</v>
      </c>
      <c r="B1163" s="19" t="s">
        <v>325</v>
      </c>
      <c r="C1163" s="26" t="s">
        <v>326</v>
      </c>
      <c r="D1163" s="6">
        <v>29</v>
      </c>
      <c r="E1163" s="6">
        <v>0</v>
      </c>
      <c r="F1163" s="6">
        <v>29</v>
      </c>
      <c r="N1163" s="119">
        <v>2.0166898470097401E-2</v>
      </c>
      <c r="O1163" s="119">
        <v>2.0194986072423399E-2</v>
      </c>
      <c r="P1163" s="116" t="s">
        <v>83</v>
      </c>
      <c r="Q1163" s="119">
        <v>0</v>
      </c>
      <c r="R1163" s="119">
        <v>4.7619047619047603E-2</v>
      </c>
      <c r="S1163" s="119">
        <v>2.1621621621621599E-2</v>
      </c>
      <c r="T1163" s="119">
        <v>1.21212121212121E-2</v>
      </c>
      <c r="U1163" s="119">
        <v>1.8469656992084402E-2</v>
      </c>
      <c r="V1163" s="119">
        <v>2.6785714285714302E-2</v>
      </c>
      <c r="W1163" s="6">
        <v>1354</v>
      </c>
      <c r="X1163" s="40">
        <f t="shared" si="82"/>
        <v>1353</v>
      </c>
      <c r="Y1163" s="40">
        <f t="shared" si="83"/>
        <v>1354</v>
      </c>
      <c r="Z1163" s="59">
        <v>0.49409999999999998</v>
      </c>
      <c r="AA1163" s="59">
        <v>0.50590000000000002</v>
      </c>
      <c r="AB1163" s="61">
        <v>1.4771048744460858E-3</v>
      </c>
      <c r="AC1163" s="61">
        <v>1.4771048744460856E-2</v>
      </c>
      <c r="AD1163" s="61">
        <v>0.33456425406203838</v>
      </c>
      <c r="AE1163" s="61">
        <v>8.9364844903988189E-2</v>
      </c>
      <c r="AF1163" s="61">
        <v>1.4771048744460858E-3</v>
      </c>
      <c r="AG1163" s="61">
        <v>0.53101920236336775</v>
      </c>
      <c r="AH1163" s="61">
        <v>2.7326440177252585E-2</v>
      </c>
      <c r="AI1163" s="61">
        <v>0.4689807976366322</v>
      </c>
      <c r="AJ1163" s="59">
        <v>0.51329999999999998</v>
      </c>
      <c r="AK1163" s="59">
        <v>1.6199999999999999E-2</v>
      </c>
      <c r="AL1163" s="3">
        <v>0</v>
      </c>
      <c r="AM1163" s="3">
        <v>1</v>
      </c>
      <c r="AN1163" s="3">
        <v>20</v>
      </c>
      <c r="AO1163" s="3">
        <v>339</v>
      </c>
      <c r="AP1163" s="3">
        <v>312</v>
      </c>
      <c r="AQ1163" s="3">
        <v>363</v>
      </c>
      <c r="AR1163" s="3">
        <v>319</v>
      </c>
      <c r="AS1163" s="59">
        <v>5.5710306406685235E-2</v>
      </c>
      <c r="AT1163" s="3">
        <v>8</v>
      </c>
      <c r="AU1163" s="3">
        <v>6</v>
      </c>
      <c r="AV1163" s="49">
        <v>55.3706505295008</v>
      </c>
      <c r="AW1163" s="49">
        <v>22.239031770045401</v>
      </c>
      <c r="AX1163" s="49">
        <v>21.028744326777598</v>
      </c>
      <c r="AY1163" s="67">
        <v>1.3615733736762499</v>
      </c>
      <c r="AZ1163" s="63">
        <v>8.4320557491289194E-2</v>
      </c>
      <c r="BA1163" s="63">
        <v>4.181184668989547E-3</v>
      </c>
      <c r="BB1163" s="78">
        <v>96.329780915369895</v>
      </c>
      <c r="BC1163" s="49">
        <v>14.176511466296001</v>
      </c>
      <c r="BD1163" s="49"/>
      <c r="BE1163" s="49"/>
      <c r="BF1163" s="49"/>
      <c r="BG1163" s="49"/>
      <c r="BH1163" s="49"/>
      <c r="BI1163" s="49"/>
      <c r="BJ1163" s="88">
        <v>20</v>
      </c>
      <c r="BK1163" s="126">
        <v>14823</v>
      </c>
      <c r="BL1163" s="126">
        <v>55517</v>
      </c>
      <c r="BM1163" s="126">
        <v>50046</v>
      </c>
      <c r="BN1163" s="126">
        <v>49335</v>
      </c>
      <c r="BO1163" s="59">
        <v>2.47E-2</v>
      </c>
      <c r="BP1163" s="63">
        <v>0.38700000000000001</v>
      </c>
      <c r="BQ1163" s="63">
        <v>0.17019999999999999</v>
      </c>
      <c r="BR1163" s="63">
        <v>0</v>
      </c>
      <c r="BS1163" s="63">
        <v>6.1999999999999998E-3</v>
      </c>
      <c r="BT1163" s="87">
        <v>15.2</v>
      </c>
      <c r="BU1163" s="59">
        <f t="shared" si="84"/>
        <v>0.58809999999999996</v>
      </c>
      <c r="BV1163" s="59">
        <v>5.3400000000000003E-2</v>
      </c>
      <c r="BW1163" s="63">
        <v>6.1999999999999998E-3</v>
      </c>
      <c r="BX1163" s="63">
        <v>3.0800000000000001E-2</v>
      </c>
      <c r="BY1163" s="63">
        <v>0</v>
      </c>
      <c r="BZ1163" s="63">
        <v>6.1999999999999998E-3</v>
      </c>
      <c r="CA1163" s="87">
        <v>16.2</v>
      </c>
      <c r="CB1163" s="59">
        <f t="shared" si="85"/>
        <v>9.6600000000000005E-2</v>
      </c>
      <c r="CC1163" s="59">
        <v>0.30470000000000003</v>
      </c>
      <c r="CD1163" s="63">
        <v>0.42949999999999999</v>
      </c>
      <c r="CE1163" s="63">
        <v>0.24729999999999999</v>
      </c>
      <c r="CF1163" s="63">
        <v>0</v>
      </c>
      <c r="CG1163" s="63">
        <v>1.8499999999999999E-2</v>
      </c>
      <c r="CH1163" s="87">
        <v>14.1</v>
      </c>
      <c r="CI1163" s="26" t="s">
        <v>326</v>
      </c>
      <c r="CJ1163" s="18" t="s">
        <v>505</v>
      </c>
      <c r="CK1163" s="20"/>
    </row>
    <row r="1164" spans="1:89" x14ac:dyDescent="0.25">
      <c r="A1164" s="18" t="s">
        <v>505</v>
      </c>
      <c r="B1164" s="19" t="s">
        <v>325</v>
      </c>
      <c r="C1164" s="26" t="s">
        <v>327</v>
      </c>
      <c r="D1164" s="6">
        <v>44</v>
      </c>
      <c r="E1164" s="40" t="s">
        <v>83</v>
      </c>
      <c r="F1164" s="6">
        <v>44</v>
      </c>
      <c r="N1164" s="119">
        <v>2.8776978417266199E-2</v>
      </c>
      <c r="O1164" s="119">
        <v>2.8776978417266199E-2</v>
      </c>
      <c r="P1164" s="116" t="s">
        <v>83</v>
      </c>
      <c r="Q1164" s="116" t="s">
        <v>83</v>
      </c>
      <c r="R1164" s="119">
        <v>0</v>
      </c>
      <c r="S1164" s="119">
        <v>3.4567901234567898E-2</v>
      </c>
      <c r="T1164" s="119">
        <v>2.6239067055393601E-2</v>
      </c>
      <c r="U1164" s="119">
        <v>3.4120734908136503E-2</v>
      </c>
      <c r="V1164" s="119">
        <v>2.1220159151193602E-2</v>
      </c>
      <c r="W1164" s="6">
        <v>1463</v>
      </c>
      <c r="X1164" s="40">
        <f t="shared" si="82"/>
        <v>1463</v>
      </c>
      <c r="Y1164" s="40">
        <f t="shared" si="83"/>
        <v>1463</v>
      </c>
      <c r="Z1164" s="59">
        <v>0.49009999999999998</v>
      </c>
      <c r="AA1164" s="59">
        <v>0.50990000000000002</v>
      </c>
      <c r="AB1164" s="61">
        <v>4.7846889952153108E-3</v>
      </c>
      <c r="AC1164" s="61">
        <v>1.0936431989063569E-2</v>
      </c>
      <c r="AD1164" s="61">
        <v>0.32057416267942584</v>
      </c>
      <c r="AE1164" s="61">
        <v>4.6479835953520163E-2</v>
      </c>
      <c r="AF1164" s="61">
        <v>2.050580997949419E-3</v>
      </c>
      <c r="AG1164" s="61">
        <v>0.58441558441558439</v>
      </c>
      <c r="AH1164" s="61">
        <v>3.0758714969241284E-2</v>
      </c>
      <c r="AI1164" s="61">
        <v>0.41558441558441561</v>
      </c>
      <c r="AJ1164" s="59">
        <v>0.48670000000000002</v>
      </c>
      <c r="AK1164" s="59">
        <v>4.1000000000000003E-3</v>
      </c>
      <c r="AL1164" s="3">
        <v>0</v>
      </c>
      <c r="AM1164" s="3">
        <v>0</v>
      </c>
      <c r="AN1164" s="3">
        <v>23</v>
      </c>
      <c r="AO1164" s="3">
        <v>386</v>
      </c>
      <c r="AP1164" s="3">
        <v>328</v>
      </c>
      <c r="AQ1164" s="3">
        <v>364</v>
      </c>
      <c r="AR1164" s="3">
        <v>362</v>
      </c>
      <c r="AS1164" s="59">
        <v>5.623471882640587E-2</v>
      </c>
      <c r="AT1164" s="3">
        <v>9</v>
      </c>
      <c r="AU1164" s="3">
        <v>6</v>
      </c>
      <c r="AV1164" s="49">
        <v>53.932584269662897</v>
      </c>
      <c r="AW1164" s="49">
        <v>24.438202247191001</v>
      </c>
      <c r="AX1164" s="49">
        <v>20.365168539325801</v>
      </c>
      <c r="AY1164" s="67">
        <v>1.2640449438202199</v>
      </c>
      <c r="AZ1164" s="63">
        <v>0.12417437252311757</v>
      </c>
      <c r="BA1164" s="63">
        <v>1.2549537648612946E-2</v>
      </c>
      <c r="BB1164" s="77">
        <v>95.066104844532305</v>
      </c>
      <c r="BC1164" s="49">
        <v>13.9273927392739</v>
      </c>
      <c r="BD1164" s="49"/>
      <c r="BE1164" s="49"/>
      <c r="BF1164" s="49"/>
      <c r="BG1164" s="49"/>
      <c r="BH1164" s="49"/>
      <c r="BI1164" s="49"/>
      <c r="BJ1164" s="88">
        <v>20.3</v>
      </c>
      <c r="BK1164" s="126">
        <v>14705</v>
      </c>
      <c r="BL1164" s="126">
        <v>56341</v>
      </c>
      <c r="BM1164" s="126">
        <v>50918</v>
      </c>
      <c r="BN1164" s="126">
        <v>49876</v>
      </c>
      <c r="BO1164" s="59">
        <v>6.4999999999999997E-3</v>
      </c>
      <c r="BP1164" s="63">
        <v>0.38059999999999999</v>
      </c>
      <c r="BQ1164" s="63">
        <v>0.24410000000000001</v>
      </c>
      <c r="BR1164" s="63">
        <v>0</v>
      </c>
      <c r="BS1164" s="63">
        <v>5.8999999999999999E-3</v>
      </c>
      <c r="BT1164" s="87">
        <v>15.4</v>
      </c>
      <c r="BU1164" s="59">
        <f t="shared" si="84"/>
        <v>0.6371</v>
      </c>
      <c r="BV1164" s="59">
        <v>3.5200000000000002E-2</v>
      </c>
      <c r="BW1164" s="63">
        <v>1.17E-2</v>
      </c>
      <c r="BX1164" s="63">
        <v>4.1099999999999998E-2</v>
      </c>
      <c r="BY1164" s="63">
        <v>0</v>
      </c>
      <c r="BZ1164" s="63">
        <v>0</v>
      </c>
      <c r="CA1164" s="87">
        <v>13.3</v>
      </c>
      <c r="CB1164" s="59">
        <f t="shared" si="85"/>
        <v>8.7999999999999995E-2</v>
      </c>
      <c r="CC1164" s="59">
        <v>0.23680000000000001</v>
      </c>
      <c r="CD1164" s="63">
        <v>0.42520000000000002</v>
      </c>
      <c r="CE1164" s="63">
        <v>0.33210000000000001</v>
      </c>
      <c r="CF1164" s="63">
        <v>0</v>
      </c>
      <c r="CG1164" s="63">
        <v>5.8999999999999999E-3</v>
      </c>
      <c r="CH1164" s="87">
        <v>14.1</v>
      </c>
      <c r="CI1164" s="26" t="s">
        <v>327</v>
      </c>
      <c r="CJ1164" s="18" t="s">
        <v>505</v>
      </c>
      <c r="CK1164" s="20"/>
    </row>
    <row r="1165" spans="1:89" x14ac:dyDescent="0.25">
      <c r="A1165" s="18" t="s">
        <v>505</v>
      </c>
      <c r="B1165" s="19" t="s">
        <v>328</v>
      </c>
      <c r="C1165" s="26" t="s">
        <v>329</v>
      </c>
      <c r="D1165" s="6">
        <v>39</v>
      </c>
      <c r="E1165" s="6">
        <v>2</v>
      </c>
      <c r="F1165" s="6">
        <v>37</v>
      </c>
      <c r="N1165" s="119">
        <v>6.8661971830985893E-2</v>
      </c>
      <c r="O1165" s="119">
        <v>0.102209944751381</v>
      </c>
      <c r="P1165" s="119">
        <v>9.8039215686274508E-3</v>
      </c>
      <c r="Q1165" s="119">
        <v>9.6153846153846194E-3</v>
      </c>
      <c r="R1165" s="116" t="s">
        <v>83</v>
      </c>
      <c r="S1165" s="119">
        <v>1.7543859649122799E-2</v>
      </c>
      <c r="T1165" s="119">
        <v>3.5714285714285698E-2</v>
      </c>
      <c r="U1165" s="119">
        <v>0.11688311688311701</v>
      </c>
      <c r="V1165" s="119">
        <v>0.26436781609195398</v>
      </c>
      <c r="W1165" s="6">
        <v>509</v>
      </c>
      <c r="X1165" s="40">
        <f t="shared" si="82"/>
        <v>323</v>
      </c>
      <c r="Y1165" s="40">
        <f t="shared" si="83"/>
        <v>509</v>
      </c>
      <c r="Z1165" s="59">
        <v>0.49309999999999998</v>
      </c>
      <c r="AA1165" s="59">
        <v>0.50690000000000002</v>
      </c>
      <c r="AB1165" s="61">
        <v>1.9646365422396855E-3</v>
      </c>
      <c r="AC1165" s="61">
        <v>0</v>
      </c>
      <c r="AD1165" s="61">
        <v>0.90962671905697445</v>
      </c>
      <c r="AE1165" s="61">
        <v>1.1787819253438114E-2</v>
      </c>
      <c r="AF1165" s="61">
        <v>0</v>
      </c>
      <c r="AG1165" s="61">
        <v>7.072691552062868E-2</v>
      </c>
      <c r="AH1165" s="61">
        <v>5.893909626719057E-3</v>
      </c>
      <c r="AI1165" s="61">
        <v>0.92927308447937129</v>
      </c>
      <c r="AJ1165" s="59">
        <v>0.85270000000000001</v>
      </c>
      <c r="AK1165" s="59">
        <v>1.18E-2</v>
      </c>
      <c r="AL1165" s="3">
        <v>89</v>
      </c>
      <c r="AM1165" s="3">
        <v>97</v>
      </c>
      <c r="AN1165" s="3">
        <v>0</v>
      </c>
      <c r="AO1165" s="3">
        <v>103</v>
      </c>
      <c r="AP1165" s="3">
        <v>73</v>
      </c>
      <c r="AQ1165" s="3">
        <v>72</v>
      </c>
      <c r="AR1165" s="3">
        <v>75</v>
      </c>
      <c r="AS1165" s="59">
        <v>0</v>
      </c>
      <c r="AT1165" s="3">
        <v>7</v>
      </c>
      <c r="AU1165" s="3">
        <v>6</v>
      </c>
      <c r="AV1165" s="49">
        <v>52.301255230125498</v>
      </c>
      <c r="AW1165" s="49">
        <v>22.175732217573199</v>
      </c>
      <c r="AX1165" s="49">
        <v>23.849372384937201</v>
      </c>
      <c r="AY1165" s="67">
        <v>1.67364016736402</v>
      </c>
      <c r="AZ1165" s="63">
        <v>6.1594202898550728E-2</v>
      </c>
      <c r="BA1165" s="63">
        <v>0.2608695652173913</v>
      </c>
      <c r="BB1165" s="78">
        <v>90.642565597667598</v>
      </c>
      <c r="BC1165" s="49">
        <v>78.175313059033996</v>
      </c>
      <c r="BD1165" s="49"/>
      <c r="BE1165" s="49"/>
      <c r="BF1165" s="49"/>
      <c r="BG1165" s="49"/>
      <c r="BH1165" s="49"/>
      <c r="BI1165" s="49"/>
      <c r="BJ1165" s="88">
        <v>18.100000000000001</v>
      </c>
      <c r="BK1165" s="126">
        <v>12116</v>
      </c>
      <c r="BL1165" s="126">
        <v>42914</v>
      </c>
      <c r="BM1165" s="126">
        <v>49934</v>
      </c>
      <c r="BN1165" s="126">
        <v>40603</v>
      </c>
      <c r="BO1165" s="59">
        <v>0</v>
      </c>
      <c r="BP1165" s="63">
        <v>0.3982</v>
      </c>
      <c r="BQ1165" s="63">
        <v>0.23710000000000001</v>
      </c>
      <c r="BR1165" s="63">
        <v>0</v>
      </c>
      <c r="BS1165" s="63">
        <v>1.7899999999999999E-2</v>
      </c>
      <c r="BT1165" s="87">
        <v>6.9</v>
      </c>
      <c r="BU1165" s="59">
        <f t="shared" si="84"/>
        <v>0.6532</v>
      </c>
      <c r="BV1165" s="59">
        <v>3.5799999999999998E-2</v>
      </c>
      <c r="BW1165" s="63">
        <v>0</v>
      </c>
      <c r="BX1165" s="63">
        <v>4.5499999999999999E-2</v>
      </c>
      <c r="BY1165" s="63">
        <v>0</v>
      </c>
      <c r="BZ1165" s="63">
        <v>1.6899999999999998E-2</v>
      </c>
      <c r="CA1165" s="87">
        <v>8.4</v>
      </c>
      <c r="CB1165" s="59">
        <f t="shared" si="85"/>
        <v>9.8199999999999996E-2</v>
      </c>
      <c r="CC1165" s="63">
        <v>0.23469999999999999</v>
      </c>
      <c r="CD1165" s="63">
        <v>0.41020000000000001</v>
      </c>
      <c r="CE1165" s="63">
        <v>0.32029999999999997</v>
      </c>
      <c r="CF1165" s="63">
        <v>0</v>
      </c>
      <c r="CG1165" s="63">
        <v>3.4799999999999998E-2</v>
      </c>
      <c r="CH1165" s="87">
        <v>7.6</v>
      </c>
      <c r="CI1165" s="26" t="s">
        <v>329</v>
      </c>
      <c r="CJ1165" s="18" t="s">
        <v>505</v>
      </c>
      <c r="CK1165" s="20"/>
    </row>
    <row r="1166" spans="1:89" x14ac:dyDescent="0.25">
      <c r="A1166" s="18" t="s">
        <v>505</v>
      </c>
      <c r="B1166" s="19" t="s">
        <v>330</v>
      </c>
      <c r="C1166" s="26" t="s">
        <v>331</v>
      </c>
      <c r="D1166" s="6">
        <v>27</v>
      </c>
      <c r="E1166" s="6">
        <v>4</v>
      </c>
      <c r="F1166" s="6">
        <v>23</v>
      </c>
      <c r="N1166" s="119">
        <v>2.4953789279112799E-2</v>
      </c>
      <c r="O1166" s="119">
        <v>3.1900138696255201E-2</v>
      </c>
      <c r="P1166" s="119">
        <v>4.9504950495049497E-3</v>
      </c>
      <c r="Q1166" s="119">
        <v>1.88679245283019E-2</v>
      </c>
      <c r="R1166" s="116" t="s">
        <v>83</v>
      </c>
      <c r="S1166" s="119">
        <v>2.6178010471204199E-2</v>
      </c>
      <c r="T1166" s="119">
        <v>2.9411764705882401E-2</v>
      </c>
      <c r="U1166" s="119">
        <v>3.5502958579881699E-2</v>
      </c>
      <c r="V1166" s="119">
        <v>3.8961038961039002E-2</v>
      </c>
      <c r="W1166" s="6">
        <v>1023</v>
      </c>
      <c r="X1166" s="40">
        <f t="shared" si="82"/>
        <v>683</v>
      </c>
      <c r="Y1166" s="40">
        <f t="shared" si="83"/>
        <v>1023</v>
      </c>
      <c r="Z1166" s="59">
        <v>0.51029999999999998</v>
      </c>
      <c r="AA1166" s="59">
        <v>0.48970000000000002</v>
      </c>
      <c r="AB1166" s="61">
        <v>9.7751710654936461E-4</v>
      </c>
      <c r="AC1166" s="61">
        <v>5.8651026392961877E-3</v>
      </c>
      <c r="AD1166" s="61">
        <v>0.49560117302052786</v>
      </c>
      <c r="AE1166" s="61">
        <v>1.466275659824047E-2</v>
      </c>
      <c r="AF1166" s="61">
        <v>0</v>
      </c>
      <c r="AG1166" s="61">
        <v>0.48093841642228741</v>
      </c>
      <c r="AH1166" s="61">
        <v>1.9550342130987292E-3</v>
      </c>
      <c r="AI1166" s="61">
        <v>0.51906158357771259</v>
      </c>
      <c r="AJ1166" s="59">
        <v>0.52200000000000002</v>
      </c>
      <c r="AK1166" s="59">
        <v>3.8999999999999998E-3</v>
      </c>
      <c r="AL1166" s="3">
        <v>193</v>
      </c>
      <c r="AM1166" s="3">
        <v>147</v>
      </c>
      <c r="AN1166" s="3">
        <v>0</v>
      </c>
      <c r="AO1166" s="3">
        <v>185</v>
      </c>
      <c r="AP1166" s="3">
        <v>192</v>
      </c>
      <c r="AQ1166" s="3">
        <v>161</v>
      </c>
      <c r="AR1166" s="3">
        <v>145</v>
      </c>
      <c r="AS1166" s="59">
        <v>0</v>
      </c>
      <c r="AT1166" s="3">
        <v>7</v>
      </c>
      <c r="AU1166" s="3">
        <v>6</v>
      </c>
      <c r="AV1166" s="49">
        <v>70.809792843691099</v>
      </c>
      <c r="AW1166" s="49">
        <v>25.047080979284399</v>
      </c>
      <c r="AX1166" s="49">
        <v>3.9548022598870101</v>
      </c>
      <c r="AY1166" s="67">
        <v>0.18832391713747598</v>
      </c>
      <c r="AZ1166" s="63">
        <v>0.17563739376770537</v>
      </c>
      <c r="BA1166" s="63">
        <v>0.17658168083097261</v>
      </c>
      <c r="BB1166" s="77">
        <v>94.115163673102202</v>
      </c>
      <c r="BC1166" s="49">
        <v>43.767572633552</v>
      </c>
      <c r="BD1166" s="49"/>
      <c r="BE1166" s="49"/>
      <c r="BF1166" s="49"/>
      <c r="BG1166" s="49"/>
      <c r="BH1166" s="49"/>
      <c r="BI1166" s="49"/>
      <c r="BJ1166" s="88">
        <v>19.8</v>
      </c>
      <c r="BK1166" s="126">
        <v>13938</v>
      </c>
      <c r="BL1166" s="126">
        <v>59476</v>
      </c>
      <c r="BM1166" s="126">
        <v>60472</v>
      </c>
      <c r="BN1166" s="126">
        <v>53110</v>
      </c>
      <c r="BO1166" s="59">
        <v>9.7999999999999997E-3</v>
      </c>
      <c r="BP1166" s="63">
        <v>0.3201</v>
      </c>
      <c r="BQ1166" s="63">
        <v>0.26100000000000001</v>
      </c>
      <c r="BR1166" s="63">
        <v>9.7999999999999997E-3</v>
      </c>
      <c r="BS1166" s="63">
        <v>9.7999999999999997E-3</v>
      </c>
      <c r="BT1166" s="87">
        <v>12.3</v>
      </c>
      <c r="BU1166" s="59">
        <f t="shared" si="84"/>
        <v>0.61050000000000004</v>
      </c>
      <c r="BV1166" s="59">
        <v>3.4599999999999999E-2</v>
      </c>
      <c r="BW1166" s="63">
        <v>9.7999999999999997E-3</v>
      </c>
      <c r="BX1166" s="63">
        <v>2.93E-2</v>
      </c>
      <c r="BY1166" s="63">
        <v>0</v>
      </c>
      <c r="BZ1166" s="63">
        <v>9.7999999999999997E-3</v>
      </c>
      <c r="CA1166" s="87">
        <v>21.6</v>
      </c>
      <c r="CB1166" s="59">
        <f t="shared" si="85"/>
        <v>8.3499999999999991E-2</v>
      </c>
      <c r="CC1166" s="59">
        <v>0.2409</v>
      </c>
      <c r="CD1166" s="63">
        <v>0.34939999999999999</v>
      </c>
      <c r="CE1166" s="63">
        <v>0.35770000000000002</v>
      </c>
      <c r="CF1166" s="63">
        <v>3.2399999999999998E-2</v>
      </c>
      <c r="CG1166" s="63">
        <v>1.95E-2</v>
      </c>
      <c r="CH1166" s="87">
        <v>13.3</v>
      </c>
      <c r="CI1166" s="26" t="s">
        <v>331</v>
      </c>
      <c r="CJ1166" s="18" t="s">
        <v>505</v>
      </c>
      <c r="CK1166" s="20"/>
    </row>
    <row r="1167" spans="1:89" x14ac:dyDescent="0.25">
      <c r="A1167" s="18" t="s">
        <v>505</v>
      </c>
      <c r="B1167" s="19" t="s">
        <v>330</v>
      </c>
      <c r="C1167" s="26" t="s">
        <v>332</v>
      </c>
      <c r="D1167" s="6">
        <v>10</v>
      </c>
      <c r="E1167" s="6">
        <v>1</v>
      </c>
      <c r="F1167" s="6">
        <v>9</v>
      </c>
      <c r="N1167" s="119">
        <v>1.47492625368732E-2</v>
      </c>
      <c r="O1167" s="119">
        <v>1.9271948608137E-2</v>
      </c>
      <c r="P1167" s="119">
        <v>0</v>
      </c>
      <c r="Q1167" s="119">
        <v>9.5238095238095195E-3</v>
      </c>
      <c r="R1167" s="116" t="s">
        <v>83</v>
      </c>
      <c r="S1167" s="119">
        <v>2.02020202020202E-2</v>
      </c>
      <c r="T1167" s="119">
        <v>8.8495575221238902E-3</v>
      </c>
      <c r="U1167" s="119">
        <v>0</v>
      </c>
      <c r="V1167" s="119">
        <v>4.1666666666666699E-2</v>
      </c>
      <c r="W1167" s="6">
        <v>648</v>
      </c>
      <c r="X1167" s="40">
        <f t="shared" si="82"/>
        <v>449</v>
      </c>
      <c r="Y1167" s="40">
        <f t="shared" si="83"/>
        <v>648</v>
      </c>
      <c r="Z1167" s="59">
        <v>0.48770000000000002</v>
      </c>
      <c r="AA1167" s="59">
        <v>0.51229999999999998</v>
      </c>
      <c r="AB1167" s="61">
        <v>1.5432098765432098E-3</v>
      </c>
      <c r="AC1167" s="61">
        <v>0</v>
      </c>
      <c r="AD1167" s="61">
        <v>0.76388888888888884</v>
      </c>
      <c r="AE1167" s="61">
        <v>3.0864197530864196E-2</v>
      </c>
      <c r="AF1167" s="61">
        <v>0</v>
      </c>
      <c r="AG1167" s="61">
        <v>0.20061728395061729</v>
      </c>
      <c r="AH1167" s="61">
        <v>3.0864197530864196E-3</v>
      </c>
      <c r="AI1167" s="61">
        <v>0.79938271604938271</v>
      </c>
      <c r="AJ1167" s="59">
        <v>0.66669999999999996</v>
      </c>
      <c r="AK1167" s="59">
        <v>1.0800000000000001E-2</v>
      </c>
      <c r="AL1167" s="3">
        <v>104</v>
      </c>
      <c r="AM1167" s="3">
        <v>95</v>
      </c>
      <c r="AN1167" s="3">
        <v>0</v>
      </c>
      <c r="AO1167" s="3">
        <v>108</v>
      </c>
      <c r="AP1167" s="3">
        <v>104</v>
      </c>
      <c r="AQ1167" s="3">
        <v>100</v>
      </c>
      <c r="AR1167" s="3">
        <v>137</v>
      </c>
      <c r="AS1167" s="59">
        <v>0</v>
      </c>
      <c r="AT1167" s="3">
        <v>7</v>
      </c>
      <c r="AU1167" s="3">
        <v>6</v>
      </c>
      <c r="AV1167" s="49">
        <v>81.573498964803306</v>
      </c>
      <c r="AW1167" s="49">
        <v>15.734989648033098</v>
      </c>
      <c r="AX1167" s="49">
        <v>2.4844720496894404</v>
      </c>
      <c r="AY1167" s="67">
        <v>0.20703933747412001</v>
      </c>
      <c r="AZ1167" s="63">
        <v>0.19730941704035873</v>
      </c>
      <c r="BA1167" s="63">
        <v>0.15396113602391628</v>
      </c>
      <c r="BB1167" s="78">
        <v>94.064499709133202</v>
      </c>
      <c r="BC1167" s="49">
        <v>36.865671641791003</v>
      </c>
      <c r="BD1167" s="49"/>
      <c r="BE1167" s="49"/>
      <c r="BF1167" s="49"/>
      <c r="BG1167" s="49"/>
      <c r="BH1167" s="49"/>
      <c r="BI1167" s="49"/>
      <c r="BJ1167" s="88">
        <v>18.600000000000001</v>
      </c>
      <c r="BK1167" s="126">
        <v>18963</v>
      </c>
      <c r="BL1167" s="126">
        <v>62439</v>
      </c>
      <c r="BM1167" s="126">
        <v>60108</v>
      </c>
      <c r="BN1167" s="126">
        <v>54097</v>
      </c>
      <c r="BO1167" s="59">
        <v>0</v>
      </c>
      <c r="BP1167" s="63">
        <v>0.32800000000000001</v>
      </c>
      <c r="BQ1167" s="63">
        <v>0.24079999999999999</v>
      </c>
      <c r="BR1167" s="63">
        <v>0</v>
      </c>
      <c r="BS1167" s="63">
        <v>2.1100000000000001E-2</v>
      </c>
      <c r="BT1167" s="87">
        <v>14.5</v>
      </c>
      <c r="BU1167" s="59">
        <f t="shared" si="84"/>
        <v>0.58989999999999998</v>
      </c>
      <c r="BV1167" s="59">
        <v>3.15E-2</v>
      </c>
      <c r="BW1167" s="63">
        <v>1.0500000000000001E-2</v>
      </c>
      <c r="BX1167" s="63">
        <v>5.7299999999999997E-2</v>
      </c>
      <c r="BY1167" s="63">
        <v>0</v>
      </c>
      <c r="BZ1167" s="63">
        <v>0</v>
      </c>
      <c r="CA1167" s="87">
        <v>18</v>
      </c>
      <c r="CB1167" s="59">
        <f t="shared" si="85"/>
        <v>9.9299999999999999E-2</v>
      </c>
      <c r="CC1167" s="59">
        <v>0.2266</v>
      </c>
      <c r="CD1167" s="63">
        <v>0.42259999999999998</v>
      </c>
      <c r="CE1167" s="63">
        <v>0.32969999999999999</v>
      </c>
      <c r="CF1167" s="63">
        <v>0</v>
      </c>
      <c r="CG1167" s="63">
        <v>2.1100000000000001E-2</v>
      </c>
      <c r="CH1167" s="87">
        <v>14.3</v>
      </c>
      <c r="CI1167" s="26" t="s">
        <v>332</v>
      </c>
      <c r="CJ1167" s="18" t="s">
        <v>505</v>
      </c>
      <c r="CK1167" s="20"/>
    </row>
    <row r="1168" spans="1:89" x14ac:dyDescent="0.25">
      <c r="A1168" s="18" t="s">
        <v>505</v>
      </c>
      <c r="B1168" s="19" t="s">
        <v>333</v>
      </c>
      <c r="C1168" s="26" t="s">
        <v>334</v>
      </c>
      <c r="D1168" s="6">
        <v>97</v>
      </c>
      <c r="E1168" s="40" t="s">
        <v>83</v>
      </c>
      <c r="F1168" s="6">
        <v>97</v>
      </c>
      <c r="N1168" s="119">
        <v>6.0511540860885803E-2</v>
      </c>
      <c r="O1168" s="119">
        <v>6.0511540860885803E-2</v>
      </c>
      <c r="P1168" s="116" t="s">
        <v>83</v>
      </c>
      <c r="Q1168" s="116" t="s">
        <v>83</v>
      </c>
      <c r="R1168" s="119">
        <v>0</v>
      </c>
      <c r="S1168" s="119">
        <v>6.3694267515923594E-2</v>
      </c>
      <c r="T1168" s="119">
        <v>7.1960297766749406E-2</v>
      </c>
      <c r="U1168" s="119">
        <v>5.18731988472622E-2</v>
      </c>
      <c r="V1168" s="119">
        <v>5.4495912806539502E-2</v>
      </c>
      <c r="W1168" s="6">
        <v>1456</v>
      </c>
      <c r="X1168" s="40">
        <f t="shared" si="82"/>
        <v>1456</v>
      </c>
      <c r="Y1168" s="40">
        <f t="shared" si="83"/>
        <v>1456</v>
      </c>
      <c r="Z1168" s="59">
        <v>0.52880000000000005</v>
      </c>
      <c r="AA1168" s="59">
        <v>0.47120000000000001</v>
      </c>
      <c r="AB1168" s="61">
        <v>0</v>
      </c>
      <c r="AC1168" s="61">
        <v>5.4945054945054949E-3</v>
      </c>
      <c r="AD1168" s="61">
        <v>0.80906593406593408</v>
      </c>
      <c r="AE1168" s="61">
        <v>6.5934065934065936E-2</v>
      </c>
      <c r="AF1168" s="61">
        <v>0</v>
      </c>
      <c r="AG1168" s="61">
        <v>0.11607142857142858</v>
      </c>
      <c r="AH1168" s="61">
        <v>3.434065934065934E-3</v>
      </c>
      <c r="AI1168" s="61">
        <v>0.8839285714285714</v>
      </c>
      <c r="AJ1168" s="59">
        <v>0.79600000000000004</v>
      </c>
      <c r="AK1168" s="59">
        <v>1.5100000000000001E-2</v>
      </c>
      <c r="AL1168" s="3">
        <v>0</v>
      </c>
      <c r="AM1168" s="3">
        <v>0</v>
      </c>
      <c r="AN1168" s="3">
        <v>6</v>
      </c>
      <c r="AO1168" s="3">
        <v>427</v>
      </c>
      <c r="AP1168" s="3">
        <v>354</v>
      </c>
      <c r="AQ1168" s="3">
        <v>330</v>
      </c>
      <c r="AR1168" s="3">
        <v>339</v>
      </c>
      <c r="AS1168" s="59">
        <v>1.3856812933025405E-2</v>
      </c>
      <c r="AT1168" s="3">
        <v>9</v>
      </c>
      <c r="AU1168" s="3">
        <v>6</v>
      </c>
      <c r="AV1168" s="49">
        <v>69.454123112659701</v>
      </c>
      <c r="AW1168" s="49">
        <v>14.401858304297299</v>
      </c>
      <c r="AX1168" s="49">
        <v>15.098722415795601</v>
      </c>
      <c r="AY1168" s="67">
        <v>1.0452961672473899</v>
      </c>
      <c r="AZ1168" s="63">
        <v>0.3036515054452274</v>
      </c>
      <c r="BA1168" s="63">
        <v>0.18641896220371557</v>
      </c>
      <c r="BB1168" s="77">
        <v>91.493876394099601</v>
      </c>
      <c r="BC1168" s="49">
        <v>73.6050156739812</v>
      </c>
      <c r="BD1168" s="49"/>
      <c r="BE1168" s="49"/>
      <c r="BF1168" s="49"/>
      <c r="BG1168" s="49"/>
      <c r="BH1168" s="49"/>
      <c r="BI1168" s="49"/>
      <c r="BJ1168" s="88">
        <v>17.8</v>
      </c>
      <c r="BK1168" s="126">
        <v>12349</v>
      </c>
      <c r="BL1168" s="126">
        <v>46364</v>
      </c>
      <c r="BM1168" s="126">
        <v>48548</v>
      </c>
      <c r="BN1168" s="126">
        <v>42324</v>
      </c>
      <c r="BO1168" s="59">
        <v>5.7999999999999996E-3</v>
      </c>
      <c r="BP1168" s="63">
        <v>0.39419999999999999</v>
      </c>
      <c r="BQ1168" s="63">
        <v>0.20130000000000001</v>
      </c>
      <c r="BR1168" s="63">
        <v>0</v>
      </c>
      <c r="BS1168" s="63">
        <v>1.15E-2</v>
      </c>
      <c r="BT1168" s="87">
        <v>10.9</v>
      </c>
      <c r="BU1168" s="59">
        <f t="shared" si="84"/>
        <v>0.61280000000000001</v>
      </c>
      <c r="BV1168" s="59">
        <v>5.3100000000000001E-2</v>
      </c>
      <c r="BW1168" s="63">
        <v>0</v>
      </c>
      <c r="BX1168" s="63">
        <v>4.6100000000000002E-2</v>
      </c>
      <c r="BY1168" s="63">
        <v>0</v>
      </c>
      <c r="BZ1168" s="63">
        <v>0</v>
      </c>
      <c r="CA1168" s="87">
        <v>15.4</v>
      </c>
      <c r="CB1168" s="59">
        <f t="shared" si="85"/>
        <v>9.920000000000001E-2</v>
      </c>
      <c r="CC1168" s="59">
        <v>0.27139999999999997</v>
      </c>
      <c r="CD1168" s="63">
        <v>0.42299999999999999</v>
      </c>
      <c r="CE1168" s="63">
        <v>0.29409999999999997</v>
      </c>
      <c r="CF1168" s="63">
        <v>0</v>
      </c>
      <c r="CG1168" s="63">
        <v>1.15E-2</v>
      </c>
      <c r="CH1168" s="87">
        <v>12</v>
      </c>
      <c r="CI1168" s="26" t="s">
        <v>334</v>
      </c>
      <c r="CJ1168" s="18" t="s">
        <v>505</v>
      </c>
      <c r="CK1168" s="20"/>
    </row>
    <row r="1169" spans="1:89" x14ac:dyDescent="0.25">
      <c r="A1169" s="18" t="s">
        <v>505</v>
      </c>
      <c r="B1169" s="19" t="s">
        <v>333</v>
      </c>
      <c r="C1169" s="26" t="s">
        <v>335</v>
      </c>
      <c r="D1169" s="6">
        <v>4</v>
      </c>
      <c r="E1169" s="6">
        <v>1</v>
      </c>
      <c r="F1169" s="6">
        <v>3</v>
      </c>
      <c r="N1169" s="119">
        <v>1.8957345971564E-2</v>
      </c>
      <c r="O1169" s="119">
        <v>1.7045454545454499E-2</v>
      </c>
      <c r="P1169" s="116" t="s">
        <v>83</v>
      </c>
      <c r="Q1169" s="119">
        <v>2.8571428571428598E-2</v>
      </c>
      <c r="R1169" s="119">
        <v>0</v>
      </c>
      <c r="S1169" s="119">
        <v>0</v>
      </c>
      <c r="T1169" s="119">
        <v>0</v>
      </c>
      <c r="U1169" s="119">
        <v>2.3809523809523801E-2</v>
      </c>
      <c r="V1169" s="119">
        <v>5.5555555555555601E-2</v>
      </c>
      <c r="W1169" s="6">
        <v>195</v>
      </c>
      <c r="X1169" s="40">
        <f t="shared" si="82"/>
        <v>161</v>
      </c>
      <c r="Y1169" s="40">
        <f t="shared" si="83"/>
        <v>195</v>
      </c>
      <c r="Z1169" s="59">
        <v>0.4718</v>
      </c>
      <c r="AA1169" s="59">
        <v>0.5282</v>
      </c>
      <c r="AB1169" s="61">
        <v>0</v>
      </c>
      <c r="AC1169" s="61">
        <v>0</v>
      </c>
      <c r="AD1169" s="61">
        <v>0.99487179487179489</v>
      </c>
      <c r="AE1169" s="61">
        <v>5.1282051282051282E-3</v>
      </c>
      <c r="AF1169" s="61">
        <v>0</v>
      </c>
      <c r="AG1169" s="61">
        <v>0</v>
      </c>
      <c r="AH1169" s="61">
        <v>0</v>
      </c>
      <c r="AI1169" s="61">
        <v>1</v>
      </c>
      <c r="AJ1169" s="59">
        <v>0.79490000000000005</v>
      </c>
      <c r="AK1169" s="59">
        <v>0</v>
      </c>
      <c r="AL1169" s="3">
        <v>0</v>
      </c>
      <c r="AM1169" s="3">
        <v>34</v>
      </c>
      <c r="AN1169" s="3">
        <v>1</v>
      </c>
      <c r="AO1169" s="3">
        <v>36</v>
      </c>
      <c r="AP1169" s="3">
        <v>49</v>
      </c>
      <c r="AQ1169" s="3">
        <v>40</v>
      </c>
      <c r="AR1169" s="3">
        <v>35</v>
      </c>
      <c r="AS1169" s="59">
        <v>2.7027027027027029E-2</v>
      </c>
      <c r="AT1169" s="3">
        <v>8</v>
      </c>
      <c r="AU1169" s="3">
        <v>6</v>
      </c>
      <c r="AV1169" s="49">
        <v>89.208633093525208</v>
      </c>
      <c r="AW1169" s="49">
        <v>9.3525179856115095</v>
      </c>
      <c r="AX1169" s="49">
        <v>1.43884892086331</v>
      </c>
      <c r="AY1169" s="67">
        <v>0</v>
      </c>
      <c r="AZ1169" s="63">
        <v>9.0476190476190474E-2</v>
      </c>
      <c r="BA1169" s="63">
        <v>0.12380952380952381</v>
      </c>
      <c r="BB1169" s="78">
        <v>94.926177980275696</v>
      </c>
      <c r="BC1169" s="49">
        <v>52.112676056338003</v>
      </c>
      <c r="BD1169" s="49"/>
      <c r="BE1169" s="49"/>
      <c r="BF1169" s="49"/>
      <c r="BG1169" s="49"/>
      <c r="BH1169" s="49"/>
      <c r="BI1169" s="49"/>
      <c r="BJ1169" s="88">
        <v>18.399999999999999</v>
      </c>
      <c r="BK1169" s="126">
        <v>17770</v>
      </c>
      <c r="BL1169" s="126">
        <v>49060</v>
      </c>
      <c r="BM1169" s="126">
        <v>62457</v>
      </c>
      <c r="BN1169" s="126">
        <v>43243</v>
      </c>
      <c r="BO1169" s="59">
        <v>0</v>
      </c>
      <c r="BP1169" s="63">
        <v>0.37659999999999999</v>
      </c>
      <c r="BQ1169" s="63">
        <v>0.15579999999999999</v>
      </c>
      <c r="BR1169" s="63">
        <v>0</v>
      </c>
      <c r="BS1169" s="63">
        <v>0</v>
      </c>
      <c r="BT1169" s="87">
        <v>9.1</v>
      </c>
      <c r="BU1169" s="59">
        <f t="shared" si="84"/>
        <v>0.53239999999999998</v>
      </c>
      <c r="BV1169" s="59">
        <v>2.5999999999999999E-2</v>
      </c>
      <c r="BW1169" s="63">
        <v>0</v>
      </c>
      <c r="BX1169" s="63">
        <v>5.1900000000000002E-2</v>
      </c>
      <c r="BY1169" s="63">
        <v>0</v>
      </c>
      <c r="BZ1169" s="63">
        <v>0</v>
      </c>
      <c r="CA1169" s="87">
        <v>8.3000000000000007</v>
      </c>
      <c r="CB1169" s="59">
        <f t="shared" si="85"/>
        <v>7.7899999999999997E-2</v>
      </c>
      <c r="CC1169" s="59">
        <v>0.28570000000000001</v>
      </c>
      <c r="CD1169" s="63">
        <v>0.45450000000000002</v>
      </c>
      <c r="CE1169" s="63">
        <v>0.23380000000000001</v>
      </c>
      <c r="CF1169" s="63">
        <v>0</v>
      </c>
      <c r="CG1169" s="63">
        <v>2.5999999999999999E-2</v>
      </c>
      <c r="CH1169" s="87">
        <v>10.7</v>
      </c>
      <c r="CI1169" s="26" t="s">
        <v>335</v>
      </c>
      <c r="CJ1169" s="18" t="s">
        <v>505</v>
      </c>
      <c r="CK1169" s="20"/>
    </row>
    <row r="1170" spans="1:89" x14ac:dyDescent="0.25">
      <c r="A1170" s="18" t="s">
        <v>505</v>
      </c>
      <c r="B1170" s="19" t="s">
        <v>336</v>
      </c>
      <c r="C1170" s="26" t="s">
        <v>337</v>
      </c>
      <c r="D1170" s="6">
        <v>0</v>
      </c>
      <c r="E1170" s="40" t="s">
        <v>83</v>
      </c>
      <c r="F1170" s="6">
        <v>0</v>
      </c>
      <c r="N1170" s="119">
        <v>0</v>
      </c>
      <c r="O1170" s="119">
        <v>0</v>
      </c>
      <c r="P1170" s="116" t="s">
        <v>83</v>
      </c>
      <c r="Q1170" s="116" t="s">
        <v>83</v>
      </c>
      <c r="R1170" s="119">
        <v>0</v>
      </c>
      <c r="S1170" s="119">
        <v>0</v>
      </c>
      <c r="T1170" s="119">
        <v>0</v>
      </c>
      <c r="U1170" s="119">
        <v>0</v>
      </c>
      <c r="V1170" s="119">
        <v>0</v>
      </c>
      <c r="W1170" s="6">
        <v>627</v>
      </c>
      <c r="X1170" s="40">
        <f t="shared" si="82"/>
        <v>627</v>
      </c>
      <c r="Y1170" s="40">
        <f t="shared" si="83"/>
        <v>627</v>
      </c>
      <c r="Z1170" s="59">
        <v>0.50880000000000003</v>
      </c>
      <c r="AA1170" s="59">
        <v>0.49120000000000003</v>
      </c>
      <c r="AB1170" s="61">
        <v>1.594896331738437E-3</v>
      </c>
      <c r="AC1170" s="61">
        <v>3.189792663476874E-3</v>
      </c>
      <c r="AD1170" s="61">
        <v>0.39712918660287083</v>
      </c>
      <c r="AE1170" s="61">
        <v>1.9138755980861243E-2</v>
      </c>
      <c r="AF1170" s="61">
        <v>0</v>
      </c>
      <c r="AG1170" s="61">
        <v>0.57256778309409884</v>
      </c>
      <c r="AH1170" s="61">
        <v>6.379585326953748E-3</v>
      </c>
      <c r="AI1170" s="61">
        <v>0.42743221690590111</v>
      </c>
      <c r="AJ1170" s="59">
        <v>0.6794</v>
      </c>
      <c r="AK1170" s="59">
        <v>8.0000000000000002E-3</v>
      </c>
      <c r="AL1170" s="3">
        <v>0</v>
      </c>
      <c r="AM1170" s="3">
        <v>0</v>
      </c>
      <c r="AN1170" s="3">
        <v>4</v>
      </c>
      <c r="AO1170" s="3">
        <v>161</v>
      </c>
      <c r="AP1170" s="3">
        <v>180</v>
      </c>
      <c r="AQ1170" s="3">
        <v>140</v>
      </c>
      <c r="AR1170" s="3">
        <v>142</v>
      </c>
      <c r="AS1170" s="59">
        <v>2.4242424242424242E-2</v>
      </c>
      <c r="AT1170" s="3">
        <v>9</v>
      </c>
      <c r="AU1170" s="3">
        <v>6</v>
      </c>
      <c r="AV1170" s="49">
        <v>77.337110481586407</v>
      </c>
      <c r="AW1170" s="49">
        <v>15.014164305948999</v>
      </c>
      <c r="AX1170" s="49">
        <v>7.3654390934844205</v>
      </c>
      <c r="AY1170" s="67">
        <v>0.28328611898016998</v>
      </c>
      <c r="AZ1170" s="63">
        <v>0.11337209302325581</v>
      </c>
      <c r="BA1170" s="63">
        <v>0.17732558139534885</v>
      </c>
      <c r="BB1170" s="77">
        <v>93.489934799551406</v>
      </c>
      <c r="BC1170" s="49">
        <v>75.362318840579704</v>
      </c>
      <c r="BD1170" s="49"/>
      <c r="BE1170" s="49"/>
      <c r="BF1170" s="49"/>
      <c r="BG1170" s="49"/>
      <c r="BH1170" s="49"/>
      <c r="BI1170" s="49"/>
      <c r="BJ1170" s="88">
        <v>18.8</v>
      </c>
      <c r="BK1170" s="126">
        <v>9151</v>
      </c>
      <c r="BL1170" s="126">
        <v>48071</v>
      </c>
      <c r="BM1170" s="126">
        <v>55478</v>
      </c>
      <c r="BN1170" s="126">
        <v>45985</v>
      </c>
      <c r="BO1170" s="59">
        <v>0</v>
      </c>
      <c r="BP1170" s="63">
        <v>0.48170000000000002</v>
      </c>
      <c r="BQ1170" s="63">
        <v>0.2223</v>
      </c>
      <c r="BR1170" s="63">
        <v>0</v>
      </c>
      <c r="BS1170" s="63">
        <v>0</v>
      </c>
      <c r="BT1170" s="87">
        <v>15.7</v>
      </c>
      <c r="BU1170" s="59">
        <f t="shared" si="84"/>
        <v>0.70399999999999996</v>
      </c>
      <c r="BV1170" s="59">
        <v>2.7799999999999998E-2</v>
      </c>
      <c r="BW1170" s="63">
        <v>0</v>
      </c>
      <c r="BX1170" s="63">
        <v>5.5599999999999997E-2</v>
      </c>
      <c r="BY1170" s="63">
        <v>0</v>
      </c>
      <c r="BZ1170" s="63">
        <v>0</v>
      </c>
      <c r="CA1170" s="87">
        <v>23.9</v>
      </c>
      <c r="CB1170" s="59">
        <f t="shared" si="85"/>
        <v>8.3400000000000002E-2</v>
      </c>
      <c r="CC1170" s="59">
        <v>0.1477</v>
      </c>
      <c r="CD1170" s="63">
        <v>0.51880000000000004</v>
      </c>
      <c r="CE1170" s="63">
        <v>0.33350000000000002</v>
      </c>
      <c r="CF1170" s="63">
        <v>0</v>
      </c>
      <c r="CG1170" s="63">
        <v>0</v>
      </c>
      <c r="CH1170" s="87">
        <v>16.3</v>
      </c>
      <c r="CI1170" s="26" t="s">
        <v>337</v>
      </c>
      <c r="CJ1170" s="18" t="s">
        <v>505</v>
      </c>
      <c r="CK1170" s="20"/>
    </row>
    <row r="1171" spans="1:89" x14ac:dyDescent="0.25">
      <c r="A1171" s="18" t="s">
        <v>505</v>
      </c>
      <c r="B1171" s="19" t="s">
        <v>336</v>
      </c>
      <c r="C1171" s="26" t="s">
        <v>338</v>
      </c>
      <c r="D1171" s="6">
        <v>27</v>
      </c>
      <c r="E1171" s="40" t="s">
        <v>83</v>
      </c>
      <c r="F1171" s="6">
        <v>27</v>
      </c>
      <c r="N1171" s="119">
        <v>3.1070195627157699E-2</v>
      </c>
      <c r="O1171" s="119">
        <v>3.1070195627157699E-2</v>
      </c>
      <c r="P1171" s="116" t="s">
        <v>83</v>
      </c>
      <c r="Q1171" s="116" t="s">
        <v>83</v>
      </c>
      <c r="R1171" s="119">
        <v>0</v>
      </c>
      <c r="S1171" s="119">
        <v>4.9689440993788803E-2</v>
      </c>
      <c r="T1171" s="119">
        <v>4.1237113402061903E-2</v>
      </c>
      <c r="U1171" s="119">
        <v>1.60427807486631E-2</v>
      </c>
      <c r="V1171" s="119">
        <v>0</v>
      </c>
      <c r="W1171" s="6">
        <v>765</v>
      </c>
      <c r="X1171" s="40">
        <f t="shared" si="82"/>
        <v>765</v>
      </c>
      <c r="Y1171" s="40">
        <f t="shared" si="83"/>
        <v>765</v>
      </c>
      <c r="Z1171" s="59">
        <v>0.52939999999999998</v>
      </c>
      <c r="AA1171" s="59">
        <v>0.47060000000000002</v>
      </c>
      <c r="AB1171" s="61">
        <v>2.6143790849673201E-3</v>
      </c>
      <c r="AC1171" s="61">
        <v>1.045751633986928E-2</v>
      </c>
      <c r="AD1171" s="61">
        <v>0.82091503267973853</v>
      </c>
      <c r="AE1171" s="61">
        <v>1.9607843137254902E-2</v>
      </c>
      <c r="AF1171" s="61">
        <v>0</v>
      </c>
      <c r="AG1171" s="61">
        <v>0.14640522875816994</v>
      </c>
      <c r="AH1171" s="61">
        <v>0</v>
      </c>
      <c r="AI1171" s="61">
        <v>0.85359477124183003</v>
      </c>
      <c r="AJ1171" s="59">
        <v>0.79479999999999995</v>
      </c>
      <c r="AK1171" s="59">
        <v>1.0500000000000001E-2</v>
      </c>
      <c r="AL1171" s="3">
        <v>0</v>
      </c>
      <c r="AM1171" s="3">
        <v>0</v>
      </c>
      <c r="AN1171" s="3">
        <v>6</v>
      </c>
      <c r="AO1171" s="3">
        <v>268</v>
      </c>
      <c r="AP1171" s="3">
        <v>168</v>
      </c>
      <c r="AQ1171" s="3">
        <v>173</v>
      </c>
      <c r="AR1171" s="3">
        <v>150</v>
      </c>
      <c r="AS1171" s="59">
        <v>2.1897810218978103E-2</v>
      </c>
      <c r="AT1171" s="3">
        <v>9</v>
      </c>
      <c r="AU1171" s="3">
        <v>6</v>
      </c>
      <c r="AV1171" s="49">
        <v>77.5</v>
      </c>
      <c r="AW1171" s="49">
        <v>14.090909090909101</v>
      </c>
      <c r="AX1171" s="49">
        <v>6.5909090909090899</v>
      </c>
      <c r="AY1171" s="67">
        <v>1.8181818181818199</v>
      </c>
      <c r="AZ1171" s="63">
        <v>0.11826697892271663</v>
      </c>
      <c r="BA1171" s="63">
        <v>0.14754098360655737</v>
      </c>
      <c r="BB1171" s="78">
        <v>88.665508008830898</v>
      </c>
      <c r="BC1171" s="49">
        <v>70.8963911525029</v>
      </c>
      <c r="BD1171" s="49"/>
      <c r="BE1171" s="49"/>
      <c r="BF1171" s="49"/>
      <c r="BG1171" s="49"/>
      <c r="BH1171" s="49"/>
      <c r="BI1171" s="49"/>
      <c r="BJ1171" s="88">
        <v>17.8</v>
      </c>
      <c r="BK1171" s="126">
        <v>9519</v>
      </c>
      <c r="BL1171" s="126">
        <v>46475</v>
      </c>
      <c r="BM1171" s="126">
        <v>51082</v>
      </c>
      <c r="BN1171" s="126">
        <v>41846</v>
      </c>
      <c r="BO1171" s="59">
        <v>1.29E-2</v>
      </c>
      <c r="BP1171" s="63">
        <v>0.45540000000000003</v>
      </c>
      <c r="BQ1171" s="63">
        <v>0.191</v>
      </c>
      <c r="BR1171" s="63">
        <v>1.29E-2</v>
      </c>
      <c r="BS1171" s="63">
        <v>0</v>
      </c>
      <c r="BT1171" s="87">
        <v>11.3</v>
      </c>
      <c r="BU1171" s="59">
        <f t="shared" si="84"/>
        <v>0.67220000000000002</v>
      </c>
      <c r="BV1171" s="59">
        <v>1.15E-2</v>
      </c>
      <c r="BW1171" s="63">
        <v>0</v>
      </c>
      <c r="BX1171" s="63">
        <v>3.8699999999999998E-2</v>
      </c>
      <c r="BY1171" s="63">
        <v>0</v>
      </c>
      <c r="BZ1171" s="63">
        <v>1.29E-2</v>
      </c>
      <c r="CA1171" s="87">
        <v>21.1</v>
      </c>
      <c r="CB1171" s="59">
        <f t="shared" si="85"/>
        <v>6.3099999999999989E-2</v>
      </c>
      <c r="CC1171" s="59">
        <v>0.23749999999999999</v>
      </c>
      <c r="CD1171" s="63">
        <v>0.46829999999999999</v>
      </c>
      <c r="CE1171" s="63">
        <v>0.26850000000000002</v>
      </c>
      <c r="CF1171" s="63">
        <v>1.29E-2</v>
      </c>
      <c r="CG1171" s="63">
        <v>1.29E-2</v>
      </c>
      <c r="CH1171" s="87">
        <v>12.4</v>
      </c>
      <c r="CI1171" s="26" t="s">
        <v>338</v>
      </c>
      <c r="CJ1171" s="18" t="s">
        <v>505</v>
      </c>
      <c r="CK1171" s="20"/>
    </row>
    <row r="1172" spans="1:89" x14ac:dyDescent="0.25">
      <c r="A1172" s="18" t="s">
        <v>505</v>
      </c>
      <c r="B1172" s="19" t="s">
        <v>336</v>
      </c>
      <c r="C1172" s="26" t="s">
        <v>339</v>
      </c>
      <c r="D1172" s="6">
        <v>9</v>
      </c>
      <c r="E1172" s="6">
        <v>2</v>
      </c>
      <c r="F1172" s="6">
        <v>7</v>
      </c>
      <c r="N1172" s="119">
        <v>3.2142857142857098E-2</v>
      </c>
      <c r="O1172" s="119">
        <v>3.7837837837837798E-2</v>
      </c>
      <c r="P1172" s="119">
        <v>2.1739130434782601E-2</v>
      </c>
      <c r="Q1172" s="119">
        <v>2.04081632653061E-2</v>
      </c>
      <c r="R1172" s="119">
        <v>0</v>
      </c>
      <c r="S1172" s="119">
        <v>5.4054054054054099E-2</v>
      </c>
      <c r="T1172" s="119">
        <v>4.08163265306122E-2</v>
      </c>
      <c r="U1172" s="119">
        <v>2.9411764705882401E-2</v>
      </c>
      <c r="V1172" s="119">
        <v>0</v>
      </c>
      <c r="W1172" s="6">
        <v>289</v>
      </c>
      <c r="X1172" s="40">
        <f t="shared" si="82"/>
        <v>161</v>
      </c>
      <c r="Y1172" s="40">
        <f t="shared" si="83"/>
        <v>239</v>
      </c>
      <c r="Z1172" s="59">
        <v>0.46710000000000002</v>
      </c>
      <c r="AA1172" s="59">
        <v>0.53290000000000004</v>
      </c>
      <c r="AB1172" s="61">
        <v>0</v>
      </c>
      <c r="AC1172" s="61">
        <v>3.4602076124567475E-3</v>
      </c>
      <c r="AD1172" s="61">
        <v>0.74394463667820065</v>
      </c>
      <c r="AE1172" s="61">
        <v>2.0761245674740483E-2</v>
      </c>
      <c r="AF1172" s="61">
        <v>0</v>
      </c>
      <c r="AG1172" s="61">
        <v>0.23183391003460208</v>
      </c>
      <c r="AH1172" s="61">
        <v>0</v>
      </c>
      <c r="AI1172" s="61">
        <v>0.76816608996539792</v>
      </c>
      <c r="AJ1172" s="59">
        <v>0.83040000000000003</v>
      </c>
      <c r="AK1172" s="59">
        <v>0</v>
      </c>
      <c r="AL1172" s="3">
        <v>35</v>
      </c>
      <c r="AM1172" s="3">
        <v>43</v>
      </c>
      <c r="AN1172" s="3">
        <v>1</v>
      </c>
      <c r="AO1172" s="3">
        <v>61</v>
      </c>
      <c r="AP1172" s="3">
        <v>43</v>
      </c>
      <c r="AQ1172" s="3">
        <v>30</v>
      </c>
      <c r="AR1172" s="3">
        <v>26</v>
      </c>
      <c r="AS1172" s="59">
        <v>1.6129032258064516E-2</v>
      </c>
      <c r="AT1172" s="3">
        <v>6</v>
      </c>
      <c r="AU1172" s="3">
        <v>6</v>
      </c>
      <c r="AV1172" s="49">
        <v>92.4444444444444</v>
      </c>
      <c r="AW1172" s="49">
        <v>7.1111111111111098</v>
      </c>
      <c r="AX1172" s="49">
        <v>0.44444444444444403</v>
      </c>
      <c r="AY1172" s="67">
        <v>0</v>
      </c>
      <c r="AZ1172" s="63">
        <v>9.0090090090090089E-3</v>
      </c>
      <c r="BA1172" s="63">
        <v>0.3213213213213213</v>
      </c>
      <c r="BB1172" s="77">
        <v>92.393711248892799</v>
      </c>
      <c r="BC1172" s="49">
        <v>66.865671641791096</v>
      </c>
      <c r="BD1172" s="49"/>
      <c r="BE1172" s="49"/>
      <c r="BF1172" s="49"/>
      <c r="BG1172" s="49"/>
      <c r="BH1172" s="49"/>
      <c r="BI1172" s="49"/>
      <c r="BJ1172" s="88">
        <v>16.899999999999999</v>
      </c>
      <c r="BK1172" s="126">
        <v>23179</v>
      </c>
      <c r="BL1172" s="126">
        <v>46150</v>
      </c>
      <c r="BM1172" s="126">
        <v>46489</v>
      </c>
      <c r="BN1172" s="126">
        <v>40303</v>
      </c>
      <c r="BO1172" s="59">
        <v>3.85E-2</v>
      </c>
      <c r="BP1172" s="63">
        <v>0.43159999999999998</v>
      </c>
      <c r="BQ1172" s="63">
        <v>0.10349999999999999</v>
      </c>
      <c r="BR1172" s="63">
        <v>0</v>
      </c>
      <c r="BS1172" s="63">
        <v>0</v>
      </c>
      <c r="BT1172" s="87">
        <v>12.6</v>
      </c>
      <c r="BU1172" s="59">
        <f t="shared" si="84"/>
        <v>0.5736</v>
      </c>
      <c r="BV1172" s="59">
        <v>3.4599999999999999E-2</v>
      </c>
      <c r="BW1172" s="63">
        <v>1.15E-2</v>
      </c>
      <c r="BX1172" s="63">
        <v>4.6100000000000002E-2</v>
      </c>
      <c r="BY1172" s="63">
        <v>0</v>
      </c>
      <c r="BZ1172" s="63">
        <v>0</v>
      </c>
      <c r="CA1172" s="87">
        <v>23.1</v>
      </c>
      <c r="CB1172" s="59">
        <f t="shared" si="85"/>
        <v>9.2200000000000004E-2</v>
      </c>
      <c r="CC1172" s="59">
        <v>0.3382</v>
      </c>
      <c r="CD1172" s="63">
        <v>0.47770000000000001</v>
      </c>
      <c r="CE1172" s="63">
        <v>0.18410000000000001</v>
      </c>
      <c r="CF1172" s="63">
        <v>0</v>
      </c>
      <c r="CG1172" s="63">
        <v>0</v>
      </c>
      <c r="CH1172" s="87">
        <v>12.9</v>
      </c>
      <c r="CI1172" s="26" t="s">
        <v>339</v>
      </c>
      <c r="CJ1172" s="18" t="s">
        <v>505</v>
      </c>
      <c r="CK1172" s="20"/>
    </row>
    <row r="1173" spans="1:89" x14ac:dyDescent="0.25">
      <c r="A1173" s="18" t="s">
        <v>505</v>
      </c>
      <c r="B1173" s="19" t="s">
        <v>336</v>
      </c>
      <c r="C1173" s="26" t="s">
        <v>340</v>
      </c>
      <c r="D1173" s="6">
        <v>40</v>
      </c>
      <c r="E1173" s="40" t="s">
        <v>83</v>
      </c>
      <c r="F1173" s="6">
        <v>40</v>
      </c>
      <c r="N1173" s="119">
        <v>4.2689434364994699E-2</v>
      </c>
      <c r="O1173" s="119">
        <v>4.2689434364994699E-2</v>
      </c>
      <c r="P1173" s="116" t="s">
        <v>83</v>
      </c>
      <c r="Q1173" s="116" t="s">
        <v>83</v>
      </c>
      <c r="R1173" s="116" t="s">
        <v>83</v>
      </c>
      <c r="S1173" s="119">
        <v>5.5727554179566603E-2</v>
      </c>
      <c r="T1173" s="119">
        <v>4.6218487394957999E-2</v>
      </c>
      <c r="U1173" s="119">
        <v>2.7624309392265199E-2</v>
      </c>
      <c r="V1173" s="119">
        <v>3.09278350515464E-2</v>
      </c>
      <c r="W1173" s="6">
        <v>846</v>
      </c>
      <c r="X1173" s="40">
        <f t="shared" si="82"/>
        <v>846</v>
      </c>
      <c r="Y1173" s="40">
        <f t="shared" si="83"/>
        <v>846</v>
      </c>
      <c r="Z1173" s="59">
        <v>0.4657</v>
      </c>
      <c r="AA1173" s="59">
        <v>0.5343</v>
      </c>
      <c r="AB1173" s="61">
        <v>1.1820330969267139E-3</v>
      </c>
      <c r="AC1173" s="61">
        <v>1.1820330969267139E-3</v>
      </c>
      <c r="AD1173" s="61">
        <v>0.38770685579196218</v>
      </c>
      <c r="AE1173" s="61">
        <v>2.6004728132387706E-2</v>
      </c>
      <c r="AF1173" s="61">
        <v>0</v>
      </c>
      <c r="AG1173" s="61">
        <v>0.58037825059101655</v>
      </c>
      <c r="AH1173" s="61">
        <v>3.5460992907801418E-3</v>
      </c>
      <c r="AI1173" s="61">
        <v>0.41962174940898345</v>
      </c>
      <c r="AJ1173" s="59">
        <v>0.58160000000000001</v>
      </c>
      <c r="AK1173" s="59">
        <v>1.06E-2</v>
      </c>
      <c r="AL1173" s="3">
        <v>0</v>
      </c>
      <c r="AM1173" s="3">
        <v>0</v>
      </c>
      <c r="AN1173" s="3">
        <v>0</v>
      </c>
      <c r="AO1173" s="3">
        <v>269</v>
      </c>
      <c r="AP1173" s="3">
        <v>217</v>
      </c>
      <c r="AQ1173" s="3">
        <v>173</v>
      </c>
      <c r="AR1173" s="3">
        <v>187</v>
      </c>
      <c r="AS1173" s="59">
        <v>0</v>
      </c>
      <c r="AT1173" s="3">
        <v>9</v>
      </c>
      <c r="AU1173" s="3">
        <v>6</v>
      </c>
      <c r="AV1173" s="49">
        <v>70.917225950783006</v>
      </c>
      <c r="AW1173" s="49">
        <v>17.8970917225951</v>
      </c>
      <c r="AX1173" s="49">
        <v>10.9619686800895</v>
      </c>
      <c r="AY1173" s="67">
        <v>0.223713646532438</v>
      </c>
      <c r="AZ1173" s="63">
        <v>0.11713665943600868</v>
      </c>
      <c r="BA1173" s="63">
        <v>2.4945770065075923E-2</v>
      </c>
      <c r="BB1173" s="78">
        <v>92.814715055287806</v>
      </c>
      <c r="BC1173" s="49">
        <v>63.852813852813902</v>
      </c>
      <c r="BD1173" s="49"/>
      <c r="BE1173" s="49"/>
      <c r="BF1173" s="49"/>
      <c r="BG1173" s="49"/>
      <c r="BH1173" s="49"/>
      <c r="BI1173" s="49"/>
      <c r="BJ1173" s="88">
        <v>19.100000000000001</v>
      </c>
      <c r="BK1173" s="126">
        <v>8523</v>
      </c>
      <c r="BL1173" s="126">
        <v>45560</v>
      </c>
      <c r="BM1173" s="126">
        <v>57391</v>
      </c>
      <c r="BN1173" s="126">
        <v>41425</v>
      </c>
      <c r="BO1173" s="59">
        <v>0</v>
      </c>
      <c r="BP1173" s="63">
        <v>0.52039999999999997</v>
      </c>
      <c r="BQ1173" s="63">
        <v>0.11550000000000001</v>
      </c>
      <c r="BR1173" s="63">
        <v>0</v>
      </c>
      <c r="BS1173" s="63">
        <v>0</v>
      </c>
      <c r="BT1173" s="87">
        <v>10.4</v>
      </c>
      <c r="BU1173" s="59">
        <f t="shared" si="84"/>
        <v>0.63590000000000002</v>
      </c>
      <c r="BV1173" s="59">
        <v>1.7899999999999999E-2</v>
      </c>
      <c r="BW1173" s="63">
        <v>0</v>
      </c>
      <c r="BX1173" s="63">
        <v>4.24E-2</v>
      </c>
      <c r="BY1173" s="63">
        <v>0</v>
      </c>
      <c r="BZ1173" s="63">
        <v>0</v>
      </c>
      <c r="CA1173" s="87">
        <v>16.2</v>
      </c>
      <c r="CB1173" s="59">
        <f t="shared" si="85"/>
        <v>6.0299999999999999E-2</v>
      </c>
      <c r="CC1173" s="59">
        <v>0.2651</v>
      </c>
      <c r="CD1173" s="63">
        <v>0.52039999999999997</v>
      </c>
      <c r="CE1173" s="63">
        <v>0.2145</v>
      </c>
      <c r="CF1173" s="63">
        <v>0</v>
      </c>
      <c r="CG1173" s="63">
        <v>0</v>
      </c>
      <c r="CH1173" s="87">
        <v>10</v>
      </c>
      <c r="CI1173" s="26" t="s">
        <v>340</v>
      </c>
      <c r="CJ1173" s="18" t="s">
        <v>505</v>
      </c>
      <c r="CK1173" s="20"/>
    </row>
    <row r="1174" spans="1:89" x14ac:dyDescent="0.25">
      <c r="A1174" s="18" t="s">
        <v>505</v>
      </c>
      <c r="B1174" s="19" t="s">
        <v>336</v>
      </c>
      <c r="C1174" s="26" t="s">
        <v>341</v>
      </c>
      <c r="D1174" s="6">
        <v>17</v>
      </c>
      <c r="E1174" s="40" t="s">
        <v>83</v>
      </c>
      <c r="F1174" s="6">
        <v>17</v>
      </c>
      <c r="N1174" s="119">
        <v>2.5335320417287598E-2</v>
      </c>
      <c r="O1174" s="119">
        <v>2.5335320417287598E-2</v>
      </c>
      <c r="P1174" s="116" t="s">
        <v>83</v>
      </c>
      <c r="Q1174" s="116" t="s">
        <v>83</v>
      </c>
      <c r="R1174" s="119">
        <v>0</v>
      </c>
      <c r="S1174" s="119">
        <v>3.3980582524271802E-2</v>
      </c>
      <c r="T1174" s="119">
        <v>2.7777777777777801E-2</v>
      </c>
      <c r="U1174" s="119">
        <v>7.14285714285714E-3</v>
      </c>
      <c r="V1174" s="119">
        <v>2.9197080291970798E-2</v>
      </c>
      <c r="W1174" s="6">
        <v>610</v>
      </c>
      <c r="X1174" s="40">
        <f t="shared" si="82"/>
        <v>610</v>
      </c>
      <c r="Y1174" s="40">
        <f t="shared" si="83"/>
        <v>610</v>
      </c>
      <c r="Z1174" s="59">
        <v>0.4672</v>
      </c>
      <c r="AA1174" s="59">
        <v>0.53280000000000005</v>
      </c>
      <c r="AB1174" s="61">
        <v>1.639344262295082E-3</v>
      </c>
      <c r="AC1174" s="61">
        <v>1.639344262295082E-3</v>
      </c>
      <c r="AD1174" s="61">
        <v>0.73114754098360657</v>
      </c>
      <c r="AE1174" s="61">
        <v>1.6393442622950821E-2</v>
      </c>
      <c r="AF1174" s="61">
        <v>0</v>
      </c>
      <c r="AG1174" s="61">
        <v>0.24918032786885247</v>
      </c>
      <c r="AH1174" s="61">
        <v>0</v>
      </c>
      <c r="AI1174" s="61">
        <v>0.75081967213114753</v>
      </c>
      <c r="AJ1174" s="59">
        <v>0.71799999999999997</v>
      </c>
      <c r="AK1174" s="59">
        <v>1.6000000000000001E-3</v>
      </c>
      <c r="AL1174" s="3">
        <v>0</v>
      </c>
      <c r="AM1174" s="3">
        <v>0</v>
      </c>
      <c r="AN1174" s="3">
        <v>10</v>
      </c>
      <c r="AO1174" s="3">
        <v>182</v>
      </c>
      <c r="AP1174" s="3">
        <v>165</v>
      </c>
      <c r="AQ1174" s="3">
        <v>129</v>
      </c>
      <c r="AR1174" s="3">
        <v>124</v>
      </c>
      <c r="AS1174" s="59">
        <v>5.2083333333333336E-2</v>
      </c>
      <c r="AT1174" s="3">
        <v>9</v>
      </c>
      <c r="AU1174" s="3">
        <v>6</v>
      </c>
      <c r="AV1174" s="49">
        <v>71.5976331360947</v>
      </c>
      <c r="AW1174" s="49">
        <v>15.680473372781101</v>
      </c>
      <c r="AX1174" s="49">
        <v>11.834319526627199</v>
      </c>
      <c r="AY1174" s="67">
        <v>0.88757396449704096</v>
      </c>
      <c r="AZ1174" s="63">
        <v>5.5891238670694864E-2</v>
      </c>
      <c r="BA1174" s="63">
        <v>0.13595166163141995</v>
      </c>
      <c r="BB1174" s="77">
        <v>90.192015674749001</v>
      </c>
      <c r="BC1174" s="49">
        <v>77.941176470588204</v>
      </c>
      <c r="BD1174" s="49"/>
      <c r="BE1174" s="49"/>
      <c r="BF1174" s="49"/>
      <c r="BG1174" s="49"/>
      <c r="BH1174" s="49"/>
      <c r="BI1174" s="49"/>
      <c r="BJ1174" s="88">
        <v>17.100000000000001</v>
      </c>
      <c r="BK1174" s="126">
        <v>8880</v>
      </c>
      <c r="BL1174" s="126">
        <v>47127</v>
      </c>
      <c r="BM1174" s="126">
        <v>51554</v>
      </c>
      <c r="BN1174" s="126">
        <v>42980</v>
      </c>
      <c r="BO1174" s="59">
        <v>1.8800000000000001E-2</v>
      </c>
      <c r="BP1174" s="63">
        <v>0.41049999999999998</v>
      </c>
      <c r="BQ1174" s="63">
        <v>0.22489999999999999</v>
      </c>
      <c r="BR1174" s="63">
        <v>1.8800000000000001E-2</v>
      </c>
      <c r="BS1174" s="63">
        <v>0</v>
      </c>
      <c r="BT1174" s="87">
        <v>12.1</v>
      </c>
      <c r="BU1174" s="59">
        <f t="shared" si="84"/>
        <v>0.67299999999999993</v>
      </c>
      <c r="BV1174" s="59">
        <v>3.2899999999999999E-2</v>
      </c>
      <c r="BW1174" s="63">
        <v>0</v>
      </c>
      <c r="BX1174" s="63">
        <v>5.6300000000000003E-2</v>
      </c>
      <c r="BY1174" s="63">
        <v>0</v>
      </c>
      <c r="BZ1174" s="63">
        <v>0</v>
      </c>
      <c r="CA1174" s="87">
        <v>19.600000000000001</v>
      </c>
      <c r="CB1174" s="59">
        <f t="shared" si="85"/>
        <v>8.9200000000000002E-2</v>
      </c>
      <c r="CC1174" s="59">
        <v>0.2331</v>
      </c>
      <c r="CD1174" s="63">
        <v>0.41049999999999998</v>
      </c>
      <c r="CE1174" s="63">
        <v>0.33760000000000001</v>
      </c>
      <c r="CF1174" s="63">
        <v>1.8800000000000001E-2</v>
      </c>
      <c r="CG1174" s="63">
        <v>0</v>
      </c>
      <c r="CH1174" s="87">
        <v>12.5</v>
      </c>
      <c r="CI1174" s="26" t="s">
        <v>341</v>
      </c>
      <c r="CJ1174" s="18" t="s">
        <v>505</v>
      </c>
      <c r="CK1174" s="20"/>
    </row>
    <row r="1175" spans="1:89" x14ac:dyDescent="0.25">
      <c r="A1175" s="18" t="s">
        <v>505</v>
      </c>
      <c r="B1175" s="19" t="s">
        <v>336</v>
      </c>
      <c r="C1175" s="26" t="s">
        <v>342</v>
      </c>
      <c r="D1175" s="6">
        <v>19</v>
      </c>
      <c r="E1175" s="40" t="s">
        <v>83</v>
      </c>
      <c r="F1175" s="6">
        <v>19</v>
      </c>
      <c r="N1175" s="119">
        <v>4.0948275862068999E-2</v>
      </c>
      <c r="O1175" s="119">
        <v>4.0948275862068999E-2</v>
      </c>
      <c r="P1175" s="116" t="s">
        <v>83</v>
      </c>
      <c r="Q1175" s="116" t="s">
        <v>83</v>
      </c>
      <c r="R1175" s="116" t="s">
        <v>83</v>
      </c>
      <c r="S1175" s="119">
        <v>5.4878048780487798E-2</v>
      </c>
      <c r="T1175" s="119">
        <v>6.5420560747663503E-2</v>
      </c>
      <c r="U1175" s="119">
        <v>1.0752688172042999E-2</v>
      </c>
      <c r="V1175" s="119">
        <v>2.1052631578947399E-2</v>
      </c>
      <c r="W1175" s="6">
        <v>409</v>
      </c>
      <c r="X1175" s="40">
        <f t="shared" si="82"/>
        <v>409</v>
      </c>
      <c r="Y1175" s="40">
        <f t="shared" si="83"/>
        <v>409</v>
      </c>
      <c r="Z1175" s="59">
        <v>0.45479999999999998</v>
      </c>
      <c r="AA1175" s="59">
        <v>0.54520000000000002</v>
      </c>
      <c r="AB1175" s="61">
        <v>7.3349633251833741E-3</v>
      </c>
      <c r="AC1175" s="61">
        <v>0</v>
      </c>
      <c r="AD1175" s="61">
        <v>0.39608801955990219</v>
      </c>
      <c r="AE1175" s="61">
        <v>0</v>
      </c>
      <c r="AF1175" s="61">
        <v>0</v>
      </c>
      <c r="AG1175" s="61">
        <v>0.5965770171149144</v>
      </c>
      <c r="AH1175" s="61">
        <v>0</v>
      </c>
      <c r="AI1175" s="61">
        <v>0.4034229828850856</v>
      </c>
      <c r="AJ1175" s="59">
        <v>0.64059999999999995</v>
      </c>
      <c r="AK1175" s="59">
        <v>0</v>
      </c>
      <c r="AL1175" s="3">
        <v>0</v>
      </c>
      <c r="AM1175" s="3">
        <v>0</v>
      </c>
      <c r="AN1175" s="3">
        <v>0</v>
      </c>
      <c r="AO1175" s="3">
        <v>132</v>
      </c>
      <c r="AP1175" s="3">
        <v>97</v>
      </c>
      <c r="AQ1175" s="3">
        <v>88</v>
      </c>
      <c r="AR1175" s="3">
        <v>92</v>
      </c>
      <c r="AS1175" s="59">
        <v>0</v>
      </c>
      <c r="AT1175" s="3">
        <v>9</v>
      </c>
      <c r="AU1175" s="3">
        <v>6</v>
      </c>
      <c r="AV1175" s="49">
        <v>82.0833333333333</v>
      </c>
      <c r="AW1175" s="49">
        <v>13.3333333333333</v>
      </c>
      <c r="AX1175" s="49">
        <v>4.5833333333333304</v>
      </c>
      <c r="AY1175" s="67">
        <v>0</v>
      </c>
      <c r="AZ1175" s="63">
        <v>8.7912087912087919E-2</v>
      </c>
      <c r="BA1175" s="63">
        <v>7.032967032967033E-2</v>
      </c>
      <c r="BB1175" s="78">
        <v>91.164247206358894</v>
      </c>
      <c r="BC1175" s="49">
        <v>74.727668845315904</v>
      </c>
      <c r="BD1175" s="49"/>
      <c r="BE1175" s="49"/>
      <c r="BF1175" s="49"/>
      <c r="BG1175" s="49"/>
      <c r="BH1175" s="49"/>
      <c r="BI1175" s="49"/>
      <c r="BJ1175" s="88">
        <v>18.2</v>
      </c>
      <c r="BK1175" s="126">
        <v>11978</v>
      </c>
      <c r="BL1175" s="126">
        <v>46880</v>
      </c>
      <c r="BM1175" s="126">
        <v>44807</v>
      </c>
      <c r="BN1175" s="126">
        <v>40303</v>
      </c>
      <c r="BO1175" s="59">
        <v>0</v>
      </c>
      <c r="BP1175" s="63">
        <v>0.46920000000000001</v>
      </c>
      <c r="BQ1175" s="63">
        <v>7.3499999999999996E-2</v>
      </c>
      <c r="BR1175" s="63">
        <v>0</v>
      </c>
      <c r="BS1175" s="63">
        <v>1.84E-2</v>
      </c>
      <c r="BT1175" s="87">
        <v>9.6999999999999993</v>
      </c>
      <c r="BU1175" s="59">
        <f t="shared" si="84"/>
        <v>0.56109999999999993</v>
      </c>
      <c r="BV1175" s="59">
        <v>2.9899999999999999E-2</v>
      </c>
      <c r="BW1175" s="63">
        <v>0</v>
      </c>
      <c r="BX1175" s="63">
        <v>4.5699999999999998E-2</v>
      </c>
      <c r="BY1175" s="63">
        <v>0</v>
      </c>
      <c r="BZ1175" s="63">
        <v>0</v>
      </c>
      <c r="CA1175" s="87">
        <v>8.8000000000000007</v>
      </c>
      <c r="CB1175" s="59">
        <f t="shared" si="85"/>
        <v>7.5600000000000001E-2</v>
      </c>
      <c r="CC1175" s="59">
        <v>0.33800000000000002</v>
      </c>
      <c r="CD1175" s="63">
        <v>0.50600000000000001</v>
      </c>
      <c r="CE1175" s="63">
        <v>0.1376</v>
      </c>
      <c r="CF1175" s="63">
        <v>0</v>
      </c>
      <c r="CG1175" s="63">
        <v>1.84E-2</v>
      </c>
      <c r="CH1175" s="87">
        <v>11.9</v>
      </c>
      <c r="CI1175" s="26" t="s">
        <v>342</v>
      </c>
      <c r="CJ1175" s="18" t="s">
        <v>505</v>
      </c>
      <c r="CK1175" s="20"/>
    </row>
    <row r="1176" spans="1:89" x14ac:dyDescent="0.25">
      <c r="A1176" s="18" t="s">
        <v>505</v>
      </c>
      <c r="B1176" s="19" t="s">
        <v>336</v>
      </c>
      <c r="C1176" s="26" t="s">
        <v>343</v>
      </c>
      <c r="D1176" s="6">
        <v>0</v>
      </c>
      <c r="E1176" s="6">
        <v>0</v>
      </c>
      <c r="F1176" s="6">
        <v>0</v>
      </c>
      <c r="N1176" s="119">
        <v>0</v>
      </c>
      <c r="O1176" s="119">
        <v>0</v>
      </c>
      <c r="P1176" s="119">
        <v>0</v>
      </c>
      <c r="Q1176" s="119">
        <v>0</v>
      </c>
      <c r="R1176" s="116" t="s">
        <v>83</v>
      </c>
      <c r="S1176" s="119">
        <v>0</v>
      </c>
      <c r="T1176" s="119">
        <v>0</v>
      </c>
      <c r="U1176" s="119">
        <v>0</v>
      </c>
      <c r="V1176" s="119">
        <v>0</v>
      </c>
      <c r="W1176" s="6">
        <v>300</v>
      </c>
      <c r="X1176" s="40">
        <f t="shared" si="82"/>
        <v>192</v>
      </c>
      <c r="Y1176" s="40">
        <f t="shared" si="83"/>
        <v>300</v>
      </c>
      <c r="Z1176" s="59">
        <v>0.67</v>
      </c>
      <c r="AA1176" s="59">
        <v>0.33</v>
      </c>
      <c r="AB1176" s="61">
        <v>0</v>
      </c>
      <c r="AC1176" s="61">
        <v>0.02</v>
      </c>
      <c r="AD1176" s="61">
        <v>0.56666666666666665</v>
      </c>
      <c r="AE1176" s="61">
        <v>1.3333333333333334E-2</v>
      </c>
      <c r="AF1176" s="61">
        <v>0</v>
      </c>
      <c r="AG1176" s="61">
        <v>0.4</v>
      </c>
      <c r="AH1176" s="61">
        <v>0</v>
      </c>
      <c r="AI1176" s="61">
        <v>0.6</v>
      </c>
      <c r="AJ1176" s="59">
        <v>0.64329999999999998</v>
      </c>
      <c r="AK1176" s="59">
        <v>1.3299999999999999E-2</v>
      </c>
      <c r="AL1176" s="3">
        <v>51</v>
      </c>
      <c r="AM1176" s="3">
        <v>57</v>
      </c>
      <c r="AN1176" s="3">
        <v>0</v>
      </c>
      <c r="AO1176" s="3">
        <v>62</v>
      </c>
      <c r="AP1176" s="3">
        <v>48</v>
      </c>
      <c r="AQ1176" s="3">
        <v>38</v>
      </c>
      <c r="AR1176" s="3">
        <v>44</v>
      </c>
      <c r="AS1176" s="59">
        <v>0</v>
      </c>
      <c r="AT1176" s="3">
        <v>7</v>
      </c>
      <c r="AU1176" s="3">
        <v>7</v>
      </c>
      <c r="AV1176" s="49">
        <v>87.168141592920406</v>
      </c>
      <c r="AW1176" s="49">
        <v>12.389380530973499</v>
      </c>
      <c r="AX1176" s="49">
        <v>0.44247787610619504</v>
      </c>
      <c r="AY1176" s="67">
        <v>0</v>
      </c>
      <c r="AZ1176" s="63">
        <v>6.5359477124183009E-3</v>
      </c>
      <c r="BA1176" s="63">
        <v>1.6339869281045753E-2</v>
      </c>
      <c r="BB1176" s="77">
        <v>95.872349692158494</v>
      </c>
      <c r="BC1176" s="49">
        <v>56.026058631921799</v>
      </c>
      <c r="BD1176" s="49"/>
      <c r="BE1176" s="49"/>
      <c r="BF1176" s="49"/>
      <c r="BG1176" s="49"/>
      <c r="BH1176" s="49"/>
      <c r="BI1176" s="49"/>
      <c r="BJ1176" s="88">
        <v>20.6</v>
      </c>
      <c r="BK1176" s="126">
        <v>11436</v>
      </c>
      <c r="BL1176" s="126">
        <v>46766</v>
      </c>
      <c r="BM1176" s="126">
        <v>52428</v>
      </c>
      <c r="BN1176" s="126">
        <v>43285</v>
      </c>
      <c r="BO1176" s="59">
        <v>0</v>
      </c>
      <c r="BP1176" s="63">
        <v>0.42670000000000002</v>
      </c>
      <c r="BQ1176" s="63">
        <v>0.21329999999999999</v>
      </c>
      <c r="BR1176" s="63">
        <v>0</v>
      </c>
      <c r="BS1176" s="63">
        <v>2.6700000000000002E-2</v>
      </c>
      <c r="BT1176" s="87">
        <v>14.8</v>
      </c>
      <c r="BU1176" s="59">
        <f t="shared" si="84"/>
        <v>0.66670000000000007</v>
      </c>
      <c r="BV1176" s="59">
        <v>2.6700000000000002E-2</v>
      </c>
      <c r="BW1176" s="63">
        <v>0</v>
      </c>
      <c r="BX1176" s="63">
        <v>5.33E-2</v>
      </c>
      <c r="BY1176" s="63">
        <v>0</v>
      </c>
      <c r="BZ1176" s="63">
        <v>0</v>
      </c>
      <c r="CA1176" s="87">
        <v>17</v>
      </c>
      <c r="CB1176" s="59">
        <f t="shared" si="85"/>
        <v>0.08</v>
      </c>
      <c r="CC1176" s="59">
        <v>0.2</v>
      </c>
      <c r="CD1176" s="63">
        <v>0.48</v>
      </c>
      <c r="CE1176" s="63">
        <v>0.29330000000000001</v>
      </c>
      <c r="CF1176" s="63">
        <v>0</v>
      </c>
      <c r="CG1176" s="63">
        <v>2.6700000000000002E-2</v>
      </c>
      <c r="CH1176" s="87">
        <v>14.5</v>
      </c>
      <c r="CI1176" s="26" t="s">
        <v>343</v>
      </c>
      <c r="CJ1176" s="18" t="s">
        <v>505</v>
      </c>
      <c r="CK1176" s="20"/>
    </row>
    <row r="1177" spans="1:89" x14ac:dyDescent="0.25">
      <c r="A1177" s="18" t="s">
        <v>505</v>
      </c>
      <c r="B1177" s="19" t="s">
        <v>344</v>
      </c>
      <c r="C1177" s="26" t="s">
        <v>345</v>
      </c>
      <c r="D1177" s="6">
        <v>35</v>
      </c>
      <c r="E1177" s="6">
        <v>2</v>
      </c>
      <c r="F1177" s="6">
        <v>33</v>
      </c>
      <c r="N1177" s="119">
        <v>4.0137614678899099E-2</v>
      </c>
      <c r="O1177" s="119">
        <v>3.8596491228070198E-2</v>
      </c>
      <c r="P1177" s="116" t="s">
        <v>83</v>
      </c>
      <c r="Q1177" s="119">
        <v>0.11764705882352899</v>
      </c>
      <c r="R1177" s="116" t="s">
        <v>83</v>
      </c>
      <c r="S1177" s="119">
        <v>2.8571428571428598E-2</v>
      </c>
      <c r="T1177" s="119">
        <v>4.81927710843374E-2</v>
      </c>
      <c r="U1177" s="119">
        <v>5.3763440860215103E-2</v>
      </c>
      <c r="V1177" s="119">
        <v>2.3809523809523801E-2</v>
      </c>
      <c r="W1177" s="6">
        <v>816</v>
      </c>
      <c r="X1177" s="40">
        <f t="shared" si="82"/>
        <v>800</v>
      </c>
      <c r="Y1177" s="40">
        <f t="shared" si="83"/>
        <v>816</v>
      </c>
      <c r="Z1177" s="59">
        <v>0.45960000000000001</v>
      </c>
      <c r="AA1177" s="59">
        <v>0.54039999999999999</v>
      </c>
      <c r="AB1177" s="61">
        <v>3.6764705882352941E-3</v>
      </c>
      <c r="AC1177" s="61">
        <v>4.9019607843137254E-3</v>
      </c>
      <c r="AD1177" s="61">
        <v>0.47671568627450983</v>
      </c>
      <c r="AE1177" s="61">
        <v>1.9607843137254902E-2</v>
      </c>
      <c r="AF1177" s="61">
        <v>0</v>
      </c>
      <c r="AG1177" s="61">
        <v>0.48039215686274511</v>
      </c>
      <c r="AH1177" s="61">
        <v>1.4705882352941176E-2</v>
      </c>
      <c r="AI1177" s="61">
        <v>0.51960784313725494</v>
      </c>
      <c r="AJ1177" s="59">
        <v>0.67030000000000001</v>
      </c>
      <c r="AK1177" s="59">
        <v>6.1000000000000004E-3</v>
      </c>
      <c r="AL1177" s="3">
        <v>0</v>
      </c>
      <c r="AM1177" s="3">
        <v>16</v>
      </c>
      <c r="AN1177" s="3">
        <v>0</v>
      </c>
      <c r="AO1177" s="3">
        <v>196</v>
      </c>
      <c r="AP1177" s="3">
        <v>229</v>
      </c>
      <c r="AQ1177" s="3">
        <v>190</v>
      </c>
      <c r="AR1177" s="3">
        <v>185</v>
      </c>
      <c r="AS1177" s="59">
        <v>0</v>
      </c>
      <c r="AT1177" s="3">
        <v>8</v>
      </c>
      <c r="AU1177" s="3">
        <v>6</v>
      </c>
      <c r="AV1177" s="49">
        <v>64.096385542168704</v>
      </c>
      <c r="AW1177" s="49">
        <v>13.253012048192799</v>
      </c>
      <c r="AX1177" s="49">
        <v>21.204819277108399</v>
      </c>
      <c r="AY1177" s="67">
        <v>1.44578313253012</v>
      </c>
      <c r="AZ1177" s="63">
        <v>0.12877030162412992</v>
      </c>
      <c r="BA1177" s="63">
        <v>0.16705336426914152</v>
      </c>
      <c r="BB1177" s="78">
        <v>91.777397207908393</v>
      </c>
      <c r="BC1177" s="49">
        <v>50.116009280742503</v>
      </c>
      <c r="BD1177" s="49"/>
      <c r="BE1177" s="49"/>
      <c r="BF1177" s="49"/>
      <c r="BG1177" s="49"/>
      <c r="BH1177" s="49"/>
      <c r="BI1177" s="49"/>
      <c r="BJ1177" s="88">
        <v>17.899999999999999</v>
      </c>
      <c r="BK1177" s="126">
        <v>8938</v>
      </c>
      <c r="BL1177" s="126">
        <v>52328</v>
      </c>
      <c r="BM1177" s="126">
        <v>49582</v>
      </c>
      <c r="BN1177" s="126">
        <v>43869</v>
      </c>
      <c r="BO1177" s="59">
        <v>2.5999999999999999E-3</v>
      </c>
      <c r="BP1177" s="63">
        <v>0.41439999999999999</v>
      </c>
      <c r="BQ1177" s="63">
        <v>0.14560000000000001</v>
      </c>
      <c r="BR1177" s="63">
        <v>0</v>
      </c>
      <c r="BS1177" s="63">
        <v>0</v>
      </c>
      <c r="BT1177" s="87">
        <v>14.7</v>
      </c>
      <c r="BU1177" s="59">
        <f t="shared" si="84"/>
        <v>0.56259999999999999</v>
      </c>
      <c r="BV1177" s="59">
        <v>3.8899999999999997E-2</v>
      </c>
      <c r="BW1177" s="63">
        <v>1.2999999999999999E-2</v>
      </c>
      <c r="BX1177" s="63">
        <v>3.73E-2</v>
      </c>
      <c r="BY1177" s="63">
        <v>0</v>
      </c>
      <c r="BZ1177" s="63">
        <v>0</v>
      </c>
      <c r="CA1177" s="87">
        <v>13.1</v>
      </c>
      <c r="CB1177" s="59">
        <f t="shared" si="85"/>
        <v>8.9200000000000002E-2</v>
      </c>
      <c r="CC1177" s="59">
        <v>0.32990000000000003</v>
      </c>
      <c r="CD1177" s="63">
        <v>0.44140000000000001</v>
      </c>
      <c r="CE1177" s="63">
        <v>0.2286</v>
      </c>
      <c r="CF1177" s="63">
        <v>0</v>
      </c>
      <c r="CG1177" s="63">
        <v>0</v>
      </c>
      <c r="CH1177" s="87">
        <v>13.7</v>
      </c>
      <c r="CI1177" s="26" t="s">
        <v>345</v>
      </c>
      <c r="CJ1177" s="18" t="s">
        <v>505</v>
      </c>
      <c r="CK1177" s="20"/>
    </row>
    <row r="1178" spans="1:89" x14ac:dyDescent="0.25">
      <c r="A1178" s="18" t="s">
        <v>505</v>
      </c>
      <c r="B1178" s="19" t="s">
        <v>344</v>
      </c>
      <c r="C1178" s="26" t="s">
        <v>346</v>
      </c>
      <c r="D1178" s="6">
        <v>22</v>
      </c>
      <c r="E1178" s="6">
        <v>1</v>
      </c>
      <c r="F1178" s="6">
        <v>21</v>
      </c>
      <c r="N1178" s="119">
        <v>2.5761124121779898E-2</v>
      </c>
      <c r="O1178" s="119">
        <v>2.4911032028469799E-2</v>
      </c>
      <c r="P1178" s="116" t="s">
        <v>83</v>
      </c>
      <c r="Q1178" s="119">
        <v>9.0909090909090898E-2</v>
      </c>
      <c r="R1178" s="116" t="s">
        <v>83</v>
      </c>
      <c r="S1178" s="119">
        <v>8.2644628099173608E-3</v>
      </c>
      <c r="T1178" s="119">
        <v>3.7037037037037E-2</v>
      </c>
      <c r="U1178" s="119">
        <v>2.68817204301075E-2</v>
      </c>
      <c r="V1178" s="119">
        <v>3.0456852791878201E-2</v>
      </c>
      <c r="W1178" s="6">
        <v>787</v>
      </c>
      <c r="X1178" s="40">
        <f t="shared" si="82"/>
        <v>778</v>
      </c>
      <c r="Y1178" s="40">
        <f t="shared" si="83"/>
        <v>787</v>
      </c>
      <c r="Z1178" s="59">
        <v>0.46510000000000001</v>
      </c>
      <c r="AA1178" s="59">
        <v>0.53490000000000004</v>
      </c>
      <c r="AB1178" s="61">
        <v>3.8119440914866584E-3</v>
      </c>
      <c r="AC1178" s="61">
        <v>1.0165184243964422E-2</v>
      </c>
      <c r="AD1178" s="61">
        <v>0.3418043202033037</v>
      </c>
      <c r="AE1178" s="61">
        <v>2.2871664548919948E-2</v>
      </c>
      <c r="AF1178" s="61">
        <v>0</v>
      </c>
      <c r="AG1178" s="61">
        <v>0.6124523506988564</v>
      </c>
      <c r="AH1178" s="61">
        <v>8.8945362134688691E-3</v>
      </c>
      <c r="AI1178" s="61">
        <v>0.3875476493011436</v>
      </c>
      <c r="AJ1178" s="59">
        <v>0.61629999999999996</v>
      </c>
      <c r="AK1178" s="59">
        <v>1.52E-2</v>
      </c>
      <c r="AL1178" s="3">
        <v>0</v>
      </c>
      <c r="AM1178" s="3">
        <v>9</v>
      </c>
      <c r="AN1178" s="3">
        <v>0</v>
      </c>
      <c r="AO1178" s="3">
        <v>212</v>
      </c>
      <c r="AP1178" s="3">
        <v>200</v>
      </c>
      <c r="AQ1178" s="3">
        <v>181</v>
      </c>
      <c r="AR1178" s="3">
        <v>185</v>
      </c>
      <c r="AS1178" s="59">
        <v>0</v>
      </c>
      <c r="AT1178" s="3">
        <v>8</v>
      </c>
      <c r="AU1178" s="3">
        <v>6</v>
      </c>
      <c r="AV1178" s="49">
        <v>64.390243902439011</v>
      </c>
      <c r="AW1178" s="49">
        <v>10.975609756097599</v>
      </c>
      <c r="AX1178" s="49">
        <v>22.439024390243901</v>
      </c>
      <c r="AY1178" s="67">
        <v>2.1951219512195101</v>
      </c>
      <c r="AZ1178" s="63">
        <v>7.8291814946619215E-2</v>
      </c>
      <c r="BA1178" s="63">
        <v>0.1708185053380783</v>
      </c>
      <c r="BB1178" s="77">
        <v>91.061024581602098</v>
      </c>
      <c r="BC1178" s="49">
        <v>59.952606635071099</v>
      </c>
      <c r="BD1178" s="49"/>
      <c r="BE1178" s="49"/>
      <c r="BF1178" s="49"/>
      <c r="BG1178" s="49"/>
      <c r="BH1178" s="49"/>
      <c r="BI1178" s="49"/>
      <c r="BJ1178" s="88">
        <v>18.100000000000001</v>
      </c>
      <c r="BK1178" s="126">
        <v>8451</v>
      </c>
      <c r="BL1178" s="126">
        <v>51991</v>
      </c>
      <c r="BM1178" s="126">
        <v>52811</v>
      </c>
      <c r="BN1178" s="126">
        <v>45044</v>
      </c>
      <c r="BO1178" s="59">
        <v>0</v>
      </c>
      <c r="BP1178" s="63">
        <v>0.43340000000000001</v>
      </c>
      <c r="BQ1178" s="63">
        <v>0.1676</v>
      </c>
      <c r="BR1178" s="63">
        <v>0</v>
      </c>
      <c r="BS1178" s="63">
        <v>7.1999999999999998E-3</v>
      </c>
      <c r="BT1178" s="87">
        <v>12.1</v>
      </c>
      <c r="BU1178" s="59">
        <f t="shared" si="84"/>
        <v>0.60819999999999996</v>
      </c>
      <c r="BV1178" s="59">
        <v>2.9000000000000001E-2</v>
      </c>
      <c r="BW1178" s="63">
        <v>0</v>
      </c>
      <c r="BX1178" s="63">
        <v>3.9899999999999998E-2</v>
      </c>
      <c r="BY1178" s="63">
        <v>0</v>
      </c>
      <c r="BZ1178" s="63">
        <v>0</v>
      </c>
      <c r="CA1178" s="87">
        <v>13.8</v>
      </c>
      <c r="CB1178" s="59">
        <f t="shared" si="85"/>
        <v>6.8900000000000003E-2</v>
      </c>
      <c r="CC1178" s="59">
        <v>0.30259999999999998</v>
      </c>
      <c r="CD1178" s="63">
        <v>0.44069999999999998</v>
      </c>
      <c r="CE1178" s="63">
        <v>0.2495</v>
      </c>
      <c r="CF1178" s="63">
        <v>0</v>
      </c>
      <c r="CG1178" s="63">
        <v>7.1999999999999998E-3</v>
      </c>
      <c r="CH1178" s="87">
        <v>11.3</v>
      </c>
      <c r="CI1178" s="26" t="s">
        <v>346</v>
      </c>
      <c r="CJ1178" s="18" t="s">
        <v>505</v>
      </c>
      <c r="CK1178" s="20"/>
    </row>
    <row r="1179" spans="1:89" x14ac:dyDescent="0.25">
      <c r="A1179" s="18" t="s">
        <v>505</v>
      </c>
      <c r="B1179" s="19" t="s">
        <v>344</v>
      </c>
      <c r="C1179" s="26" t="s">
        <v>347</v>
      </c>
      <c r="D1179" s="6">
        <v>15</v>
      </c>
      <c r="E1179" s="6">
        <v>0</v>
      </c>
      <c r="F1179" s="6">
        <v>15</v>
      </c>
      <c r="N1179" s="119">
        <v>2.0604395604395601E-2</v>
      </c>
      <c r="O1179" s="119">
        <v>2.1126760563380299E-2</v>
      </c>
      <c r="P1179" s="116" t="s">
        <v>83</v>
      </c>
      <c r="Q1179" s="119">
        <v>0</v>
      </c>
      <c r="R1179" s="116" t="s">
        <v>83</v>
      </c>
      <c r="S1179" s="119">
        <v>1.5075376884422099E-2</v>
      </c>
      <c r="T1179" s="119">
        <v>1.67597765363128E-2</v>
      </c>
      <c r="U1179" s="119">
        <v>2.7777777777777801E-2</v>
      </c>
      <c r="V1179" s="119">
        <v>2.6737967914438499E-2</v>
      </c>
      <c r="W1179" s="6">
        <v>690</v>
      </c>
      <c r="X1179" s="40">
        <f t="shared" si="82"/>
        <v>672</v>
      </c>
      <c r="Y1179" s="40">
        <f t="shared" si="83"/>
        <v>690</v>
      </c>
      <c r="Z1179" s="59">
        <v>0.5</v>
      </c>
      <c r="AA1179" s="59">
        <v>0.5</v>
      </c>
      <c r="AB1179" s="61">
        <v>0</v>
      </c>
      <c r="AC1179" s="61">
        <v>1.3043478260869565E-2</v>
      </c>
      <c r="AD1179" s="61">
        <v>0.56376811594202902</v>
      </c>
      <c r="AE1179" s="61">
        <v>1.7391304347826087E-2</v>
      </c>
      <c r="AF1179" s="61">
        <v>0</v>
      </c>
      <c r="AG1179" s="61">
        <v>0.38115942028985506</v>
      </c>
      <c r="AH1179" s="61">
        <v>2.4637681159420291E-2</v>
      </c>
      <c r="AI1179" s="61">
        <v>0.61884057971014494</v>
      </c>
      <c r="AJ1179" s="59">
        <v>0.72750000000000004</v>
      </c>
      <c r="AK1179" s="59">
        <v>5.7999999999999996E-3</v>
      </c>
      <c r="AL1179" s="3">
        <v>0</v>
      </c>
      <c r="AM1179" s="3">
        <v>18</v>
      </c>
      <c r="AN1179" s="3">
        <v>0</v>
      </c>
      <c r="AO1179" s="3">
        <v>181</v>
      </c>
      <c r="AP1179" s="3">
        <v>173</v>
      </c>
      <c r="AQ1179" s="3">
        <v>146</v>
      </c>
      <c r="AR1179" s="3">
        <v>172</v>
      </c>
      <c r="AS1179" s="59">
        <v>0</v>
      </c>
      <c r="AT1179" s="3">
        <v>8</v>
      </c>
      <c r="AU1179" s="3">
        <v>6</v>
      </c>
      <c r="AV1179" s="49">
        <v>62.784090909090892</v>
      </c>
      <c r="AW1179" s="49">
        <v>15.340909090909099</v>
      </c>
      <c r="AX1179" s="49">
        <v>21.875</v>
      </c>
      <c r="AY1179" s="67">
        <v>0</v>
      </c>
      <c r="AZ1179" s="63">
        <v>0.12795549374130738</v>
      </c>
      <c r="BA1179" s="63">
        <v>0.15159944367176634</v>
      </c>
      <c r="BB1179" s="78">
        <v>91.312104265840901</v>
      </c>
      <c r="BC1179" s="49">
        <v>54.709141274238199</v>
      </c>
      <c r="BD1179" s="49"/>
      <c r="BE1179" s="49"/>
      <c r="BF1179" s="49"/>
      <c r="BG1179" s="49"/>
      <c r="BH1179" s="49"/>
      <c r="BI1179" s="49"/>
      <c r="BJ1179" s="88">
        <v>17.399999999999999</v>
      </c>
      <c r="BK1179" s="126">
        <v>9784</v>
      </c>
      <c r="BL1179" s="126">
        <v>53967</v>
      </c>
      <c r="BM1179" s="126">
        <v>55354</v>
      </c>
      <c r="BN1179" s="126">
        <v>43955</v>
      </c>
      <c r="BO1179" s="59">
        <v>1.67E-2</v>
      </c>
      <c r="BP1179" s="63">
        <v>0.3619</v>
      </c>
      <c r="BQ1179" s="63">
        <v>0.157</v>
      </c>
      <c r="BR1179" s="63">
        <v>0</v>
      </c>
      <c r="BS1179" s="63">
        <v>0</v>
      </c>
      <c r="BT1179" s="87">
        <v>16.100000000000001</v>
      </c>
      <c r="BU1179" s="59">
        <f t="shared" si="84"/>
        <v>0.53559999999999997</v>
      </c>
      <c r="BV1179" s="59">
        <v>3.15E-2</v>
      </c>
      <c r="BW1179" s="63">
        <v>0</v>
      </c>
      <c r="BX1179" s="63">
        <v>5.3100000000000001E-2</v>
      </c>
      <c r="BY1179" s="63">
        <v>0</v>
      </c>
      <c r="BZ1179" s="63">
        <v>0</v>
      </c>
      <c r="CA1179" s="87">
        <v>12</v>
      </c>
      <c r="CB1179" s="59">
        <f t="shared" si="85"/>
        <v>8.4600000000000009E-2</v>
      </c>
      <c r="CC1179" s="59">
        <v>0.36799999999999999</v>
      </c>
      <c r="CD1179" s="63">
        <v>0.38879999999999998</v>
      </c>
      <c r="CE1179" s="63">
        <v>0.2432</v>
      </c>
      <c r="CF1179" s="63">
        <v>0</v>
      </c>
      <c r="CG1179" s="63">
        <v>0</v>
      </c>
      <c r="CH1179" s="87">
        <v>14</v>
      </c>
      <c r="CI1179" s="26" t="s">
        <v>347</v>
      </c>
      <c r="CJ1179" s="18" t="s">
        <v>505</v>
      </c>
      <c r="CK1179" s="20"/>
    </row>
    <row r="1180" spans="1:89" x14ac:dyDescent="0.25">
      <c r="A1180" s="18" t="s">
        <v>505</v>
      </c>
      <c r="B1180" s="19" t="s">
        <v>348</v>
      </c>
      <c r="C1180" s="26" t="s">
        <v>349</v>
      </c>
      <c r="D1180" s="6">
        <v>4</v>
      </c>
      <c r="E1180" s="40" t="s">
        <v>83</v>
      </c>
      <c r="F1180" s="6">
        <v>4</v>
      </c>
      <c r="N1180" s="119">
        <v>7.2859744990892497E-3</v>
      </c>
      <c r="O1180" s="119">
        <v>7.2859744990892497E-3</v>
      </c>
      <c r="P1180" s="116" t="s">
        <v>83</v>
      </c>
      <c r="Q1180" s="116" t="s">
        <v>83</v>
      </c>
      <c r="R1180" s="119">
        <v>0</v>
      </c>
      <c r="S1180" s="119">
        <v>0</v>
      </c>
      <c r="T1180" s="119">
        <v>7.2992700729926996E-3</v>
      </c>
      <c r="U1180" s="119">
        <v>2.15827338129496E-2</v>
      </c>
      <c r="V1180" s="119">
        <v>0</v>
      </c>
      <c r="W1180" s="6">
        <v>517</v>
      </c>
      <c r="X1180" s="40">
        <f t="shared" si="82"/>
        <v>517</v>
      </c>
      <c r="Y1180" s="40">
        <f t="shared" si="83"/>
        <v>517</v>
      </c>
      <c r="Z1180" s="59">
        <v>0.49130000000000001</v>
      </c>
      <c r="AA1180" s="59">
        <v>0.50870000000000004</v>
      </c>
      <c r="AB1180" s="61">
        <v>9.6711798839458421E-3</v>
      </c>
      <c r="AC1180" s="61">
        <v>5.8027079303675051E-3</v>
      </c>
      <c r="AD1180" s="61">
        <v>9.8646034816247577E-2</v>
      </c>
      <c r="AE1180" s="61">
        <v>7.7369439071566737E-2</v>
      </c>
      <c r="AF1180" s="61">
        <v>0</v>
      </c>
      <c r="AG1180" s="61">
        <v>0.79110251450676983</v>
      </c>
      <c r="AH1180" s="61">
        <v>1.7408123791102514E-2</v>
      </c>
      <c r="AI1180" s="61">
        <v>0.20889748549323017</v>
      </c>
      <c r="AJ1180" s="59">
        <v>0.5474</v>
      </c>
      <c r="AK1180" s="59">
        <v>2.1299999999999999E-2</v>
      </c>
      <c r="AL1180" s="3">
        <v>0</v>
      </c>
      <c r="AM1180" s="3">
        <v>0</v>
      </c>
      <c r="AN1180" s="3">
        <v>3</v>
      </c>
      <c r="AO1180" s="3">
        <v>121</v>
      </c>
      <c r="AP1180" s="3">
        <v>130</v>
      </c>
      <c r="AQ1180" s="3">
        <v>136</v>
      </c>
      <c r="AR1180" s="3">
        <v>127</v>
      </c>
      <c r="AS1180" s="59">
        <v>2.4193548387096774E-2</v>
      </c>
      <c r="AT1180" s="3">
        <v>9</v>
      </c>
      <c r="AU1180" s="3">
        <v>6</v>
      </c>
      <c r="AV1180" s="49">
        <v>66.779661016949206</v>
      </c>
      <c r="AW1180" s="49">
        <v>17.966101694915302</v>
      </c>
      <c r="AX1180" s="49">
        <v>13.559322033898299</v>
      </c>
      <c r="AY1180" s="67">
        <v>1.6949152542372898</v>
      </c>
      <c r="AZ1180" s="63">
        <v>7.2859744990892539E-2</v>
      </c>
      <c r="BA1180" s="63">
        <v>5.4644808743169399E-3</v>
      </c>
      <c r="BB1180" s="77">
        <v>93.829173034470998</v>
      </c>
      <c r="BC1180" s="49">
        <v>40.255009107468098</v>
      </c>
      <c r="BD1180" s="49"/>
      <c r="BE1180" s="49"/>
      <c r="BF1180" s="49"/>
      <c r="BG1180" s="49"/>
      <c r="BH1180" s="49"/>
      <c r="BI1180" s="49"/>
      <c r="BJ1180" s="88">
        <v>22</v>
      </c>
      <c r="BK1180" s="126">
        <v>10770</v>
      </c>
      <c r="BL1180" s="126">
        <v>49666</v>
      </c>
      <c r="BM1180" s="126">
        <v>43795</v>
      </c>
      <c r="BN1180" s="126">
        <v>42785</v>
      </c>
      <c r="BO1180" s="59">
        <v>0</v>
      </c>
      <c r="BP1180" s="63">
        <v>0.40189999999999998</v>
      </c>
      <c r="BQ1180" s="63">
        <v>0.22539999999999999</v>
      </c>
      <c r="BR1180" s="63">
        <v>4.5999999999999999E-3</v>
      </c>
      <c r="BS1180" s="63">
        <v>0</v>
      </c>
      <c r="BT1180" s="87">
        <v>11.8</v>
      </c>
      <c r="BU1180" s="59">
        <f t="shared" si="84"/>
        <v>0.63190000000000002</v>
      </c>
      <c r="BV1180" s="59">
        <v>5.4699999999999999E-2</v>
      </c>
      <c r="BW1180" s="63">
        <v>0</v>
      </c>
      <c r="BX1180" s="63">
        <v>3.6400000000000002E-2</v>
      </c>
      <c r="BY1180" s="63">
        <v>0</v>
      </c>
      <c r="BZ1180" s="63">
        <v>0</v>
      </c>
      <c r="CA1180" s="87">
        <v>10.199999999999999</v>
      </c>
      <c r="CB1180" s="59">
        <f t="shared" si="85"/>
        <v>9.11E-2</v>
      </c>
      <c r="CC1180" s="59">
        <v>0.28549999999999998</v>
      </c>
      <c r="CD1180" s="63">
        <v>0.42099999999999999</v>
      </c>
      <c r="CE1180" s="63">
        <v>0.28899999999999998</v>
      </c>
      <c r="CF1180" s="63">
        <v>4.5999999999999999E-3</v>
      </c>
      <c r="CG1180" s="63">
        <v>0</v>
      </c>
      <c r="CH1180" s="87">
        <v>11.9</v>
      </c>
      <c r="CI1180" s="26" t="s">
        <v>349</v>
      </c>
      <c r="CJ1180" s="18" t="s">
        <v>505</v>
      </c>
      <c r="CK1180" s="20"/>
    </row>
    <row r="1181" spans="1:89" x14ac:dyDescent="0.25">
      <c r="A1181" s="18" t="s">
        <v>505</v>
      </c>
      <c r="B1181" s="19" t="s">
        <v>348</v>
      </c>
      <c r="C1181" s="26" t="s">
        <v>350</v>
      </c>
      <c r="D1181" s="6">
        <v>2</v>
      </c>
      <c r="E1181" s="6">
        <v>0</v>
      </c>
      <c r="F1181" s="6">
        <v>2</v>
      </c>
      <c r="N1181" s="119">
        <v>6.9204152249135002E-3</v>
      </c>
      <c r="O1181" s="119">
        <v>1.0869565217391301E-2</v>
      </c>
      <c r="P1181" s="119">
        <v>0</v>
      </c>
      <c r="Q1181" s="119">
        <v>0</v>
      </c>
      <c r="R1181" s="119">
        <v>0</v>
      </c>
      <c r="S1181" s="119">
        <v>0</v>
      </c>
      <c r="T1181" s="119">
        <v>0</v>
      </c>
      <c r="U1181" s="119">
        <v>0</v>
      </c>
      <c r="V1181" s="119">
        <v>5.1282051282051301E-2</v>
      </c>
      <c r="W1181" s="6">
        <v>570</v>
      </c>
      <c r="X1181" s="40">
        <f t="shared" si="82"/>
        <v>174</v>
      </c>
      <c r="Y1181" s="40">
        <f t="shared" si="83"/>
        <v>265</v>
      </c>
      <c r="Z1181" s="59">
        <v>0.49120000000000003</v>
      </c>
      <c r="AA1181" s="59">
        <v>0.50880000000000003</v>
      </c>
      <c r="AB1181" s="61">
        <v>1.0526315789473684E-2</v>
      </c>
      <c r="AC1181" s="61">
        <v>0</v>
      </c>
      <c r="AD1181" s="61">
        <v>0.256140350877193</v>
      </c>
      <c r="AE1181" s="61">
        <v>3.6842105263157891E-2</v>
      </c>
      <c r="AF1181" s="61">
        <v>0</v>
      </c>
      <c r="AG1181" s="61">
        <v>0.60701754385964912</v>
      </c>
      <c r="AH1181" s="61">
        <v>8.9473684210526316E-2</v>
      </c>
      <c r="AI1181" s="61">
        <v>0.39298245614035088</v>
      </c>
      <c r="AJ1181" s="59">
        <v>0.71579999999999999</v>
      </c>
      <c r="AK1181" s="59">
        <v>1.23E-2</v>
      </c>
      <c r="AL1181" s="3">
        <v>43</v>
      </c>
      <c r="AM1181" s="3">
        <v>48</v>
      </c>
      <c r="AN1181" s="3">
        <v>1</v>
      </c>
      <c r="AO1181" s="3">
        <v>57</v>
      </c>
      <c r="AP1181" s="3">
        <v>36</v>
      </c>
      <c r="AQ1181" s="3">
        <v>43</v>
      </c>
      <c r="AR1181" s="3">
        <v>37</v>
      </c>
      <c r="AS1181" s="59">
        <v>1.7241379310344827E-2</v>
      </c>
      <c r="AT1181" s="3">
        <v>1</v>
      </c>
      <c r="AU1181" s="3">
        <v>6</v>
      </c>
      <c r="AV1181" s="49">
        <v>59.565217391304301</v>
      </c>
      <c r="AW1181" s="49">
        <v>33.478260869565204</v>
      </c>
      <c r="AX1181" s="49">
        <v>6.9565217391304293</v>
      </c>
      <c r="AY1181" s="67">
        <v>0</v>
      </c>
      <c r="AZ1181" s="63">
        <v>8.8709677419354843E-2</v>
      </c>
      <c r="BA1181" s="63">
        <v>1.6129032258064516E-2</v>
      </c>
      <c r="BB1181" s="78">
        <v>93.774598393574294</v>
      </c>
      <c r="BC1181" s="49">
        <v>60.530679933664999</v>
      </c>
      <c r="BD1181" s="49"/>
      <c r="BE1181" s="49"/>
      <c r="BF1181" s="49"/>
      <c r="BG1181" s="49"/>
      <c r="BH1181" s="49"/>
      <c r="BI1181" s="49"/>
      <c r="BJ1181" s="88">
        <v>19.399999999999999</v>
      </c>
      <c r="BK1181" s="126">
        <v>12002</v>
      </c>
      <c r="BL1181" s="126">
        <v>48780</v>
      </c>
      <c r="BM1181" s="126">
        <v>47976</v>
      </c>
      <c r="BN1181" s="126">
        <v>41714</v>
      </c>
      <c r="BO1181" s="59">
        <v>0</v>
      </c>
      <c r="BP1181" s="63">
        <v>0.43419999999999997</v>
      </c>
      <c r="BQ1181" s="63">
        <v>0.1389</v>
      </c>
      <c r="BR1181" s="63">
        <v>0</v>
      </c>
      <c r="BS1181" s="63">
        <v>0</v>
      </c>
      <c r="BT1181" s="87">
        <v>16.600000000000001</v>
      </c>
      <c r="BU1181" s="59">
        <f t="shared" si="84"/>
        <v>0.57309999999999994</v>
      </c>
      <c r="BV1181" s="59">
        <v>2.7E-2</v>
      </c>
      <c r="BW1181" s="63">
        <v>0</v>
      </c>
      <c r="BX1181" s="63">
        <v>4.0500000000000001E-2</v>
      </c>
      <c r="BY1181" s="63">
        <v>0</v>
      </c>
      <c r="BZ1181" s="63">
        <v>0</v>
      </c>
      <c r="CA1181" s="87">
        <v>16</v>
      </c>
      <c r="CB1181" s="59">
        <f t="shared" si="85"/>
        <v>6.7500000000000004E-2</v>
      </c>
      <c r="CC1181" s="59">
        <v>0.30280000000000001</v>
      </c>
      <c r="CD1181" s="63">
        <v>0.4713</v>
      </c>
      <c r="CE1181" s="63">
        <v>0.22589999999999999</v>
      </c>
      <c r="CF1181" s="63">
        <v>0</v>
      </c>
      <c r="CG1181" s="63">
        <v>0</v>
      </c>
      <c r="CH1181" s="87">
        <v>15</v>
      </c>
      <c r="CI1181" s="26" t="s">
        <v>350</v>
      </c>
      <c r="CJ1181" s="18" t="s">
        <v>505</v>
      </c>
      <c r="CK1181" s="20"/>
    </row>
    <row r="1182" spans="1:89" x14ac:dyDescent="0.25">
      <c r="A1182" s="18" t="s">
        <v>505</v>
      </c>
      <c r="B1182" s="19" t="s">
        <v>348</v>
      </c>
      <c r="C1182" s="26" t="s">
        <v>351</v>
      </c>
      <c r="D1182" s="6">
        <v>12</v>
      </c>
      <c r="E1182" s="40" t="s">
        <v>83</v>
      </c>
      <c r="F1182" s="6">
        <v>12</v>
      </c>
      <c r="N1182" s="119">
        <v>3.4188034188034198E-2</v>
      </c>
      <c r="O1182" s="119">
        <v>3.4188034188034198E-2</v>
      </c>
      <c r="P1182" s="116" t="s">
        <v>83</v>
      </c>
      <c r="Q1182" s="116" t="s">
        <v>83</v>
      </c>
      <c r="R1182" s="116" t="s">
        <v>83</v>
      </c>
      <c r="S1182" s="119">
        <v>2.1052631578947399E-2</v>
      </c>
      <c r="T1182" s="119">
        <v>2.2988505747126398E-2</v>
      </c>
      <c r="U1182" s="119">
        <v>8.4337349397590397E-2</v>
      </c>
      <c r="V1182" s="119">
        <v>1.16279069767442E-2</v>
      </c>
      <c r="W1182" s="6">
        <v>318</v>
      </c>
      <c r="X1182" s="40">
        <f t="shared" si="82"/>
        <v>318</v>
      </c>
      <c r="Y1182" s="40">
        <f t="shared" si="83"/>
        <v>318</v>
      </c>
      <c r="Z1182" s="59">
        <v>0.48430000000000001</v>
      </c>
      <c r="AA1182" s="59">
        <v>0.51570000000000005</v>
      </c>
      <c r="AB1182" s="61">
        <v>0</v>
      </c>
      <c r="AC1182" s="61">
        <v>3.1446540880503146E-3</v>
      </c>
      <c r="AD1182" s="61">
        <v>0.75157232704402521</v>
      </c>
      <c r="AE1182" s="61">
        <v>5.6603773584905662E-2</v>
      </c>
      <c r="AF1182" s="61">
        <v>0</v>
      </c>
      <c r="AG1182" s="61">
        <v>0.18553459119496854</v>
      </c>
      <c r="AH1182" s="61">
        <v>3.1446540880503146E-3</v>
      </c>
      <c r="AI1182" s="61">
        <v>0.81446540880503149</v>
      </c>
      <c r="AJ1182" s="59">
        <v>0.85850000000000004</v>
      </c>
      <c r="AK1182" s="59">
        <v>3.1399999999999997E-2</v>
      </c>
      <c r="AL1182" s="3">
        <v>0</v>
      </c>
      <c r="AM1182" s="3">
        <v>0</v>
      </c>
      <c r="AN1182" s="3">
        <v>0</v>
      </c>
      <c r="AO1182" s="3">
        <v>86</v>
      </c>
      <c r="AP1182" s="3">
        <v>78</v>
      </c>
      <c r="AQ1182" s="3">
        <v>78</v>
      </c>
      <c r="AR1182" s="3">
        <v>76</v>
      </c>
      <c r="AS1182" s="59">
        <v>0</v>
      </c>
      <c r="AT1182" s="3">
        <v>9</v>
      </c>
      <c r="AU1182" s="3">
        <v>6</v>
      </c>
      <c r="AV1182" s="49">
        <v>82.03125</v>
      </c>
      <c r="AW1182" s="49">
        <v>13.28125</v>
      </c>
      <c r="AX1182" s="49">
        <v>4.6875</v>
      </c>
      <c r="AY1182" s="67">
        <v>0</v>
      </c>
      <c r="AZ1182" s="63">
        <v>0.32571428571428573</v>
      </c>
      <c r="BA1182" s="63">
        <v>5.1428571428571428E-2</v>
      </c>
      <c r="BB1182" s="77">
        <v>91.841683041589306</v>
      </c>
      <c r="BC1182" s="49">
        <v>51.704545454545503</v>
      </c>
      <c r="BD1182" s="49"/>
      <c r="BE1182" s="49"/>
      <c r="BF1182" s="49"/>
      <c r="BG1182" s="49"/>
      <c r="BH1182" s="49"/>
      <c r="BI1182" s="49"/>
      <c r="BJ1182" s="88">
        <v>16.8</v>
      </c>
      <c r="BK1182" s="126">
        <v>12920</v>
      </c>
      <c r="BL1182" s="126">
        <v>47665</v>
      </c>
      <c r="BM1182" s="126">
        <v>44661</v>
      </c>
      <c r="BN1182" s="126">
        <v>39967</v>
      </c>
      <c r="BO1182" s="59">
        <v>0</v>
      </c>
      <c r="BP1182" s="63">
        <v>0.40860000000000002</v>
      </c>
      <c r="BQ1182" s="63">
        <v>7.9600000000000004E-2</v>
      </c>
      <c r="BR1182" s="63">
        <v>0</v>
      </c>
      <c r="BS1182" s="63">
        <v>2.1299999999999999E-2</v>
      </c>
      <c r="BT1182" s="87">
        <v>12</v>
      </c>
      <c r="BU1182" s="59">
        <f t="shared" si="84"/>
        <v>0.50950000000000006</v>
      </c>
      <c r="BV1182" s="59">
        <v>5.7700000000000001E-2</v>
      </c>
      <c r="BW1182" s="63">
        <v>0</v>
      </c>
      <c r="BX1182" s="63">
        <v>4.2599999999999999E-2</v>
      </c>
      <c r="BY1182" s="63">
        <v>0</v>
      </c>
      <c r="BZ1182" s="63">
        <v>0</v>
      </c>
      <c r="CA1182" s="87">
        <v>16.3</v>
      </c>
      <c r="CB1182" s="59">
        <f t="shared" si="85"/>
        <v>0.1003</v>
      </c>
      <c r="CC1182" s="59">
        <v>0.35880000000000001</v>
      </c>
      <c r="CD1182" s="63">
        <v>0.44019999999999998</v>
      </c>
      <c r="CE1182" s="63">
        <v>0.1797</v>
      </c>
      <c r="CF1182" s="63">
        <v>0</v>
      </c>
      <c r="CG1182" s="63">
        <v>2.1299999999999999E-2</v>
      </c>
      <c r="CH1182" s="87">
        <v>13.1</v>
      </c>
      <c r="CI1182" s="26" t="s">
        <v>351</v>
      </c>
      <c r="CJ1182" s="18" t="s">
        <v>505</v>
      </c>
      <c r="CK1182" s="20"/>
    </row>
    <row r="1183" spans="1:89" x14ac:dyDescent="0.25">
      <c r="A1183" s="18" t="s">
        <v>505</v>
      </c>
      <c r="B1183" s="19" t="s">
        <v>348</v>
      </c>
      <c r="C1183" s="26" t="s">
        <v>352</v>
      </c>
      <c r="D1183" s="6">
        <v>4</v>
      </c>
      <c r="E1183" s="40" t="s">
        <v>83</v>
      </c>
      <c r="F1183" s="6">
        <v>4</v>
      </c>
      <c r="N1183" s="119">
        <v>4.9566294919454797E-3</v>
      </c>
      <c r="O1183" s="119">
        <v>4.9566294919454797E-3</v>
      </c>
      <c r="P1183" s="116" t="s">
        <v>83</v>
      </c>
      <c r="Q1183" s="116" t="s">
        <v>83</v>
      </c>
      <c r="R1183" s="119">
        <v>0</v>
      </c>
      <c r="S1183" s="119">
        <v>0</v>
      </c>
      <c r="T1183" s="119">
        <v>9.5238095238095195E-3</v>
      </c>
      <c r="U1183" s="119">
        <v>5.3475935828877002E-3</v>
      </c>
      <c r="V1183" s="119">
        <v>5.0505050505050501E-3</v>
      </c>
      <c r="W1183" s="6">
        <v>757</v>
      </c>
      <c r="X1183" s="40">
        <f t="shared" si="82"/>
        <v>757</v>
      </c>
      <c r="Y1183" s="40">
        <f t="shared" si="83"/>
        <v>757</v>
      </c>
      <c r="Z1183" s="59">
        <v>0.49409999999999998</v>
      </c>
      <c r="AA1183" s="59">
        <v>0.50590000000000002</v>
      </c>
      <c r="AB1183" s="61">
        <v>3.9630118890356669E-3</v>
      </c>
      <c r="AC1183" s="61">
        <v>3.6988110964332896E-2</v>
      </c>
      <c r="AD1183" s="61">
        <v>0.22985468956406868</v>
      </c>
      <c r="AE1183" s="61">
        <v>0.21268163804491413</v>
      </c>
      <c r="AF1183" s="61">
        <v>0</v>
      </c>
      <c r="AG1183" s="61">
        <v>0.49405548216644651</v>
      </c>
      <c r="AH1183" s="61">
        <v>2.2457067371202115E-2</v>
      </c>
      <c r="AI1183" s="61">
        <v>0.50594451783355354</v>
      </c>
      <c r="AJ1183" s="59">
        <v>0.71199999999999997</v>
      </c>
      <c r="AK1183" s="59">
        <v>8.72E-2</v>
      </c>
      <c r="AL1183" s="3">
        <v>0</v>
      </c>
      <c r="AM1183" s="3">
        <v>0</v>
      </c>
      <c r="AN1183" s="3">
        <v>28</v>
      </c>
      <c r="AO1183" s="3">
        <v>165</v>
      </c>
      <c r="AP1183" s="3">
        <v>195</v>
      </c>
      <c r="AQ1183" s="3">
        <v>174</v>
      </c>
      <c r="AR1183" s="3">
        <v>195</v>
      </c>
      <c r="AS1183" s="59">
        <v>0.14507772020725387</v>
      </c>
      <c r="AT1183" s="3">
        <v>9</v>
      </c>
      <c r="AU1183" s="3">
        <v>6</v>
      </c>
      <c r="AV1183" s="49">
        <v>65.476190476190496</v>
      </c>
      <c r="AW1183" s="49">
        <v>23.095238095238098</v>
      </c>
      <c r="AX1183" s="49">
        <v>11.1904761904762</v>
      </c>
      <c r="AY1183" s="67">
        <v>0.238095238095238</v>
      </c>
      <c r="AZ1183" s="63">
        <v>0.1569115815691158</v>
      </c>
      <c r="BA1183" s="63">
        <v>1.2453300124533001E-3</v>
      </c>
      <c r="BB1183" s="78">
        <v>93.126117516492997</v>
      </c>
      <c r="BC1183" s="49">
        <v>48.387096774193601</v>
      </c>
      <c r="BD1183" s="49"/>
      <c r="BE1183" s="49"/>
      <c r="BF1183" s="49"/>
      <c r="BG1183" s="49"/>
      <c r="BH1183" s="49"/>
      <c r="BI1183" s="49"/>
      <c r="BJ1183" s="88">
        <v>19.100000000000001</v>
      </c>
      <c r="BK1183" s="126">
        <v>10557</v>
      </c>
      <c r="BL1183" s="126">
        <v>47063</v>
      </c>
      <c r="BM1183" s="126">
        <v>47011</v>
      </c>
      <c r="BN1183" s="126">
        <v>41662</v>
      </c>
      <c r="BO1183" s="59">
        <v>2.6700000000000002E-2</v>
      </c>
      <c r="BP1183" s="63">
        <v>0.45669999999999999</v>
      </c>
      <c r="BQ1183" s="63">
        <v>0.16259999999999999</v>
      </c>
      <c r="BR1183" s="63">
        <v>0</v>
      </c>
      <c r="BS1183" s="63">
        <v>0</v>
      </c>
      <c r="BT1183" s="87">
        <v>13.5</v>
      </c>
      <c r="BU1183" s="59">
        <f t="shared" si="84"/>
        <v>0.64600000000000002</v>
      </c>
      <c r="BV1183" s="59">
        <v>0.04</v>
      </c>
      <c r="BW1183" s="63">
        <v>0</v>
      </c>
      <c r="BX1183" s="63">
        <v>0.04</v>
      </c>
      <c r="BY1183" s="63">
        <v>0</v>
      </c>
      <c r="BZ1183" s="63">
        <v>0</v>
      </c>
      <c r="CA1183" s="87">
        <v>17.8</v>
      </c>
      <c r="CB1183" s="59">
        <f t="shared" si="85"/>
        <v>0.08</v>
      </c>
      <c r="CC1183" s="59">
        <v>0.27979999999999999</v>
      </c>
      <c r="CD1183" s="63">
        <v>0.46850000000000003</v>
      </c>
      <c r="CE1183" s="63">
        <v>0.25169999999999998</v>
      </c>
      <c r="CF1183" s="63">
        <v>0</v>
      </c>
      <c r="CG1183" s="63">
        <v>0</v>
      </c>
      <c r="CH1183" s="87">
        <v>13.7</v>
      </c>
      <c r="CI1183" s="26" t="s">
        <v>352</v>
      </c>
      <c r="CJ1183" s="18" t="s">
        <v>505</v>
      </c>
      <c r="CK1183" s="20"/>
    </row>
    <row r="1184" spans="1:89" x14ac:dyDescent="0.25">
      <c r="A1184" s="18" t="s">
        <v>505</v>
      </c>
      <c r="B1184" s="19" t="s">
        <v>348</v>
      </c>
      <c r="C1184" s="26" t="s">
        <v>353</v>
      </c>
      <c r="D1184" s="6">
        <v>7</v>
      </c>
      <c r="E1184" s="40" t="s">
        <v>83</v>
      </c>
      <c r="F1184" s="6">
        <v>7</v>
      </c>
      <c r="N1184" s="119">
        <v>1.4285714285714299E-2</v>
      </c>
      <c r="O1184" s="119">
        <v>1.4285714285714299E-2</v>
      </c>
      <c r="P1184" s="116" t="s">
        <v>83</v>
      </c>
      <c r="Q1184" s="116" t="s">
        <v>83</v>
      </c>
      <c r="R1184" s="116" t="s">
        <v>83</v>
      </c>
      <c r="S1184" s="119">
        <v>1.4705882352941201E-2</v>
      </c>
      <c r="T1184" s="119">
        <v>0</v>
      </c>
      <c r="U1184" s="119">
        <v>2.6315789473684199E-2</v>
      </c>
      <c r="V1184" s="119">
        <v>1.86915887850467E-2</v>
      </c>
      <c r="W1184" s="6">
        <v>453</v>
      </c>
      <c r="X1184" s="40">
        <f t="shared" si="82"/>
        <v>453</v>
      </c>
      <c r="Y1184" s="40">
        <f t="shared" si="83"/>
        <v>453</v>
      </c>
      <c r="Z1184" s="59">
        <v>0.4945</v>
      </c>
      <c r="AA1184" s="59">
        <v>0.50549999999999995</v>
      </c>
      <c r="AB1184" s="61">
        <v>1.3245033112582781E-2</v>
      </c>
      <c r="AC1184" s="61">
        <v>2.2075055187637969E-3</v>
      </c>
      <c r="AD1184" s="61">
        <v>0.42825607064017662</v>
      </c>
      <c r="AE1184" s="61">
        <v>4.6357615894039736E-2</v>
      </c>
      <c r="AF1184" s="61">
        <v>2.2075055187637969E-3</v>
      </c>
      <c r="AG1184" s="61">
        <v>0.4856512141280353</v>
      </c>
      <c r="AH1184" s="61">
        <v>2.2075055187637971E-2</v>
      </c>
      <c r="AI1184" s="61">
        <v>0.51434878587196464</v>
      </c>
      <c r="AJ1184" s="59">
        <v>0.71079999999999999</v>
      </c>
      <c r="AK1184" s="59">
        <v>1.77E-2</v>
      </c>
      <c r="AL1184" s="3">
        <v>0</v>
      </c>
      <c r="AM1184" s="3">
        <v>0</v>
      </c>
      <c r="AN1184" s="3">
        <v>0</v>
      </c>
      <c r="AO1184" s="3">
        <v>123</v>
      </c>
      <c r="AP1184" s="3">
        <v>124</v>
      </c>
      <c r="AQ1184" s="3">
        <v>102</v>
      </c>
      <c r="AR1184" s="3">
        <v>104</v>
      </c>
      <c r="AS1184" s="59">
        <v>0</v>
      </c>
      <c r="AT1184" s="3">
        <v>9</v>
      </c>
      <c r="AU1184" s="3">
        <v>6</v>
      </c>
      <c r="AV1184" s="49">
        <v>45.882352941176499</v>
      </c>
      <c r="AW1184" s="49">
        <v>30.588235294117599</v>
      </c>
      <c r="AX1184" s="49">
        <v>22.9411764705882</v>
      </c>
      <c r="AY1184" s="67">
        <v>0.58823529411764697</v>
      </c>
      <c r="AZ1184" s="63">
        <v>0.17177914110429449</v>
      </c>
      <c r="BA1184" s="63">
        <v>6.1349693251533744E-3</v>
      </c>
      <c r="BB1184" s="77">
        <v>93.1967459291469</v>
      </c>
      <c r="BC1184" s="49">
        <v>44.534412955465598</v>
      </c>
      <c r="BD1184" s="49"/>
      <c r="BE1184" s="49"/>
      <c r="BF1184" s="49"/>
      <c r="BG1184" s="49"/>
      <c r="BH1184" s="49"/>
      <c r="BI1184" s="49"/>
      <c r="BJ1184" s="88">
        <v>18.399999999999999</v>
      </c>
      <c r="BK1184" s="126">
        <v>10264</v>
      </c>
      <c r="BL1184" s="126">
        <v>47825</v>
      </c>
      <c r="BM1184" s="126">
        <v>44426</v>
      </c>
      <c r="BN1184" s="126">
        <v>41357</v>
      </c>
      <c r="BO1184" s="59">
        <v>0</v>
      </c>
      <c r="BP1184" s="63">
        <v>0.31809999999999999</v>
      </c>
      <c r="BQ1184" s="63">
        <v>0.2319</v>
      </c>
      <c r="BR1184" s="63">
        <v>5.4999999999999997E-3</v>
      </c>
      <c r="BS1184" s="63">
        <v>0</v>
      </c>
      <c r="BT1184" s="87">
        <v>9.5</v>
      </c>
      <c r="BU1184" s="59">
        <f t="shared" si="84"/>
        <v>0.55549999999999999</v>
      </c>
      <c r="BV1184" s="59">
        <v>4.3799999999999999E-2</v>
      </c>
      <c r="BW1184" s="63">
        <v>0</v>
      </c>
      <c r="BX1184" s="63">
        <v>4.3799999999999999E-2</v>
      </c>
      <c r="BY1184" s="63">
        <v>0</v>
      </c>
      <c r="BZ1184" s="63">
        <v>0</v>
      </c>
      <c r="CA1184" s="87">
        <v>11.3</v>
      </c>
      <c r="CB1184" s="59">
        <f t="shared" si="85"/>
        <v>8.7599999999999997E-2</v>
      </c>
      <c r="CC1184" s="59">
        <v>0.27360000000000001</v>
      </c>
      <c r="CD1184" s="63">
        <v>0.38669999999999999</v>
      </c>
      <c r="CE1184" s="63">
        <v>0.3342</v>
      </c>
      <c r="CF1184" s="63">
        <v>5.4999999999999997E-3</v>
      </c>
      <c r="CG1184" s="63">
        <v>0</v>
      </c>
      <c r="CH1184" s="87">
        <v>10.3</v>
      </c>
      <c r="CI1184" s="26" t="s">
        <v>353</v>
      </c>
      <c r="CJ1184" s="18" t="s">
        <v>505</v>
      </c>
      <c r="CK1184" s="20"/>
    </row>
    <row r="1185" spans="1:99" x14ac:dyDescent="0.25">
      <c r="A1185" s="18" t="s">
        <v>505</v>
      </c>
      <c r="B1185" s="19" t="s">
        <v>348</v>
      </c>
      <c r="C1185" s="26" t="s">
        <v>354</v>
      </c>
      <c r="D1185" s="6">
        <v>4</v>
      </c>
      <c r="E1185" s="40" t="s">
        <v>83</v>
      </c>
      <c r="F1185" s="6">
        <v>4</v>
      </c>
      <c r="N1185" s="119">
        <v>1.0752688172042999E-2</v>
      </c>
      <c r="O1185" s="119">
        <v>1.0752688172042999E-2</v>
      </c>
      <c r="P1185" s="116" t="s">
        <v>83</v>
      </c>
      <c r="Q1185" s="116" t="s">
        <v>83</v>
      </c>
      <c r="R1185" s="119">
        <v>0</v>
      </c>
      <c r="S1185" s="119">
        <v>1.01010101010101E-2</v>
      </c>
      <c r="T1185" s="119">
        <v>0</v>
      </c>
      <c r="U1185" s="119">
        <v>0</v>
      </c>
      <c r="V1185" s="119">
        <v>3.8961038961039002E-2</v>
      </c>
      <c r="W1185" s="6">
        <v>352</v>
      </c>
      <c r="X1185" s="40">
        <f t="shared" si="82"/>
        <v>352</v>
      </c>
      <c r="Y1185" s="40">
        <f t="shared" si="83"/>
        <v>352</v>
      </c>
      <c r="Z1185" s="59">
        <v>0.52559999999999996</v>
      </c>
      <c r="AA1185" s="59">
        <v>0.47439999999999999</v>
      </c>
      <c r="AB1185" s="61">
        <v>3.4090909090909088E-2</v>
      </c>
      <c r="AC1185" s="61">
        <v>2.840909090909091E-3</v>
      </c>
      <c r="AD1185" s="61">
        <v>0.73011363636363635</v>
      </c>
      <c r="AE1185" s="61">
        <v>8.5227272727272721E-3</v>
      </c>
      <c r="AF1185" s="61">
        <v>0</v>
      </c>
      <c r="AG1185" s="61">
        <v>0.17897727272727273</v>
      </c>
      <c r="AH1185" s="61">
        <v>4.5454545454545456E-2</v>
      </c>
      <c r="AI1185" s="61">
        <v>0.82102272727272729</v>
      </c>
      <c r="AJ1185" s="59">
        <v>0.80679999999999996</v>
      </c>
      <c r="AK1185" s="59">
        <v>2.8E-3</v>
      </c>
      <c r="AL1185" s="3">
        <v>0</v>
      </c>
      <c r="AM1185" s="3">
        <v>0</v>
      </c>
      <c r="AN1185" s="3">
        <v>2</v>
      </c>
      <c r="AO1185" s="3">
        <v>93</v>
      </c>
      <c r="AP1185" s="3">
        <v>101</v>
      </c>
      <c r="AQ1185" s="3">
        <v>85</v>
      </c>
      <c r="AR1185" s="3">
        <v>71</v>
      </c>
      <c r="AS1185" s="59">
        <v>2.1052631578947368E-2</v>
      </c>
      <c r="AT1185" s="3">
        <v>9</v>
      </c>
      <c r="AU1185" s="3">
        <v>6</v>
      </c>
      <c r="AV1185" s="49">
        <v>67.539267015706798</v>
      </c>
      <c r="AW1185" s="49">
        <v>14.136125654450298</v>
      </c>
      <c r="AX1185" s="49">
        <v>16.753926701570702</v>
      </c>
      <c r="AY1185" s="67">
        <v>1.5706806282722499</v>
      </c>
      <c r="AZ1185" s="63">
        <v>0.31165311653116529</v>
      </c>
      <c r="BA1185" s="63">
        <v>8.130081300813009E-3</v>
      </c>
      <c r="BB1185" s="78">
        <v>91.6964059196617</v>
      </c>
      <c r="BC1185" s="49">
        <v>56.216216216216203</v>
      </c>
      <c r="BD1185" s="49"/>
      <c r="BE1185" s="49"/>
      <c r="BF1185" s="49"/>
      <c r="BG1185" s="49"/>
      <c r="BH1185" s="49"/>
      <c r="BI1185" s="49"/>
      <c r="BJ1185" s="88">
        <v>17.899999999999999</v>
      </c>
      <c r="BK1185" s="126">
        <v>11387</v>
      </c>
      <c r="BL1185" s="126">
        <v>49070</v>
      </c>
      <c r="BM1185" s="126">
        <v>50425</v>
      </c>
      <c r="BN1185" s="126">
        <v>40795</v>
      </c>
      <c r="BO1185" s="59">
        <v>0</v>
      </c>
      <c r="BP1185" s="63">
        <v>0.38769999999999999</v>
      </c>
      <c r="BQ1185" s="63">
        <v>8.5099999999999995E-2</v>
      </c>
      <c r="BR1185" s="63">
        <v>4.7600000000000003E-2</v>
      </c>
      <c r="BS1185" s="63">
        <v>0</v>
      </c>
      <c r="BT1185" s="87">
        <v>12.6</v>
      </c>
      <c r="BU1185" s="59">
        <f t="shared" si="84"/>
        <v>0.52039999999999997</v>
      </c>
      <c r="BV1185" s="59">
        <v>4.7600000000000003E-2</v>
      </c>
      <c r="BW1185" s="63">
        <v>0</v>
      </c>
      <c r="BX1185" s="63">
        <v>2.3800000000000002E-2</v>
      </c>
      <c r="BY1185" s="63">
        <v>0</v>
      </c>
      <c r="BZ1185" s="63">
        <v>2.3800000000000002E-2</v>
      </c>
      <c r="CA1185" s="87">
        <v>18</v>
      </c>
      <c r="CB1185" s="59">
        <f t="shared" si="85"/>
        <v>9.5200000000000007E-2</v>
      </c>
      <c r="CC1185" s="59">
        <v>0.35499999999999998</v>
      </c>
      <c r="CD1185" s="63">
        <v>0.42970000000000003</v>
      </c>
      <c r="CE1185" s="63">
        <v>0.1439</v>
      </c>
      <c r="CF1185" s="63">
        <v>4.7600000000000003E-2</v>
      </c>
      <c r="CG1185" s="63">
        <v>2.3800000000000002E-2</v>
      </c>
      <c r="CH1185" s="87">
        <v>14.3</v>
      </c>
      <c r="CI1185" s="26" t="s">
        <v>354</v>
      </c>
      <c r="CJ1185" s="18" t="s">
        <v>505</v>
      </c>
      <c r="CK1185" s="20"/>
    </row>
    <row r="1186" spans="1:99" s="1" customFormat="1" ht="21" customHeight="1" x14ac:dyDescent="0.25">
      <c r="A1186" s="21" t="s">
        <v>0</v>
      </c>
      <c r="B1186" s="22" t="s">
        <v>1</v>
      </c>
      <c r="C1186" s="22" t="s">
        <v>2</v>
      </c>
      <c r="D1186" s="9" t="s">
        <v>3</v>
      </c>
      <c r="E1186" s="9" t="s">
        <v>4</v>
      </c>
      <c r="F1186" s="9" t="s">
        <v>5</v>
      </c>
      <c r="G1186" s="167"/>
      <c r="H1186" s="168"/>
      <c r="I1186" s="168"/>
      <c r="J1186" s="168"/>
      <c r="K1186" s="168"/>
      <c r="L1186" s="168"/>
      <c r="M1186" s="168"/>
      <c r="N1186" s="120" t="s">
        <v>6</v>
      </c>
      <c r="O1186" s="120" t="s">
        <v>7</v>
      </c>
      <c r="P1186" s="120" t="s">
        <v>8</v>
      </c>
      <c r="Q1186" s="120" t="s">
        <v>9</v>
      </c>
      <c r="R1186" s="120" t="s">
        <v>10</v>
      </c>
      <c r="S1186" s="120" t="s">
        <v>11</v>
      </c>
      <c r="T1186" s="120" t="s">
        <v>12</v>
      </c>
      <c r="U1186" s="120" t="s">
        <v>13</v>
      </c>
      <c r="V1186" s="120" t="s">
        <v>14</v>
      </c>
      <c r="W1186" s="41" t="s">
        <v>15</v>
      </c>
      <c r="X1186" s="41" t="s">
        <v>16</v>
      </c>
      <c r="Y1186" s="41" t="s">
        <v>17</v>
      </c>
      <c r="Z1186" s="107" t="s">
        <v>18</v>
      </c>
      <c r="AA1186" s="107" t="s">
        <v>19</v>
      </c>
      <c r="AB1186" s="95" t="s">
        <v>20</v>
      </c>
      <c r="AC1186" s="95" t="s">
        <v>21</v>
      </c>
      <c r="AD1186" s="95" t="s">
        <v>22</v>
      </c>
      <c r="AE1186" s="95" t="s">
        <v>23</v>
      </c>
      <c r="AF1186" s="95" t="s">
        <v>24</v>
      </c>
      <c r="AG1186" s="95" t="s">
        <v>25</v>
      </c>
      <c r="AH1186" s="95" t="s">
        <v>26</v>
      </c>
      <c r="AI1186" s="95" t="s">
        <v>27</v>
      </c>
      <c r="AJ1186" s="95" t="s">
        <v>28</v>
      </c>
      <c r="AK1186" s="107" t="s">
        <v>29</v>
      </c>
      <c r="AL1186" s="42" t="s">
        <v>30</v>
      </c>
      <c r="AM1186" s="42" t="s">
        <v>31</v>
      </c>
      <c r="AN1186" s="42" t="s">
        <v>32</v>
      </c>
      <c r="AO1186" s="42" t="s">
        <v>33</v>
      </c>
      <c r="AP1186" s="42" t="s">
        <v>34</v>
      </c>
      <c r="AQ1186" s="42" t="s">
        <v>35</v>
      </c>
      <c r="AR1186" s="42" t="s">
        <v>36</v>
      </c>
      <c r="AS1186" s="100" t="s">
        <v>37</v>
      </c>
      <c r="AT1186" s="41" t="s">
        <v>38</v>
      </c>
      <c r="AU1186" s="23" t="s">
        <v>39</v>
      </c>
      <c r="AV1186" s="51" t="s">
        <v>40</v>
      </c>
      <c r="AW1186" s="51" t="s">
        <v>41</v>
      </c>
      <c r="AX1186" s="51" t="s">
        <v>42</v>
      </c>
      <c r="AY1186" s="66" t="s">
        <v>43</v>
      </c>
      <c r="AZ1186" s="58" t="s">
        <v>44</v>
      </c>
      <c r="BA1186" s="58" t="s">
        <v>45</v>
      </c>
      <c r="BB1186" s="75" t="s">
        <v>46</v>
      </c>
      <c r="BC1186" s="83" t="s">
        <v>47</v>
      </c>
      <c r="BD1186" s="89" t="s">
        <v>48</v>
      </c>
      <c r="BE1186" s="89" t="s">
        <v>49</v>
      </c>
      <c r="BF1186" s="89" t="s">
        <v>50</v>
      </c>
      <c r="BG1186" s="89" t="s">
        <v>51</v>
      </c>
      <c r="BH1186" s="89" t="s">
        <v>52</v>
      </c>
      <c r="BI1186" s="89" t="s">
        <v>53</v>
      </c>
      <c r="BJ1186" s="86" t="s">
        <v>54</v>
      </c>
      <c r="BK1186" s="123" t="s">
        <v>55</v>
      </c>
      <c r="BL1186" s="123" t="s">
        <v>56</v>
      </c>
      <c r="BM1186" s="123" t="s">
        <v>57</v>
      </c>
      <c r="BN1186" s="123" t="s">
        <v>58</v>
      </c>
      <c r="BO1186" s="131" t="s">
        <v>59</v>
      </c>
      <c r="BP1186" s="131" t="s">
        <v>60</v>
      </c>
      <c r="BQ1186" s="131" t="s">
        <v>61</v>
      </c>
      <c r="BR1186" s="131" t="s">
        <v>62</v>
      </c>
      <c r="BS1186" s="131" t="s">
        <v>63</v>
      </c>
      <c r="BT1186" s="131" t="s">
        <v>64</v>
      </c>
      <c r="BU1186" s="131" t="s">
        <v>65</v>
      </c>
      <c r="BV1186" s="132" t="s">
        <v>66</v>
      </c>
      <c r="BW1186" s="132" t="s">
        <v>67</v>
      </c>
      <c r="BX1186" s="132" t="s">
        <v>68</v>
      </c>
      <c r="BY1186" s="132" t="s">
        <v>69</v>
      </c>
      <c r="BZ1186" s="132" t="s">
        <v>70</v>
      </c>
      <c r="CA1186" s="132" t="s">
        <v>71</v>
      </c>
      <c r="CB1186" s="132" t="s">
        <v>72</v>
      </c>
      <c r="CC1186" s="123" t="s">
        <v>73</v>
      </c>
      <c r="CD1186" s="123" t="s">
        <v>74</v>
      </c>
      <c r="CE1186" s="123" t="s">
        <v>75</v>
      </c>
      <c r="CF1186" s="123" t="s">
        <v>76</v>
      </c>
      <c r="CG1186" s="123" t="s">
        <v>77</v>
      </c>
      <c r="CH1186" s="123" t="s">
        <v>78</v>
      </c>
      <c r="CI1186" s="22" t="s">
        <v>2</v>
      </c>
      <c r="CJ1186" s="21" t="s">
        <v>0</v>
      </c>
      <c r="CK1186" s="24" t="s">
        <v>79</v>
      </c>
      <c r="CL1186"/>
      <c r="CM1186"/>
      <c r="CN1186"/>
      <c r="CO1186"/>
      <c r="CP1186"/>
      <c r="CQ1186"/>
      <c r="CR1186"/>
      <c r="CS1186"/>
      <c r="CT1186"/>
      <c r="CU1186"/>
    </row>
    <row r="1187" spans="1:99" x14ac:dyDescent="0.25">
      <c r="A1187" s="18" t="s">
        <v>505</v>
      </c>
      <c r="B1187" s="19" t="s">
        <v>355</v>
      </c>
      <c r="C1187" s="26" t="s">
        <v>356</v>
      </c>
      <c r="D1187" s="6">
        <v>63</v>
      </c>
      <c r="E1187" s="40" t="s">
        <v>83</v>
      </c>
      <c r="F1187" s="6">
        <v>63</v>
      </c>
      <c r="N1187" s="119">
        <v>3.8579301898346602E-2</v>
      </c>
      <c r="O1187" s="119">
        <v>3.8579301898346602E-2</v>
      </c>
      <c r="P1187" s="116" t="s">
        <v>83</v>
      </c>
      <c r="Q1187" s="116" t="s">
        <v>83</v>
      </c>
      <c r="R1187" s="116" t="s">
        <v>83</v>
      </c>
      <c r="S1187" s="119">
        <v>2.78372591006424E-2</v>
      </c>
      <c r="T1187" s="119">
        <v>3.9351851851851902E-2</v>
      </c>
      <c r="U1187" s="119">
        <v>5.3475935828876997E-2</v>
      </c>
      <c r="V1187" s="119">
        <v>3.6211699164345398E-2</v>
      </c>
      <c r="W1187" s="6">
        <v>1522</v>
      </c>
      <c r="X1187" s="40">
        <f t="shared" si="82"/>
        <v>1522</v>
      </c>
      <c r="Y1187" s="40">
        <f t="shared" si="83"/>
        <v>1522</v>
      </c>
      <c r="Z1187" s="59">
        <v>0.51180000000000003</v>
      </c>
      <c r="AA1187" s="59">
        <v>0.48820000000000002</v>
      </c>
      <c r="AB1187" s="61">
        <v>4.5992115637319315E-3</v>
      </c>
      <c r="AC1187" s="61">
        <v>8.5413929040735869E-3</v>
      </c>
      <c r="AD1187" s="61">
        <v>0.17214191852825231</v>
      </c>
      <c r="AE1187" s="61">
        <v>5.6504599211563734E-2</v>
      </c>
      <c r="AF1187" s="61">
        <v>0</v>
      </c>
      <c r="AG1187" s="61">
        <v>0.75098554533508544</v>
      </c>
      <c r="AH1187" s="61">
        <v>7.2273324572930354E-3</v>
      </c>
      <c r="AI1187" s="61">
        <v>0.24901445466491459</v>
      </c>
      <c r="AJ1187" s="59">
        <v>0.5696</v>
      </c>
      <c r="AK1187" s="59">
        <v>1.5100000000000001E-2</v>
      </c>
      <c r="AL1187" s="3">
        <v>0</v>
      </c>
      <c r="AM1187" s="3">
        <v>0</v>
      </c>
      <c r="AN1187" s="3">
        <v>0</v>
      </c>
      <c r="AO1187" s="3">
        <v>429</v>
      </c>
      <c r="AP1187" s="3">
        <v>397</v>
      </c>
      <c r="AQ1187" s="3">
        <v>355</v>
      </c>
      <c r="AR1187" s="3">
        <v>341</v>
      </c>
      <c r="AS1187" s="59">
        <v>0</v>
      </c>
      <c r="AT1187" s="3">
        <v>9</v>
      </c>
      <c r="AU1187" s="3">
        <v>6</v>
      </c>
      <c r="AV1187" s="49">
        <v>60.336906584992299</v>
      </c>
      <c r="AW1187" s="49">
        <v>15.696784073506901</v>
      </c>
      <c r="AX1187" s="49">
        <v>22.2052067381317</v>
      </c>
      <c r="AY1187" s="67">
        <v>1.7611026033690702</v>
      </c>
      <c r="AZ1187" s="63">
        <v>0.14631122132672039</v>
      </c>
      <c r="BA1187" s="63">
        <v>8.5554866707997515E-2</v>
      </c>
      <c r="BB1187" s="77">
        <v>93.853337059289302</v>
      </c>
      <c r="BC1187" s="49">
        <v>62.614538790470398</v>
      </c>
      <c r="BD1187" s="49"/>
      <c r="BE1187" s="49"/>
      <c r="BF1187" s="49"/>
      <c r="BG1187" s="49"/>
      <c r="BH1187" s="49"/>
      <c r="BI1187" s="49"/>
      <c r="BJ1187" s="88">
        <v>20.3</v>
      </c>
      <c r="BK1187" s="126">
        <v>11571</v>
      </c>
      <c r="BL1187" s="126">
        <v>55193</v>
      </c>
      <c r="BM1187" s="126">
        <v>56506</v>
      </c>
      <c r="BN1187" s="126">
        <v>47512</v>
      </c>
      <c r="BO1187" s="59">
        <v>0</v>
      </c>
      <c r="BP1187" s="63">
        <v>0.4118</v>
      </c>
      <c r="BQ1187" s="63">
        <v>0.20530000000000001</v>
      </c>
      <c r="BR1187" s="63">
        <v>0</v>
      </c>
      <c r="BS1187" s="63">
        <v>1.2E-2</v>
      </c>
      <c r="BT1187" s="87">
        <v>14.1</v>
      </c>
      <c r="BU1187" s="59">
        <f t="shared" si="84"/>
        <v>0.62909999999999999</v>
      </c>
      <c r="BV1187" s="59">
        <v>3.0700000000000002E-2</v>
      </c>
      <c r="BW1187" s="63">
        <v>2.8E-3</v>
      </c>
      <c r="BX1187" s="63">
        <v>2.5000000000000001E-2</v>
      </c>
      <c r="BY1187" s="63">
        <v>0</v>
      </c>
      <c r="BZ1187" s="63">
        <v>6.1999999999999998E-3</v>
      </c>
      <c r="CA1187" s="87">
        <v>18.399999999999999</v>
      </c>
      <c r="CB1187" s="59">
        <f t="shared" si="85"/>
        <v>6.4700000000000008E-2</v>
      </c>
      <c r="CC1187" s="59">
        <v>0.2707</v>
      </c>
      <c r="CD1187" s="63">
        <v>0.4496</v>
      </c>
      <c r="CE1187" s="63">
        <v>0.25519999999999998</v>
      </c>
      <c r="CF1187" s="63">
        <v>6.1999999999999998E-3</v>
      </c>
      <c r="CG1187" s="63">
        <v>1.8200000000000001E-2</v>
      </c>
      <c r="CH1187" s="87">
        <v>13.7</v>
      </c>
      <c r="CI1187" s="26" t="s">
        <v>356</v>
      </c>
      <c r="CJ1187" s="18" t="s">
        <v>505</v>
      </c>
      <c r="CK1187" s="20"/>
    </row>
    <row r="1188" spans="1:99" x14ac:dyDescent="0.25">
      <c r="A1188" s="18" t="s">
        <v>505</v>
      </c>
      <c r="B1188" s="19" t="s">
        <v>355</v>
      </c>
      <c r="C1188" s="26" t="s">
        <v>357</v>
      </c>
      <c r="D1188" s="6">
        <v>43</v>
      </c>
      <c r="E1188" s="40" t="s">
        <v>83</v>
      </c>
      <c r="F1188" s="6">
        <v>43</v>
      </c>
      <c r="N1188" s="119">
        <v>2.0924574209245698E-2</v>
      </c>
      <c r="O1188" s="119">
        <v>2.0924574209245698E-2</v>
      </c>
      <c r="P1188" s="116" t="s">
        <v>83</v>
      </c>
      <c r="Q1188" s="116" t="s">
        <v>83</v>
      </c>
      <c r="R1188" s="119">
        <v>0</v>
      </c>
      <c r="S1188" s="119">
        <v>2.4013722126929701E-2</v>
      </c>
      <c r="T1188" s="119">
        <v>1.7142857142857099E-2</v>
      </c>
      <c r="U1188" s="119">
        <v>2.4896265560166001E-2</v>
      </c>
      <c r="V1188" s="119">
        <v>1.7505470459518599E-2</v>
      </c>
      <c r="W1188" s="6">
        <v>1969</v>
      </c>
      <c r="X1188" s="40">
        <f t="shared" si="82"/>
        <v>1969</v>
      </c>
      <c r="Y1188" s="40">
        <f t="shared" si="83"/>
        <v>1969</v>
      </c>
      <c r="Z1188" s="59">
        <v>0.51449999999999996</v>
      </c>
      <c r="AA1188" s="59">
        <v>0.48549999999999999</v>
      </c>
      <c r="AB1188" s="61">
        <v>5.5865921787709499E-3</v>
      </c>
      <c r="AC1188" s="61">
        <v>1.8791264601320468E-2</v>
      </c>
      <c r="AD1188" s="61">
        <v>7.8720162519045206E-2</v>
      </c>
      <c r="AE1188" s="61">
        <v>4.418486541391569E-2</v>
      </c>
      <c r="AF1188" s="61">
        <v>5.0787201625190448E-4</v>
      </c>
      <c r="AG1188" s="61">
        <v>0.84306754697816155</v>
      </c>
      <c r="AH1188" s="61">
        <v>9.141696292534281E-3</v>
      </c>
      <c r="AI1188" s="61">
        <v>0.1569324530218385</v>
      </c>
      <c r="AJ1188" s="59">
        <v>0.28639999999999999</v>
      </c>
      <c r="AK1188" s="59">
        <v>8.6E-3</v>
      </c>
      <c r="AL1188" s="3">
        <v>0</v>
      </c>
      <c r="AM1188" s="3">
        <v>0</v>
      </c>
      <c r="AN1188" s="3">
        <v>8</v>
      </c>
      <c r="AO1188" s="3">
        <v>547</v>
      </c>
      <c r="AP1188" s="3">
        <v>503</v>
      </c>
      <c r="AQ1188" s="3">
        <v>472</v>
      </c>
      <c r="AR1188" s="3">
        <v>439</v>
      </c>
      <c r="AS1188" s="59">
        <v>1.4414414414414415E-2</v>
      </c>
      <c r="AT1188" s="3">
        <v>9</v>
      </c>
      <c r="AU1188" s="3">
        <v>6</v>
      </c>
      <c r="AV1188" s="49">
        <v>64.760147601476007</v>
      </c>
      <c r="AW1188" s="49">
        <v>23.185731857318601</v>
      </c>
      <c r="AX1188" s="49">
        <v>10.393603936039399</v>
      </c>
      <c r="AY1188" s="67">
        <v>1.66051660516605</v>
      </c>
      <c r="AZ1188" s="63">
        <v>4.1116005873715125E-2</v>
      </c>
      <c r="BA1188" s="63">
        <v>4.9926578560939794E-2</v>
      </c>
      <c r="BB1188" s="78">
        <v>94.912433619997401</v>
      </c>
      <c r="BC1188" s="49">
        <v>52.2815533980583</v>
      </c>
      <c r="BD1188" s="49"/>
      <c r="BE1188" s="49"/>
      <c r="BF1188" s="49"/>
      <c r="BG1188" s="49"/>
      <c r="BH1188" s="49"/>
      <c r="BI1188" s="49"/>
      <c r="BJ1188" s="88">
        <v>23.5</v>
      </c>
      <c r="BK1188" s="126">
        <v>10681</v>
      </c>
      <c r="BL1188" s="126">
        <v>55355</v>
      </c>
      <c r="BM1188" s="126">
        <v>58490</v>
      </c>
      <c r="BN1188" s="126">
        <v>49289</v>
      </c>
      <c r="BO1188" s="59">
        <v>0</v>
      </c>
      <c r="BP1188" s="63">
        <v>0.37130000000000002</v>
      </c>
      <c r="BQ1188" s="63">
        <v>0.30270000000000002</v>
      </c>
      <c r="BR1188" s="63">
        <v>0</v>
      </c>
      <c r="BS1188" s="63">
        <v>1.0699999999999999E-2</v>
      </c>
      <c r="BT1188" s="87">
        <v>15.5</v>
      </c>
      <c r="BU1188" s="59">
        <f t="shared" si="84"/>
        <v>0.68470000000000009</v>
      </c>
      <c r="BV1188" s="59">
        <v>2.23E-2</v>
      </c>
      <c r="BW1188" s="63">
        <v>2.5999999999999999E-3</v>
      </c>
      <c r="BX1188" s="63">
        <v>2.7900000000000001E-2</v>
      </c>
      <c r="BY1188" s="63">
        <v>5.5999999999999999E-3</v>
      </c>
      <c r="BZ1188" s="63">
        <v>0</v>
      </c>
      <c r="CA1188" s="87">
        <v>20.7</v>
      </c>
      <c r="CB1188" s="59">
        <f t="shared" si="85"/>
        <v>5.8400000000000001E-2</v>
      </c>
      <c r="CC1188" s="59">
        <v>0.2001</v>
      </c>
      <c r="CD1188" s="63">
        <v>0.40710000000000002</v>
      </c>
      <c r="CE1188" s="63">
        <v>0.371</v>
      </c>
      <c r="CF1188" s="63">
        <v>1.12E-2</v>
      </c>
      <c r="CG1188" s="63">
        <v>1.0699999999999999E-2</v>
      </c>
      <c r="CH1188" s="87">
        <v>14.2</v>
      </c>
      <c r="CI1188" s="26" t="s">
        <v>357</v>
      </c>
      <c r="CJ1188" s="18" t="s">
        <v>505</v>
      </c>
      <c r="CK1188" s="20"/>
    </row>
    <row r="1189" spans="1:99" x14ac:dyDescent="0.25">
      <c r="A1189" s="18" t="s">
        <v>505</v>
      </c>
      <c r="B1189" s="19" t="s">
        <v>355</v>
      </c>
      <c r="C1189" s="26" t="s">
        <v>358</v>
      </c>
      <c r="D1189" s="6">
        <v>25</v>
      </c>
      <c r="E1189" s="40" t="s">
        <v>83</v>
      </c>
      <c r="F1189" s="6">
        <v>25</v>
      </c>
      <c r="N1189" s="119">
        <v>3.125E-2</v>
      </c>
      <c r="O1189" s="119">
        <v>3.125E-2</v>
      </c>
      <c r="P1189" s="116" t="s">
        <v>83</v>
      </c>
      <c r="Q1189" s="116" t="s">
        <v>83</v>
      </c>
      <c r="R1189" s="119">
        <v>0</v>
      </c>
      <c r="S1189" s="119">
        <v>2.7522935779816501E-2</v>
      </c>
      <c r="T1189" s="119">
        <v>9.7560975609756097E-3</v>
      </c>
      <c r="U1189" s="119">
        <v>4.3715846994535498E-2</v>
      </c>
      <c r="V1189" s="119">
        <v>4.86486486486487E-2</v>
      </c>
      <c r="W1189" s="6">
        <v>731</v>
      </c>
      <c r="X1189" s="40">
        <f t="shared" si="82"/>
        <v>731</v>
      </c>
      <c r="Y1189" s="40">
        <f t="shared" si="83"/>
        <v>731</v>
      </c>
      <c r="Z1189" s="59">
        <v>0.48699999999999999</v>
      </c>
      <c r="AA1189" s="59">
        <v>0.51300000000000001</v>
      </c>
      <c r="AB1189" s="61">
        <v>1.3679890560875513E-3</v>
      </c>
      <c r="AC1189" s="61">
        <v>0</v>
      </c>
      <c r="AD1189" s="61">
        <v>8.7551299589603282E-2</v>
      </c>
      <c r="AE1189" s="61">
        <v>4.5143638850889192E-2</v>
      </c>
      <c r="AF1189" s="61">
        <v>0</v>
      </c>
      <c r="AG1189" s="61">
        <v>0.853625170998632</v>
      </c>
      <c r="AH1189" s="61">
        <v>1.2311901504787962E-2</v>
      </c>
      <c r="AI1189" s="61">
        <v>0.146374829001368</v>
      </c>
      <c r="AJ1189" s="59">
        <v>0.64159999999999995</v>
      </c>
      <c r="AK1189" s="59">
        <v>1.37E-2</v>
      </c>
      <c r="AL1189" s="3">
        <v>0</v>
      </c>
      <c r="AM1189" s="3">
        <v>0</v>
      </c>
      <c r="AN1189" s="3">
        <v>11</v>
      </c>
      <c r="AO1189" s="3">
        <v>189</v>
      </c>
      <c r="AP1189" s="3">
        <v>186</v>
      </c>
      <c r="AQ1189" s="3">
        <v>171</v>
      </c>
      <c r="AR1189" s="3">
        <v>174</v>
      </c>
      <c r="AS1189" s="59">
        <v>5.5E-2</v>
      </c>
      <c r="AT1189" s="3">
        <v>9</v>
      </c>
      <c r="AU1189" s="3">
        <v>6</v>
      </c>
      <c r="AV1189" s="49">
        <v>76.662484316185697</v>
      </c>
      <c r="AW1189" s="49">
        <v>20.5771643663739</v>
      </c>
      <c r="AX1189" s="49">
        <v>2.3839397741530699</v>
      </c>
      <c r="AY1189" s="67">
        <v>0.37641154328732701</v>
      </c>
      <c r="AZ1189" s="63">
        <v>6.4150943396226415E-2</v>
      </c>
      <c r="BA1189" s="63">
        <v>0.11572327044025157</v>
      </c>
      <c r="BB1189" s="77">
        <v>92.615241753706499</v>
      </c>
      <c r="BC1189" s="49">
        <v>66.253101736972695</v>
      </c>
      <c r="BD1189" s="49"/>
      <c r="BE1189" s="49"/>
      <c r="BF1189" s="49"/>
      <c r="BG1189" s="49"/>
      <c r="BH1189" s="49"/>
      <c r="BI1189" s="49"/>
      <c r="BJ1189" s="88">
        <v>19.8</v>
      </c>
      <c r="BK1189" s="126">
        <v>12746</v>
      </c>
      <c r="BL1189" s="126">
        <v>58364</v>
      </c>
      <c r="BM1189" s="126">
        <v>55565</v>
      </c>
      <c r="BN1189" s="126">
        <v>49776</v>
      </c>
      <c r="BO1189" s="59">
        <v>0</v>
      </c>
      <c r="BP1189" s="63">
        <v>0.3715</v>
      </c>
      <c r="BQ1189" s="63">
        <v>0.24360000000000001</v>
      </c>
      <c r="BR1189" s="63">
        <v>0</v>
      </c>
      <c r="BS1189" s="63">
        <v>1.1900000000000001E-2</v>
      </c>
      <c r="BT1189" s="87">
        <v>16.3</v>
      </c>
      <c r="BU1189" s="59">
        <f t="shared" si="84"/>
        <v>0.627</v>
      </c>
      <c r="BV1189" s="59">
        <v>3.56E-2</v>
      </c>
      <c r="BW1189" s="63">
        <v>0</v>
      </c>
      <c r="BX1189" s="63">
        <v>3.56E-2</v>
      </c>
      <c r="BY1189" s="63">
        <v>0</v>
      </c>
      <c r="BZ1189" s="63">
        <v>0</v>
      </c>
      <c r="CA1189" s="87">
        <v>20.2</v>
      </c>
      <c r="CB1189" s="59">
        <f t="shared" si="85"/>
        <v>7.1199999999999999E-2</v>
      </c>
      <c r="CC1189" s="59">
        <v>0.25530000000000003</v>
      </c>
      <c r="CD1189" s="63">
        <v>0.41799999999999998</v>
      </c>
      <c r="CE1189" s="63">
        <v>0.31480000000000002</v>
      </c>
      <c r="CF1189" s="63">
        <v>0</v>
      </c>
      <c r="CG1189" s="63">
        <v>1.1900000000000001E-2</v>
      </c>
      <c r="CH1189" s="87">
        <v>15.2</v>
      </c>
      <c r="CI1189" s="26" t="s">
        <v>358</v>
      </c>
      <c r="CJ1189" s="18" t="s">
        <v>505</v>
      </c>
      <c r="CK1189" s="20"/>
    </row>
    <row r="1190" spans="1:99" x14ac:dyDescent="0.25">
      <c r="A1190" s="18" t="s">
        <v>505</v>
      </c>
      <c r="B1190" s="19" t="s">
        <v>355</v>
      </c>
      <c r="C1190" s="26" t="s">
        <v>359</v>
      </c>
      <c r="D1190" s="6">
        <v>49</v>
      </c>
      <c r="E1190" s="40" t="s">
        <v>83</v>
      </c>
      <c r="F1190" s="6">
        <v>49</v>
      </c>
      <c r="N1190" s="119">
        <v>4.8707753479125197E-2</v>
      </c>
      <c r="O1190" s="119">
        <v>4.8707753479125197E-2</v>
      </c>
      <c r="P1190" s="116" t="s">
        <v>83</v>
      </c>
      <c r="Q1190" s="116" t="s">
        <v>83</v>
      </c>
      <c r="R1190" s="119">
        <v>0</v>
      </c>
      <c r="S1190" s="119">
        <v>5.7347670250896099E-2</v>
      </c>
      <c r="T1190" s="119">
        <v>6.7164179104477598E-2</v>
      </c>
      <c r="U1190" s="119">
        <v>2.0661157024793399E-2</v>
      </c>
      <c r="V1190" s="119">
        <v>4.8309178743961401E-2</v>
      </c>
      <c r="W1190" s="6">
        <v>909</v>
      </c>
      <c r="X1190" s="40">
        <f t="shared" si="82"/>
        <v>909</v>
      </c>
      <c r="Y1190" s="40">
        <f t="shared" si="83"/>
        <v>909</v>
      </c>
      <c r="Z1190" s="59">
        <v>0.47520000000000001</v>
      </c>
      <c r="AA1190" s="59">
        <v>0.52480000000000004</v>
      </c>
      <c r="AB1190" s="61">
        <v>5.5005500550055009E-3</v>
      </c>
      <c r="AC1190" s="61">
        <v>2.6402640264026403E-2</v>
      </c>
      <c r="AD1190" s="61">
        <v>0.60066006600660071</v>
      </c>
      <c r="AE1190" s="61">
        <v>5.3905390539053903E-2</v>
      </c>
      <c r="AF1190" s="61">
        <v>2.2002200220022001E-3</v>
      </c>
      <c r="AG1190" s="61">
        <v>0.29812981298129815</v>
      </c>
      <c r="AH1190" s="61">
        <v>1.3201320132013201E-2</v>
      </c>
      <c r="AI1190" s="61">
        <v>0.70187018701870185</v>
      </c>
      <c r="AJ1190" s="59">
        <v>0.69089999999999996</v>
      </c>
      <c r="AK1190" s="59">
        <v>2.4199999999999999E-2</v>
      </c>
      <c r="AL1190" s="3">
        <v>0</v>
      </c>
      <c r="AM1190" s="3">
        <v>0</v>
      </c>
      <c r="AN1190" s="3">
        <v>13</v>
      </c>
      <c r="AO1190" s="3">
        <v>242</v>
      </c>
      <c r="AP1190" s="3">
        <v>235</v>
      </c>
      <c r="AQ1190" s="3">
        <v>224</v>
      </c>
      <c r="AR1190" s="3">
        <v>195</v>
      </c>
      <c r="AS1190" s="59">
        <v>5.0980392156862744E-2</v>
      </c>
      <c r="AT1190" s="3">
        <v>9</v>
      </c>
      <c r="AU1190" s="3">
        <v>6</v>
      </c>
      <c r="AV1190" s="49">
        <v>73.953488372093005</v>
      </c>
      <c r="AW1190" s="49">
        <v>16.511627906976699</v>
      </c>
      <c r="AX1190" s="49">
        <v>9.1860465116279109</v>
      </c>
      <c r="AY1190" s="67">
        <v>0.34883720930232603</v>
      </c>
      <c r="AZ1190" s="63">
        <v>0.20100502512562815</v>
      </c>
      <c r="BA1190" s="63">
        <v>0.16482412060301507</v>
      </c>
      <c r="BB1190" s="78">
        <v>92.6662539678358</v>
      </c>
      <c r="BC1190" s="49">
        <v>66.468842729970305</v>
      </c>
      <c r="BD1190" s="49"/>
      <c r="BE1190" s="49"/>
      <c r="BF1190" s="49"/>
      <c r="BG1190" s="49"/>
      <c r="BH1190" s="49"/>
      <c r="BI1190" s="49"/>
      <c r="BJ1190" s="88">
        <v>19.8</v>
      </c>
      <c r="BK1190" s="126">
        <v>12718</v>
      </c>
      <c r="BL1190" s="126">
        <v>54328</v>
      </c>
      <c r="BM1190" s="126">
        <v>54666</v>
      </c>
      <c r="BN1190" s="126">
        <v>46146</v>
      </c>
      <c r="BO1190" s="59">
        <v>0</v>
      </c>
      <c r="BP1190" s="63">
        <v>0.41470000000000001</v>
      </c>
      <c r="BQ1190" s="63">
        <v>0.18290000000000001</v>
      </c>
      <c r="BR1190" s="63">
        <v>0</v>
      </c>
      <c r="BS1190" s="63">
        <v>0</v>
      </c>
      <c r="BT1190" s="87">
        <v>13.2</v>
      </c>
      <c r="BU1190" s="59">
        <f t="shared" si="84"/>
        <v>0.59760000000000002</v>
      </c>
      <c r="BV1190" s="59">
        <v>3.7199999999999997E-2</v>
      </c>
      <c r="BW1190" s="63">
        <v>1.24E-2</v>
      </c>
      <c r="BX1190" s="63">
        <v>3.1800000000000002E-2</v>
      </c>
      <c r="BY1190" s="63">
        <v>0</v>
      </c>
      <c r="BZ1190" s="63">
        <v>0</v>
      </c>
      <c r="CA1190" s="87">
        <v>19</v>
      </c>
      <c r="CB1190" s="59">
        <f t="shared" si="85"/>
        <v>8.14E-2</v>
      </c>
      <c r="CC1190" s="59">
        <v>0.29320000000000002</v>
      </c>
      <c r="CD1190" s="63">
        <v>0.4642</v>
      </c>
      <c r="CE1190" s="63">
        <v>0.24260000000000001</v>
      </c>
      <c r="CF1190" s="63">
        <v>0</v>
      </c>
      <c r="CG1190" s="63">
        <v>0</v>
      </c>
      <c r="CH1190" s="87">
        <v>12.5</v>
      </c>
      <c r="CI1190" s="26" t="s">
        <v>359</v>
      </c>
      <c r="CJ1190" s="18" t="s">
        <v>505</v>
      </c>
      <c r="CK1190" s="20"/>
    </row>
    <row r="1191" spans="1:99" x14ac:dyDescent="0.25">
      <c r="A1191" s="18" t="s">
        <v>505</v>
      </c>
      <c r="B1191" s="19" t="s">
        <v>355</v>
      </c>
      <c r="C1191" s="26" t="s">
        <v>360</v>
      </c>
      <c r="D1191" s="6">
        <v>61</v>
      </c>
      <c r="E1191" s="40" t="s">
        <v>83</v>
      </c>
      <c r="F1191" s="6">
        <v>61</v>
      </c>
      <c r="N1191" s="119">
        <v>3.3776301218161699E-2</v>
      </c>
      <c r="O1191" s="119">
        <v>3.3776301218161699E-2</v>
      </c>
      <c r="P1191" s="116" t="s">
        <v>83</v>
      </c>
      <c r="Q1191" s="116" t="s">
        <v>83</v>
      </c>
      <c r="R1191" s="119">
        <v>0</v>
      </c>
      <c r="S1191" s="119">
        <v>2.66429840142096E-2</v>
      </c>
      <c r="T1191" s="119">
        <v>3.44086021505376E-2</v>
      </c>
      <c r="U1191" s="119">
        <v>5.12195121951219E-2</v>
      </c>
      <c r="V1191" s="119">
        <v>2.46575342465753E-2</v>
      </c>
      <c r="W1191" s="6">
        <v>1691</v>
      </c>
      <c r="X1191" s="40">
        <f t="shared" si="82"/>
        <v>1691</v>
      </c>
      <c r="Y1191" s="40">
        <f t="shared" si="83"/>
        <v>1691</v>
      </c>
      <c r="Z1191" s="59">
        <v>0.49730000000000002</v>
      </c>
      <c r="AA1191" s="59">
        <v>0.50270000000000004</v>
      </c>
      <c r="AB1191" s="61">
        <v>2.9568302779420462E-3</v>
      </c>
      <c r="AC1191" s="61">
        <v>7.0963926670609108E-3</v>
      </c>
      <c r="AD1191" s="61">
        <v>0.34654050857480778</v>
      </c>
      <c r="AE1191" s="61">
        <v>5.4405677114133646E-2</v>
      </c>
      <c r="AF1191" s="61">
        <v>5.9136605558840927E-4</v>
      </c>
      <c r="AG1191" s="61">
        <v>0.57125960969840328</v>
      </c>
      <c r="AH1191" s="61">
        <v>1.7149615612063868E-2</v>
      </c>
      <c r="AI1191" s="61">
        <v>0.42874039030159666</v>
      </c>
      <c r="AJ1191" s="59">
        <v>0.57299999999999995</v>
      </c>
      <c r="AK1191" s="59">
        <v>1.24E-2</v>
      </c>
      <c r="AL1191" s="3">
        <v>0</v>
      </c>
      <c r="AM1191" s="3">
        <v>0</v>
      </c>
      <c r="AN1191" s="3">
        <v>1</v>
      </c>
      <c r="AO1191" s="3">
        <v>525</v>
      </c>
      <c r="AP1191" s="3">
        <v>441</v>
      </c>
      <c r="AQ1191" s="3">
        <v>375</v>
      </c>
      <c r="AR1191" s="3">
        <v>349</v>
      </c>
      <c r="AS1191" s="59">
        <v>1.9011406844106464E-3</v>
      </c>
      <c r="AT1191" s="3">
        <v>9</v>
      </c>
      <c r="AU1191" s="3">
        <v>6</v>
      </c>
      <c r="AV1191" s="49">
        <v>56.650246305418705</v>
      </c>
      <c r="AW1191" s="49">
        <v>32.864180154820502</v>
      </c>
      <c r="AX1191" s="49">
        <v>9.5003518648838892</v>
      </c>
      <c r="AY1191" s="67">
        <v>0.98522167487684698</v>
      </c>
      <c r="AZ1191" s="63">
        <v>0.1013437849944009</v>
      </c>
      <c r="BA1191" s="63">
        <v>0.10022396416573348</v>
      </c>
      <c r="BB1191" s="77">
        <v>93.601855468921102</v>
      </c>
      <c r="BC1191" s="49">
        <v>56.710671067106702</v>
      </c>
      <c r="BD1191" s="49"/>
      <c r="BE1191" s="49"/>
      <c r="BF1191" s="49"/>
      <c r="BG1191" s="49"/>
      <c r="BH1191" s="49"/>
      <c r="BI1191" s="49"/>
      <c r="BJ1191" s="88">
        <v>19.899999999999999</v>
      </c>
      <c r="BK1191" s="126">
        <v>11112</v>
      </c>
      <c r="BL1191" s="126">
        <v>54943</v>
      </c>
      <c r="BM1191" s="126">
        <v>51311</v>
      </c>
      <c r="BN1191" s="126">
        <v>47369</v>
      </c>
      <c r="BO1191" s="59">
        <v>0</v>
      </c>
      <c r="BP1191" s="63">
        <v>0.4204</v>
      </c>
      <c r="BQ1191" s="63">
        <v>0.22839999999999999</v>
      </c>
      <c r="BR1191" s="63">
        <v>6.0000000000000001E-3</v>
      </c>
      <c r="BS1191" s="63">
        <v>6.0000000000000001E-3</v>
      </c>
      <c r="BT1191" s="87">
        <v>14.8</v>
      </c>
      <c r="BU1191" s="59">
        <f t="shared" si="84"/>
        <v>0.66080000000000005</v>
      </c>
      <c r="BV1191" s="59">
        <v>3.0099999999999998E-2</v>
      </c>
      <c r="BW1191" s="63">
        <v>0</v>
      </c>
      <c r="BX1191" s="63">
        <v>2.41E-2</v>
      </c>
      <c r="BY1191" s="63">
        <v>0</v>
      </c>
      <c r="BZ1191" s="63">
        <v>6.0000000000000001E-3</v>
      </c>
      <c r="CA1191" s="87">
        <v>19.8</v>
      </c>
      <c r="CB1191" s="59">
        <f t="shared" si="85"/>
        <v>6.0199999999999997E-2</v>
      </c>
      <c r="CC1191" s="59">
        <v>0.26129999999999998</v>
      </c>
      <c r="CD1191" s="63">
        <v>0.4385</v>
      </c>
      <c r="CE1191" s="63">
        <v>0.28079999999999999</v>
      </c>
      <c r="CF1191" s="63">
        <v>6.0000000000000001E-3</v>
      </c>
      <c r="CG1191" s="63">
        <v>1.34E-2</v>
      </c>
      <c r="CH1191" s="87">
        <v>13.9</v>
      </c>
      <c r="CI1191" s="26" t="s">
        <v>360</v>
      </c>
      <c r="CJ1191" s="18" t="s">
        <v>505</v>
      </c>
      <c r="CK1191" s="20"/>
    </row>
    <row r="1192" spans="1:99" x14ac:dyDescent="0.25">
      <c r="A1192" s="18" t="s">
        <v>505</v>
      </c>
      <c r="B1192" s="19" t="s">
        <v>355</v>
      </c>
      <c r="C1192" s="26" t="s">
        <v>361</v>
      </c>
      <c r="D1192" s="6">
        <v>39</v>
      </c>
      <c r="E1192" s="40" t="s">
        <v>83</v>
      </c>
      <c r="F1192" s="6">
        <v>39</v>
      </c>
      <c r="N1192" s="119">
        <v>2.34798314268513E-2</v>
      </c>
      <c r="O1192" s="119">
        <v>2.34798314268513E-2</v>
      </c>
      <c r="P1192" s="116" t="s">
        <v>83</v>
      </c>
      <c r="Q1192" s="116" t="s">
        <v>83</v>
      </c>
      <c r="R1192" s="119">
        <v>0</v>
      </c>
      <c r="S1192" s="119">
        <v>2.4774774774774799E-2</v>
      </c>
      <c r="T1192" s="119">
        <v>2.0460358056266E-2</v>
      </c>
      <c r="U1192" s="119">
        <v>2.8235294117647101E-2</v>
      </c>
      <c r="V1192" s="119">
        <v>2.01005025125628E-2</v>
      </c>
      <c r="W1192" s="6">
        <v>1586</v>
      </c>
      <c r="X1192" s="40">
        <f t="shared" si="82"/>
        <v>1586</v>
      </c>
      <c r="Y1192" s="40">
        <f t="shared" si="83"/>
        <v>1586</v>
      </c>
      <c r="Z1192" s="59">
        <v>0.50629999999999997</v>
      </c>
      <c r="AA1192" s="59">
        <v>0.49370000000000003</v>
      </c>
      <c r="AB1192" s="61">
        <v>4.4136191677175288E-3</v>
      </c>
      <c r="AC1192" s="61">
        <v>3.0264817150063052E-2</v>
      </c>
      <c r="AD1192" s="61">
        <v>0.18726355611601514</v>
      </c>
      <c r="AE1192" s="61">
        <v>4.6027742749054225E-2</v>
      </c>
      <c r="AF1192" s="61">
        <v>4.4136191677175288E-3</v>
      </c>
      <c r="AG1192" s="61">
        <v>0.72572509457755363</v>
      </c>
      <c r="AH1192" s="61">
        <v>1.8915510718789407E-3</v>
      </c>
      <c r="AI1192" s="61">
        <v>0.27427490542244642</v>
      </c>
      <c r="AJ1192" s="59">
        <v>0.37830000000000003</v>
      </c>
      <c r="AK1192" s="59">
        <v>1.01E-2</v>
      </c>
      <c r="AL1192" s="3">
        <v>0</v>
      </c>
      <c r="AM1192" s="3">
        <v>0</v>
      </c>
      <c r="AN1192" s="3">
        <v>5</v>
      </c>
      <c r="AO1192" s="3">
        <v>408</v>
      </c>
      <c r="AP1192" s="3">
        <v>378</v>
      </c>
      <c r="AQ1192" s="3">
        <v>409</v>
      </c>
      <c r="AR1192" s="3">
        <v>386</v>
      </c>
      <c r="AS1192" s="59">
        <v>1.2106537530266344E-2</v>
      </c>
      <c r="AT1192" s="3">
        <v>9</v>
      </c>
      <c r="AU1192" s="3">
        <v>6</v>
      </c>
      <c r="AV1192" s="49">
        <v>54.317548746518099</v>
      </c>
      <c r="AW1192" s="49">
        <v>32.311977715877397</v>
      </c>
      <c r="AX1192" s="49">
        <v>12.186629526462401</v>
      </c>
      <c r="AY1192" s="67">
        <v>1.1838440111420601</v>
      </c>
      <c r="AZ1192" s="63">
        <v>4.0680024286581663E-2</v>
      </c>
      <c r="BA1192" s="63">
        <v>8.1360048573163327E-2</v>
      </c>
      <c r="BB1192" s="78">
        <v>95.018461171986701</v>
      </c>
      <c r="BC1192" s="49">
        <v>50.421686746987902</v>
      </c>
      <c r="BD1192" s="49"/>
      <c r="BE1192" s="49"/>
      <c r="BF1192" s="49"/>
      <c r="BG1192" s="49"/>
      <c r="BH1192" s="49"/>
      <c r="BI1192" s="49"/>
      <c r="BJ1192" s="88">
        <v>22.8</v>
      </c>
      <c r="BK1192" s="126">
        <v>10584</v>
      </c>
      <c r="BL1192" s="126">
        <v>57454</v>
      </c>
      <c r="BM1192" s="126">
        <v>56570</v>
      </c>
      <c r="BN1192" s="126">
        <v>49949</v>
      </c>
      <c r="BO1192" s="59">
        <v>0</v>
      </c>
      <c r="BP1192" s="63">
        <v>0.38190000000000002</v>
      </c>
      <c r="BQ1192" s="63">
        <v>0.26929999999999998</v>
      </c>
      <c r="BR1192" s="63">
        <v>6.7000000000000002E-3</v>
      </c>
      <c r="BS1192" s="63">
        <v>9.1000000000000004E-3</v>
      </c>
      <c r="BT1192" s="87">
        <v>17.2</v>
      </c>
      <c r="BU1192" s="59">
        <f t="shared" si="84"/>
        <v>0.66700000000000004</v>
      </c>
      <c r="BV1192" s="59">
        <v>2.5100000000000001E-2</v>
      </c>
      <c r="BW1192" s="63">
        <v>1.0800000000000001E-2</v>
      </c>
      <c r="BX1192" s="63">
        <v>2.1499999999999998E-2</v>
      </c>
      <c r="BY1192" s="63">
        <v>7.1999999999999998E-3</v>
      </c>
      <c r="BZ1192" s="63">
        <v>0</v>
      </c>
      <c r="CA1192" s="87">
        <v>17.3</v>
      </c>
      <c r="CB1192" s="59">
        <f t="shared" si="85"/>
        <v>6.4600000000000005E-2</v>
      </c>
      <c r="CC1192" s="59">
        <v>0.23380000000000001</v>
      </c>
      <c r="CD1192" s="63">
        <v>0.41539999999999999</v>
      </c>
      <c r="CE1192" s="63">
        <v>0.32779999999999998</v>
      </c>
      <c r="CF1192" s="63">
        <v>1.3899999999999999E-2</v>
      </c>
      <c r="CG1192" s="63">
        <v>9.1000000000000004E-3</v>
      </c>
      <c r="CH1192" s="87">
        <v>15</v>
      </c>
      <c r="CI1192" s="26" t="s">
        <v>361</v>
      </c>
      <c r="CJ1192" s="18" t="s">
        <v>505</v>
      </c>
      <c r="CK1192" s="20"/>
    </row>
    <row r="1193" spans="1:99" x14ac:dyDescent="0.25">
      <c r="A1193" s="18" t="s">
        <v>505</v>
      </c>
      <c r="B1193" s="19" t="s">
        <v>355</v>
      </c>
      <c r="C1193" s="26" t="s">
        <v>362</v>
      </c>
      <c r="D1193" s="6">
        <v>30</v>
      </c>
      <c r="E1193" s="40" t="s">
        <v>83</v>
      </c>
      <c r="F1193" s="6">
        <v>30</v>
      </c>
      <c r="N1193" s="119">
        <v>1.6556291390728499E-2</v>
      </c>
      <c r="O1193" s="119">
        <v>1.6556291390728499E-2</v>
      </c>
      <c r="P1193" s="116" t="s">
        <v>83</v>
      </c>
      <c r="Q1193" s="116" t="s">
        <v>83</v>
      </c>
      <c r="R1193" s="116" t="s">
        <v>83</v>
      </c>
      <c r="S1193" s="119">
        <v>9.7847358121330701E-3</v>
      </c>
      <c r="T1193" s="119">
        <v>1.7130620985010701E-2</v>
      </c>
      <c r="U1193" s="119">
        <v>1.8823529411764701E-2</v>
      </c>
      <c r="V1193" s="119">
        <v>2.2004889975550099E-2</v>
      </c>
      <c r="W1193" s="6">
        <v>1734</v>
      </c>
      <c r="X1193" s="40">
        <f t="shared" si="82"/>
        <v>1734</v>
      </c>
      <c r="Y1193" s="40">
        <f t="shared" si="83"/>
        <v>1734</v>
      </c>
      <c r="Z1193" s="59">
        <v>0.496</v>
      </c>
      <c r="AA1193" s="59">
        <v>0.504</v>
      </c>
      <c r="AB1193" s="61">
        <v>1.7301038062283738E-3</v>
      </c>
      <c r="AC1193" s="61">
        <v>1.7301038062283738E-2</v>
      </c>
      <c r="AD1193" s="61">
        <v>8.8811995386389855E-2</v>
      </c>
      <c r="AE1193" s="61">
        <v>5.7093425605536333E-2</v>
      </c>
      <c r="AF1193" s="61">
        <v>5.7670126874279125E-4</v>
      </c>
      <c r="AG1193" s="61">
        <v>0.82641291810841988</v>
      </c>
      <c r="AH1193" s="61">
        <v>8.0738177623990767E-3</v>
      </c>
      <c r="AI1193" s="61">
        <v>0.17358708189158017</v>
      </c>
      <c r="AJ1193" s="59">
        <v>0.34079999999999999</v>
      </c>
      <c r="AK1193" s="59">
        <v>1.3299999999999999E-2</v>
      </c>
      <c r="AL1193" s="3">
        <v>0</v>
      </c>
      <c r="AM1193" s="3">
        <v>0</v>
      </c>
      <c r="AN1193" s="3">
        <v>0</v>
      </c>
      <c r="AO1193" s="3">
        <v>478</v>
      </c>
      <c r="AP1193" s="3">
        <v>444</v>
      </c>
      <c r="AQ1193" s="3">
        <v>419</v>
      </c>
      <c r="AR1193" s="3">
        <v>393</v>
      </c>
      <c r="AS1193" s="59">
        <v>0</v>
      </c>
      <c r="AT1193" s="3">
        <v>9</v>
      </c>
      <c r="AU1193" s="3">
        <v>6</v>
      </c>
      <c r="AV1193" s="49">
        <v>58.588548601864197</v>
      </c>
      <c r="AW1193" s="49">
        <v>23.901464713715001</v>
      </c>
      <c r="AX1193" s="49">
        <v>15.978695073235698</v>
      </c>
      <c r="AY1193" s="67">
        <v>1.5312916111850901</v>
      </c>
      <c r="AZ1193" s="63">
        <v>7.5221238938053103E-2</v>
      </c>
      <c r="BA1193" s="63">
        <v>6.8584070796460173E-2</v>
      </c>
      <c r="BB1193" s="77">
        <v>94.887783524309896</v>
      </c>
      <c r="BC1193" s="49">
        <v>50.301700493691698</v>
      </c>
      <c r="BD1193" s="49"/>
      <c r="BE1193" s="49"/>
      <c r="BF1193" s="49"/>
      <c r="BG1193" s="49"/>
      <c r="BH1193" s="49"/>
      <c r="BI1193" s="49"/>
      <c r="BJ1193" s="88">
        <v>23</v>
      </c>
      <c r="BK1193" s="126">
        <v>11173</v>
      </c>
      <c r="BL1193" s="126">
        <v>55680</v>
      </c>
      <c r="BM1193" s="126">
        <v>58681</v>
      </c>
      <c r="BN1193" s="126">
        <v>49386</v>
      </c>
      <c r="BO1193" s="59">
        <v>6.0000000000000001E-3</v>
      </c>
      <c r="BP1193" s="63">
        <v>0.32379999999999998</v>
      </c>
      <c r="BQ1193" s="63">
        <v>0.30170000000000002</v>
      </c>
      <c r="BR1193" s="63">
        <v>0</v>
      </c>
      <c r="BS1193" s="63">
        <v>2.3800000000000002E-2</v>
      </c>
      <c r="BT1193" s="87">
        <v>15</v>
      </c>
      <c r="BU1193" s="59">
        <f t="shared" si="84"/>
        <v>0.65529999999999999</v>
      </c>
      <c r="BV1193" s="59">
        <v>2.4299999999999999E-2</v>
      </c>
      <c r="BW1193" s="63">
        <v>5.1999999999999998E-3</v>
      </c>
      <c r="BX1193" s="63">
        <v>4.7699999999999999E-2</v>
      </c>
      <c r="BY1193" s="63">
        <v>0</v>
      </c>
      <c r="BZ1193" s="63">
        <v>0</v>
      </c>
      <c r="CA1193" s="87">
        <v>20.100000000000001</v>
      </c>
      <c r="CB1193" s="59">
        <f t="shared" si="85"/>
        <v>7.7199999999999991E-2</v>
      </c>
      <c r="CC1193" s="59">
        <v>0.23780000000000001</v>
      </c>
      <c r="CD1193" s="63">
        <v>0.34760000000000002</v>
      </c>
      <c r="CE1193" s="63">
        <v>0.38490000000000002</v>
      </c>
      <c r="CF1193" s="63">
        <v>0</v>
      </c>
      <c r="CG1193" s="63">
        <v>2.98E-2</v>
      </c>
      <c r="CH1193" s="87">
        <v>14.6</v>
      </c>
      <c r="CI1193" s="26" t="s">
        <v>362</v>
      </c>
      <c r="CJ1193" s="18" t="s">
        <v>505</v>
      </c>
      <c r="CK1193" s="20"/>
    </row>
    <row r="1194" spans="1:99" x14ac:dyDescent="0.25">
      <c r="A1194" s="18" t="s">
        <v>505</v>
      </c>
      <c r="B1194" s="19" t="s">
        <v>355</v>
      </c>
      <c r="C1194" s="26" t="s">
        <v>363</v>
      </c>
      <c r="D1194" s="6">
        <v>26</v>
      </c>
      <c r="E1194" s="40" t="s">
        <v>83</v>
      </c>
      <c r="F1194" s="6">
        <v>26</v>
      </c>
      <c r="N1194" s="119">
        <v>2.3701002734731101E-2</v>
      </c>
      <c r="O1194" s="119">
        <v>2.3701002734731101E-2</v>
      </c>
      <c r="P1194" s="116" t="s">
        <v>83</v>
      </c>
      <c r="Q1194" s="116" t="s">
        <v>83</v>
      </c>
      <c r="R1194" s="119">
        <v>0</v>
      </c>
      <c r="S1194" s="119">
        <v>1.88679245283019E-2</v>
      </c>
      <c r="T1194" s="119">
        <v>1.02040816326531E-2</v>
      </c>
      <c r="U1194" s="119">
        <v>4.08163265306122E-2</v>
      </c>
      <c r="V1194" s="119">
        <v>2.92887029288703E-2</v>
      </c>
      <c r="W1194" s="6">
        <v>1035</v>
      </c>
      <c r="X1194" s="40">
        <f t="shared" si="82"/>
        <v>1035</v>
      </c>
      <c r="Y1194" s="40">
        <f t="shared" si="83"/>
        <v>1035</v>
      </c>
      <c r="Z1194" s="59">
        <v>0.47539999999999999</v>
      </c>
      <c r="AA1194" s="59">
        <v>0.52459999999999996</v>
      </c>
      <c r="AB1194" s="61">
        <v>2.8985507246376812E-3</v>
      </c>
      <c r="AC1194" s="61">
        <v>8.6956521739130436E-3</v>
      </c>
      <c r="AD1194" s="61">
        <v>0.15845410628019324</v>
      </c>
      <c r="AE1194" s="61">
        <v>5.6038647342995171E-2</v>
      </c>
      <c r="AF1194" s="61">
        <v>9.6618357487922703E-4</v>
      </c>
      <c r="AG1194" s="61">
        <v>0.76328502415458932</v>
      </c>
      <c r="AH1194" s="61">
        <v>9.6618357487922701E-3</v>
      </c>
      <c r="AI1194" s="61">
        <v>0.23671497584541062</v>
      </c>
      <c r="AJ1194" s="59">
        <v>0.3836</v>
      </c>
      <c r="AK1194" s="59">
        <v>1.1599999999999999E-2</v>
      </c>
      <c r="AL1194" s="3">
        <v>0</v>
      </c>
      <c r="AM1194" s="3">
        <v>0</v>
      </c>
      <c r="AN1194" s="3">
        <v>2</v>
      </c>
      <c r="AO1194" s="3">
        <v>298</v>
      </c>
      <c r="AP1194" s="3">
        <v>274</v>
      </c>
      <c r="AQ1194" s="3">
        <v>231</v>
      </c>
      <c r="AR1194" s="3">
        <v>230</v>
      </c>
      <c r="AS1194" s="59">
        <v>6.6666666666666671E-3</v>
      </c>
      <c r="AT1194" s="3">
        <v>9</v>
      </c>
      <c r="AU1194" s="3">
        <v>6</v>
      </c>
      <c r="AV1194" s="49">
        <v>65.673175745118201</v>
      </c>
      <c r="AW1194" s="49">
        <v>18.499486125385399</v>
      </c>
      <c r="AX1194" s="49">
        <v>15.3134635149024</v>
      </c>
      <c r="AY1194" s="67">
        <v>0.51387461459403894</v>
      </c>
      <c r="AZ1194" s="63">
        <v>7.720588235294118E-2</v>
      </c>
      <c r="BA1194" s="63">
        <v>8.2720588235294115E-2</v>
      </c>
      <c r="BB1194" s="78">
        <v>94.972025787396007</v>
      </c>
      <c r="BC1194" s="49">
        <v>60.509554140127399</v>
      </c>
      <c r="BD1194" s="49"/>
      <c r="BE1194" s="49"/>
      <c r="BF1194" s="49"/>
      <c r="BG1194" s="49"/>
      <c r="BH1194" s="49"/>
      <c r="BI1194" s="49"/>
      <c r="BJ1194" s="88">
        <v>22.3</v>
      </c>
      <c r="BK1194" s="126">
        <v>11007</v>
      </c>
      <c r="BL1194" s="126">
        <v>54904</v>
      </c>
      <c r="BM1194" s="126">
        <v>52845</v>
      </c>
      <c r="BN1194" s="126">
        <v>47639</v>
      </c>
      <c r="BO1194" s="59">
        <v>0</v>
      </c>
      <c r="BP1194" s="63">
        <v>0.3584</v>
      </c>
      <c r="BQ1194" s="63">
        <v>0.24809999999999999</v>
      </c>
      <c r="BR1194" s="63">
        <v>0</v>
      </c>
      <c r="BS1194" s="63">
        <v>3.3E-3</v>
      </c>
      <c r="BT1194" s="87">
        <v>13.1</v>
      </c>
      <c r="BU1194" s="59">
        <f t="shared" si="84"/>
        <v>0.60980000000000001</v>
      </c>
      <c r="BV1194" s="59">
        <v>2.9499999999999998E-2</v>
      </c>
      <c r="BW1194" s="63">
        <v>9.7999999999999997E-3</v>
      </c>
      <c r="BX1194" s="63">
        <v>4.7100000000000003E-2</v>
      </c>
      <c r="BY1194" s="63">
        <v>0</v>
      </c>
      <c r="BZ1194" s="63">
        <v>0</v>
      </c>
      <c r="CA1194" s="87">
        <v>13.8</v>
      </c>
      <c r="CB1194" s="59">
        <f t="shared" si="85"/>
        <v>8.6400000000000005E-2</v>
      </c>
      <c r="CC1194" s="59">
        <v>0.26450000000000001</v>
      </c>
      <c r="CD1194" s="63">
        <v>0.3785</v>
      </c>
      <c r="CE1194" s="63">
        <v>0.35370000000000001</v>
      </c>
      <c r="CF1194" s="63">
        <v>0</v>
      </c>
      <c r="CG1194" s="63">
        <v>3.3E-3</v>
      </c>
      <c r="CH1194" s="87">
        <v>12.7</v>
      </c>
      <c r="CI1194" s="26" t="s">
        <v>363</v>
      </c>
      <c r="CJ1194" s="18" t="s">
        <v>505</v>
      </c>
      <c r="CK1194" s="20"/>
    </row>
    <row r="1195" spans="1:99" x14ac:dyDescent="0.25">
      <c r="A1195" s="18" t="s">
        <v>505</v>
      </c>
      <c r="B1195" s="19" t="s">
        <v>364</v>
      </c>
      <c r="C1195" s="26" t="s">
        <v>496</v>
      </c>
      <c r="D1195" s="6">
        <v>29</v>
      </c>
      <c r="E1195" s="40" t="s">
        <v>83</v>
      </c>
      <c r="F1195" s="6">
        <v>29</v>
      </c>
      <c r="N1195" s="119">
        <v>6.31808278867102E-2</v>
      </c>
      <c r="O1195" s="119">
        <v>6.31808278867102E-2</v>
      </c>
      <c r="P1195" s="116" t="s">
        <v>83</v>
      </c>
      <c r="Q1195" s="116" t="s">
        <v>83</v>
      </c>
      <c r="R1195" s="116" t="s">
        <v>83</v>
      </c>
      <c r="S1195" s="119">
        <v>4.6875E-2</v>
      </c>
      <c r="T1195" s="119">
        <v>3.6697247706422E-2</v>
      </c>
      <c r="U1195" s="119">
        <v>6.8627450980392204E-2</v>
      </c>
      <c r="V1195" s="119">
        <v>0.1</v>
      </c>
      <c r="W1195" s="6">
        <v>411</v>
      </c>
      <c r="X1195" s="40">
        <f t="shared" si="82"/>
        <v>411</v>
      </c>
      <c r="Y1195" s="40">
        <f t="shared" si="83"/>
        <v>411</v>
      </c>
      <c r="Z1195" s="59">
        <v>0.51580000000000004</v>
      </c>
      <c r="AA1195" s="59">
        <v>0.48420000000000002</v>
      </c>
      <c r="AB1195" s="61">
        <v>0</v>
      </c>
      <c r="AC1195" s="61">
        <v>4.8661800486618006E-3</v>
      </c>
      <c r="AD1195" s="61">
        <v>0.77372262773722633</v>
      </c>
      <c r="AE1195" s="61">
        <v>4.8661800486618006E-3</v>
      </c>
      <c r="AF1195" s="61">
        <v>0</v>
      </c>
      <c r="AG1195" s="61">
        <v>0.17518248175182483</v>
      </c>
      <c r="AH1195" s="61">
        <v>4.1362530413625302E-2</v>
      </c>
      <c r="AI1195" s="61">
        <v>0.82481751824817517</v>
      </c>
      <c r="AJ1195" s="59">
        <v>0.88319999999999999</v>
      </c>
      <c r="AK1195" s="59">
        <v>2.3999999999999998E-3</v>
      </c>
      <c r="AL1195" s="3">
        <v>0</v>
      </c>
      <c r="AM1195" s="3">
        <v>0</v>
      </c>
      <c r="AN1195" s="3">
        <v>0</v>
      </c>
      <c r="AO1195" s="3">
        <v>115</v>
      </c>
      <c r="AP1195" s="3">
        <v>98</v>
      </c>
      <c r="AQ1195" s="3">
        <v>101</v>
      </c>
      <c r="AR1195" s="3">
        <v>97</v>
      </c>
      <c r="AS1195" s="59">
        <v>0</v>
      </c>
      <c r="AT1195" s="3">
        <v>9</v>
      </c>
      <c r="AU1195" s="3">
        <v>6</v>
      </c>
      <c r="AV1195" s="49">
        <v>83.657587548638105</v>
      </c>
      <c r="AW1195" s="49">
        <v>15.9533073929961</v>
      </c>
      <c r="AX1195" s="49">
        <v>0.38910505836575904</v>
      </c>
      <c r="AY1195" s="67">
        <v>0</v>
      </c>
      <c r="AZ1195" s="63">
        <v>0.34899328859060402</v>
      </c>
      <c r="BA1195" s="63">
        <v>0.33557046979865773</v>
      </c>
      <c r="BB1195" s="77">
        <v>89.514715180778296</v>
      </c>
      <c r="BC1195" s="49">
        <v>81.098901098901095</v>
      </c>
      <c r="BD1195" s="49"/>
      <c r="BE1195" s="49"/>
      <c r="BF1195" s="49"/>
      <c r="BG1195" s="49"/>
      <c r="BH1195" s="49"/>
      <c r="BI1195" s="49"/>
      <c r="BJ1195" s="88">
        <v>18.399999999999999</v>
      </c>
      <c r="BK1195" s="126">
        <v>13312</v>
      </c>
      <c r="BL1195" s="126">
        <v>44987</v>
      </c>
      <c r="BM1195" s="126">
        <v>70145</v>
      </c>
      <c r="BN1195" s="126">
        <v>34216</v>
      </c>
      <c r="BO1195" s="59">
        <v>1.46E-2</v>
      </c>
      <c r="BP1195" s="63">
        <v>0.36990000000000001</v>
      </c>
      <c r="BQ1195" s="63">
        <v>9.8299999999999998E-2</v>
      </c>
      <c r="BR1195" s="63">
        <v>0</v>
      </c>
      <c r="BS1195" s="63">
        <v>1.4200000000000001E-2</v>
      </c>
      <c r="BT1195" s="87">
        <v>9.1</v>
      </c>
      <c r="BU1195" s="59">
        <f t="shared" si="84"/>
        <v>0.497</v>
      </c>
      <c r="BV1195" s="59">
        <v>0</v>
      </c>
      <c r="BW1195" s="63">
        <v>0</v>
      </c>
      <c r="BX1195" s="63">
        <v>4.6899999999999997E-2</v>
      </c>
      <c r="BY1195" s="63">
        <v>0</v>
      </c>
      <c r="BZ1195" s="63">
        <v>0</v>
      </c>
      <c r="CA1195" s="87">
        <v>23.9</v>
      </c>
      <c r="CB1195" s="59">
        <f t="shared" si="85"/>
        <v>4.6899999999999997E-2</v>
      </c>
      <c r="CC1195" s="59">
        <v>0.44080000000000003</v>
      </c>
      <c r="CD1195" s="63">
        <v>0.39750000000000002</v>
      </c>
      <c r="CE1195" s="63">
        <v>0.1474</v>
      </c>
      <c r="CF1195" s="63">
        <v>0</v>
      </c>
      <c r="CG1195" s="63">
        <v>1.4200000000000001E-2</v>
      </c>
      <c r="CH1195" s="87">
        <v>9.9</v>
      </c>
      <c r="CI1195" s="26" t="s">
        <v>496</v>
      </c>
      <c r="CJ1195" s="18" t="s">
        <v>505</v>
      </c>
      <c r="CK1195" s="20"/>
    </row>
    <row r="1196" spans="1:99" x14ac:dyDescent="0.25">
      <c r="A1196" s="18" t="s">
        <v>505</v>
      </c>
      <c r="B1196" s="19" t="s">
        <v>364</v>
      </c>
      <c r="C1196" s="26" t="s">
        <v>366</v>
      </c>
      <c r="D1196" s="6">
        <v>65</v>
      </c>
      <c r="E1196" s="40" t="s">
        <v>83</v>
      </c>
      <c r="F1196" s="6">
        <v>65</v>
      </c>
      <c r="N1196" s="119">
        <v>4.0752351097178702E-2</v>
      </c>
      <c r="O1196" s="119">
        <v>4.0752351097178702E-2</v>
      </c>
      <c r="P1196" s="116" t="s">
        <v>83</v>
      </c>
      <c r="Q1196" s="116" t="s">
        <v>83</v>
      </c>
      <c r="R1196" s="116" t="s">
        <v>83</v>
      </c>
      <c r="S1196" s="119">
        <v>3.470715835141E-2</v>
      </c>
      <c r="T1196" s="119">
        <v>4.3478260869565202E-2</v>
      </c>
      <c r="U1196" s="119">
        <v>4.9707602339181298E-2</v>
      </c>
      <c r="V1196" s="119">
        <v>3.6619718309859203E-2</v>
      </c>
      <c r="W1196" s="6">
        <v>1434</v>
      </c>
      <c r="X1196" s="40">
        <f t="shared" si="82"/>
        <v>1434</v>
      </c>
      <c r="Y1196" s="40">
        <f t="shared" si="83"/>
        <v>1434</v>
      </c>
      <c r="Z1196" s="59">
        <v>0.5202</v>
      </c>
      <c r="AA1196" s="59">
        <v>0.4798</v>
      </c>
      <c r="AB1196" s="61">
        <v>0</v>
      </c>
      <c r="AC1196" s="61">
        <v>1.0460251046025104E-2</v>
      </c>
      <c r="AD1196" s="61">
        <v>0.52022315202231517</v>
      </c>
      <c r="AE1196" s="61">
        <v>6.8340306834030681E-2</v>
      </c>
      <c r="AF1196" s="61">
        <v>0</v>
      </c>
      <c r="AG1196" s="61">
        <v>0.35006973500697353</v>
      </c>
      <c r="AH1196" s="61">
        <v>5.090655509065551E-2</v>
      </c>
      <c r="AI1196" s="61">
        <v>0.64993026499302653</v>
      </c>
      <c r="AJ1196" s="59">
        <v>0.70569999999999999</v>
      </c>
      <c r="AK1196" s="59">
        <v>2.0199999999999999E-2</v>
      </c>
      <c r="AL1196" s="3">
        <v>0</v>
      </c>
      <c r="AM1196" s="3">
        <v>0</v>
      </c>
      <c r="AN1196" s="3">
        <v>0</v>
      </c>
      <c r="AO1196" s="3">
        <v>404</v>
      </c>
      <c r="AP1196" s="3">
        <v>394</v>
      </c>
      <c r="AQ1196" s="3">
        <v>310</v>
      </c>
      <c r="AR1196" s="3">
        <v>326</v>
      </c>
      <c r="AS1196" s="59">
        <v>0</v>
      </c>
      <c r="AT1196" s="3">
        <v>9</v>
      </c>
      <c r="AU1196" s="3">
        <v>6</v>
      </c>
      <c r="AV1196" s="49">
        <v>46.790540540540498</v>
      </c>
      <c r="AW1196" s="49">
        <v>22.972972972973</v>
      </c>
      <c r="AX1196" s="49">
        <v>28.7162162162162</v>
      </c>
      <c r="AY1196" s="67">
        <v>1.52027027027027</v>
      </c>
      <c r="AZ1196" s="63">
        <v>0.2354818123803446</v>
      </c>
      <c r="BA1196" s="63">
        <v>0.19910657306955967</v>
      </c>
      <c r="BB1196" s="78">
        <v>90.478299379982303</v>
      </c>
      <c r="BC1196" s="49">
        <v>75.534591194968598</v>
      </c>
      <c r="BD1196" s="49"/>
      <c r="BE1196" s="49"/>
      <c r="BF1196" s="49"/>
      <c r="BG1196" s="49"/>
      <c r="BH1196" s="49"/>
      <c r="BI1196" s="49"/>
      <c r="BJ1196" s="88">
        <v>18.8</v>
      </c>
      <c r="BK1196" s="126">
        <v>9725</v>
      </c>
      <c r="BL1196" s="126">
        <v>46207</v>
      </c>
      <c r="BM1196" s="126">
        <v>67432</v>
      </c>
      <c r="BN1196" s="126">
        <v>35873</v>
      </c>
      <c r="BO1196" s="59">
        <v>6.1000000000000004E-3</v>
      </c>
      <c r="BP1196" s="63">
        <v>0.35389999999999999</v>
      </c>
      <c r="BQ1196" s="63">
        <v>0.18720000000000001</v>
      </c>
      <c r="BR1196" s="63">
        <v>0</v>
      </c>
      <c r="BS1196" s="63">
        <v>1.2200000000000001E-2</v>
      </c>
      <c r="BT1196" s="87">
        <v>9.1</v>
      </c>
      <c r="BU1196" s="59">
        <f t="shared" si="84"/>
        <v>0.55940000000000001</v>
      </c>
      <c r="BV1196" s="59">
        <v>5.9999999999999995E-4</v>
      </c>
      <c r="BW1196" s="63">
        <v>0</v>
      </c>
      <c r="BX1196" s="63">
        <v>1.6899999999999998E-2</v>
      </c>
      <c r="BY1196" s="63">
        <v>0</v>
      </c>
      <c r="BZ1196" s="63">
        <v>5.0000000000000001E-4</v>
      </c>
      <c r="CA1196" s="87">
        <v>16.100000000000001</v>
      </c>
      <c r="CB1196" s="59">
        <f t="shared" si="85"/>
        <v>1.7999999999999999E-2</v>
      </c>
      <c r="CC1196" s="59">
        <v>0.37440000000000001</v>
      </c>
      <c r="CD1196" s="63">
        <v>0.36659999999999998</v>
      </c>
      <c r="CE1196" s="63">
        <v>0.24629999999999999</v>
      </c>
      <c r="CF1196" s="63">
        <v>0</v>
      </c>
      <c r="CG1196" s="63">
        <v>1.2699999999999999E-2</v>
      </c>
      <c r="CH1196" s="87">
        <v>9.1999999999999993</v>
      </c>
      <c r="CI1196" s="26" t="s">
        <v>366</v>
      </c>
      <c r="CJ1196" s="18" t="s">
        <v>505</v>
      </c>
      <c r="CK1196" s="20"/>
    </row>
    <row r="1197" spans="1:99" x14ac:dyDescent="0.25">
      <c r="A1197" s="18" t="s">
        <v>505</v>
      </c>
      <c r="B1197" s="19" t="s">
        <v>364</v>
      </c>
      <c r="C1197" s="26" t="s">
        <v>497</v>
      </c>
      <c r="D1197" s="6">
        <v>14</v>
      </c>
      <c r="E1197" s="40" t="s">
        <v>83</v>
      </c>
      <c r="F1197" s="6">
        <v>14</v>
      </c>
      <c r="N1197" s="119">
        <v>3.4567901234567898E-2</v>
      </c>
      <c r="O1197" s="119">
        <v>3.4567901234567898E-2</v>
      </c>
      <c r="P1197" s="116" t="s">
        <v>83</v>
      </c>
      <c r="Q1197" s="116" t="s">
        <v>83</v>
      </c>
      <c r="R1197" s="116" t="s">
        <v>83</v>
      </c>
      <c r="S1197" s="119">
        <v>9.8039215686274508E-3</v>
      </c>
      <c r="T1197" s="119">
        <v>2.6548672566371698E-2</v>
      </c>
      <c r="U1197" s="119">
        <v>2.32558139534884E-2</v>
      </c>
      <c r="V1197" s="119">
        <v>7.69230769230769E-2</v>
      </c>
      <c r="W1197" s="6">
        <v>358</v>
      </c>
      <c r="X1197" s="40">
        <f t="shared" si="82"/>
        <v>358</v>
      </c>
      <c r="Y1197" s="40">
        <f t="shared" si="83"/>
        <v>358</v>
      </c>
      <c r="Z1197" s="59">
        <v>0.41620000000000001</v>
      </c>
      <c r="AA1197" s="59">
        <v>0.58379999999999999</v>
      </c>
      <c r="AB1197" s="61">
        <v>0</v>
      </c>
      <c r="AC1197" s="61">
        <v>0</v>
      </c>
      <c r="AD1197" s="61">
        <v>0.55307262569832405</v>
      </c>
      <c r="AE1197" s="61">
        <v>0.14804469273743018</v>
      </c>
      <c r="AF1197" s="61">
        <v>0</v>
      </c>
      <c r="AG1197" s="61">
        <v>0.24301675977653631</v>
      </c>
      <c r="AH1197" s="61">
        <v>5.5865921787709494E-2</v>
      </c>
      <c r="AI1197" s="61">
        <v>0.75698324022346364</v>
      </c>
      <c r="AJ1197" s="59">
        <v>0.85750000000000004</v>
      </c>
      <c r="AK1197" s="59">
        <v>4.7500000000000001E-2</v>
      </c>
      <c r="AL1197" s="3">
        <v>0</v>
      </c>
      <c r="AM1197" s="3">
        <v>0</v>
      </c>
      <c r="AN1197" s="3">
        <v>0</v>
      </c>
      <c r="AO1197" s="3">
        <v>94</v>
      </c>
      <c r="AP1197" s="3">
        <v>98</v>
      </c>
      <c r="AQ1197" s="3">
        <v>84</v>
      </c>
      <c r="AR1197" s="3">
        <v>82</v>
      </c>
      <c r="AS1197" s="59">
        <v>0</v>
      </c>
      <c r="AT1197" s="3">
        <v>9</v>
      </c>
      <c r="AU1197" s="3">
        <v>6</v>
      </c>
      <c r="AV1197" s="49">
        <v>81.854838709677409</v>
      </c>
      <c r="AW1197" s="49">
        <v>13.709677419354799</v>
      </c>
      <c r="AX1197" s="49">
        <v>3.62903225806452</v>
      </c>
      <c r="AY1197" s="67">
        <v>0.80645161290322598</v>
      </c>
      <c r="AZ1197" s="63">
        <v>0.5714285714285714</v>
      </c>
      <c r="BA1197" s="63">
        <v>0.2857142857142857</v>
      </c>
      <c r="BB1197" s="77">
        <v>87.779543163685403</v>
      </c>
      <c r="BC1197" s="49">
        <v>79.556650246305395</v>
      </c>
      <c r="BD1197" s="49"/>
      <c r="BE1197" s="49"/>
      <c r="BF1197" s="49"/>
      <c r="BG1197" s="49"/>
      <c r="BH1197" s="49"/>
      <c r="BI1197" s="49"/>
      <c r="BJ1197" s="88">
        <v>15.2</v>
      </c>
      <c r="BK1197" s="126">
        <v>12237</v>
      </c>
      <c r="BL1197" s="126">
        <v>47079</v>
      </c>
      <c r="BM1197" s="126">
        <v>60528</v>
      </c>
      <c r="BN1197" s="126">
        <v>38679</v>
      </c>
      <c r="BO1197" s="59">
        <v>0</v>
      </c>
      <c r="BP1197" s="63">
        <v>0.40450000000000003</v>
      </c>
      <c r="BQ1197" s="63">
        <v>0.1663</v>
      </c>
      <c r="BR1197" s="63">
        <v>1.9800000000000002E-2</v>
      </c>
      <c r="BS1197" s="63">
        <v>0</v>
      </c>
      <c r="BT1197" s="87">
        <v>10.7</v>
      </c>
      <c r="BU1197" s="59">
        <f t="shared" si="84"/>
        <v>0.59060000000000001</v>
      </c>
      <c r="BV1197" s="59">
        <v>0</v>
      </c>
      <c r="BW1197" s="63">
        <v>1.9800000000000002E-2</v>
      </c>
      <c r="BX1197" s="63">
        <v>3.9E-2</v>
      </c>
      <c r="BY1197" s="63">
        <v>0</v>
      </c>
      <c r="BZ1197" s="63">
        <v>0</v>
      </c>
      <c r="CA1197" s="87">
        <v>12.6</v>
      </c>
      <c r="CB1197" s="59">
        <f t="shared" si="85"/>
        <v>5.8800000000000005E-2</v>
      </c>
      <c r="CC1197" s="59">
        <v>0.27500000000000002</v>
      </c>
      <c r="CD1197" s="63">
        <v>0.46860000000000002</v>
      </c>
      <c r="CE1197" s="63">
        <v>0.2366</v>
      </c>
      <c r="CF1197" s="63">
        <v>1.9800000000000002E-2</v>
      </c>
      <c r="CG1197" s="63">
        <v>0</v>
      </c>
      <c r="CH1197" s="87">
        <v>10.7</v>
      </c>
      <c r="CI1197" s="26" t="s">
        <v>497</v>
      </c>
      <c r="CJ1197" s="18" t="s">
        <v>505</v>
      </c>
      <c r="CK1197" s="20"/>
    </row>
    <row r="1198" spans="1:99" x14ac:dyDescent="0.25">
      <c r="A1198" s="18" t="s">
        <v>505</v>
      </c>
      <c r="B1198" s="19" t="s">
        <v>364</v>
      </c>
      <c r="C1198" s="26" t="s">
        <v>368</v>
      </c>
      <c r="D1198" s="6">
        <v>2</v>
      </c>
      <c r="E1198" s="6">
        <v>0</v>
      </c>
      <c r="F1198" s="6">
        <v>2</v>
      </c>
      <c r="N1198" s="119">
        <v>6.8493150684931503E-3</v>
      </c>
      <c r="O1198" s="119">
        <v>9.8522167487684695E-3</v>
      </c>
      <c r="P1198" s="119">
        <v>0</v>
      </c>
      <c r="Q1198" s="119">
        <v>0</v>
      </c>
      <c r="R1198" s="116" t="s">
        <v>83</v>
      </c>
      <c r="S1198" s="119">
        <v>1.6129032258064498E-2</v>
      </c>
      <c r="T1198" s="119">
        <v>1.88679245283019E-2</v>
      </c>
      <c r="U1198" s="119">
        <v>0</v>
      </c>
      <c r="V1198" s="119">
        <v>0</v>
      </c>
      <c r="W1198" s="6">
        <v>267</v>
      </c>
      <c r="X1198" s="40">
        <f t="shared" si="82"/>
        <v>191</v>
      </c>
      <c r="Y1198" s="40">
        <f t="shared" si="83"/>
        <v>267</v>
      </c>
      <c r="Z1198" s="59">
        <v>0.52059999999999995</v>
      </c>
      <c r="AA1198" s="59">
        <v>0.47939999999999999</v>
      </c>
      <c r="AB1198" s="61">
        <v>0</v>
      </c>
      <c r="AC1198" s="61">
        <v>0</v>
      </c>
      <c r="AD1198" s="61">
        <v>0.9550561797752809</v>
      </c>
      <c r="AE1198" s="61">
        <v>0</v>
      </c>
      <c r="AF1198" s="61">
        <v>0</v>
      </c>
      <c r="AG1198" s="61">
        <v>2.6217228464419477E-2</v>
      </c>
      <c r="AH1198" s="61">
        <v>1.8726591760299626E-2</v>
      </c>
      <c r="AI1198" s="61">
        <v>0.97378277153558057</v>
      </c>
      <c r="AJ1198" s="59">
        <v>0.89890000000000003</v>
      </c>
      <c r="AK1198" s="59">
        <v>0</v>
      </c>
      <c r="AL1198" s="3">
        <v>38</v>
      </c>
      <c r="AM1198" s="3">
        <v>38</v>
      </c>
      <c r="AN1198" s="3">
        <v>0</v>
      </c>
      <c r="AO1198" s="3">
        <v>58</v>
      </c>
      <c r="AP1198" s="3">
        <v>49</v>
      </c>
      <c r="AQ1198" s="3">
        <v>42</v>
      </c>
      <c r="AR1198" s="3">
        <v>42</v>
      </c>
      <c r="AS1198" s="59">
        <v>0</v>
      </c>
      <c r="AT1198" s="3">
        <v>7</v>
      </c>
      <c r="AU1198" s="3">
        <v>6</v>
      </c>
      <c r="AV1198" s="49">
        <v>89.873417721519004</v>
      </c>
      <c r="AW1198" s="49">
        <v>9.2827004219409304</v>
      </c>
      <c r="AX1198" s="49">
        <v>0.84388185654008396</v>
      </c>
      <c r="AY1198" s="67">
        <v>0</v>
      </c>
      <c r="AZ1198" s="63">
        <v>0.26712328767123289</v>
      </c>
      <c r="BA1198" s="63">
        <v>0.31164383561643838</v>
      </c>
      <c r="BB1198" s="78">
        <v>91.355457386057495</v>
      </c>
      <c r="BC1198" s="49">
        <v>82.312925170067999</v>
      </c>
      <c r="BD1198" s="49"/>
      <c r="BE1198" s="49"/>
      <c r="BF1198" s="49"/>
      <c r="BG1198" s="49"/>
      <c r="BH1198" s="49"/>
      <c r="BI1198" s="49"/>
      <c r="BJ1198" s="88">
        <v>16.399999999999999</v>
      </c>
      <c r="BK1198" s="126">
        <v>14062</v>
      </c>
      <c r="BL1198" s="126">
        <v>44970</v>
      </c>
      <c r="BM1198" s="126">
        <v>65188</v>
      </c>
      <c r="BN1198" s="126">
        <v>40117</v>
      </c>
      <c r="BO1198" s="59">
        <v>2.5399999999999999E-2</v>
      </c>
      <c r="BP1198" s="63">
        <v>0.46629999999999999</v>
      </c>
      <c r="BQ1198" s="63">
        <v>0.13070000000000001</v>
      </c>
      <c r="BR1198" s="63">
        <v>0</v>
      </c>
      <c r="BS1198" s="63">
        <v>2.1499999999999998E-2</v>
      </c>
      <c r="BT1198" s="87">
        <v>9.3000000000000007</v>
      </c>
      <c r="BU1198" s="59">
        <f t="shared" si="84"/>
        <v>0.64389999999999992</v>
      </c>
      <c r="BV1198" s="59">
        <v>0</v>
      </c>
      <c r="BW1198" s="63">
        <v>0</v>
      </c>
      <c r="BX1198" s="63">
        <v>4.1399999999999999E-2</v>
      </c>
      <c r="BY1198" s="63">
        <v>0</v>
      </c>
      <c r="BZ1198" s="63">
        <v>0</v>
      </c>
      <c r="CA1198" s="87">
        <v>15.3</v>
      </c>
      <c r="CB1198" s="59">
        <f t="shared" si="85"/>
        <v>4.1399999999999999E-2</v>
      </c>
      <c r="CC1198" s="59">
        <v>0.29649999999999999</v>
      </c>
      <c r="CD1198" s="63">
        <v>0.46860000000000002</v>
      </c>
      <c r="CE1198" s="63">
        <v>0.21329999999999999</v>
      </c>
      <c r="CF1198" s="63">
        <v>0</v>
      </c>
      <c r="CG1198" s="63">
        <v>2.1499999999999998E-2</v>
      </c>
      <c r="CH1198" s="87">
        <v>11.2</v>
      </c>
      <c r="CI1198" s="26" t="s">
        <v>368</v>
      </c>
      <c r="CJ1198" s="18" t="s">
        <v>505</v>
      </c>
      <c r="CK1198" s="20"/>
    </row>
    <row r="1199" spans="1:99" x14ac:dyDescent="0.25">
      <c r="A1199" s="18" t="s">
        <v>505</v>
      </c>
      <c r="B1199" s="19" t="s">
        <v>364</v>
      </c>
      <c r="C1199" s="26" t="s">
        <v>369</v>
      </c>
      <c r="D1199" s="6">
        <v>27</v>
      </c>
      <c r="E1199" s="40" t="s">
        <v>83</v>
      </c>
      <c r="F1199" s="6">
        <v>27</v>
      </c>
      <c r="N1199" s="119">
        <v>3.73961218836565E-2</v>
      </c>
      <c r="O1199" s="119">
        <v>3.73961218836565E-2</v>
      </c>
      <c r="P1199" s="116" t="s">
        <v>83</v>
      </c>
      <c r="Q1199" s="116" t="s">
        <v>83</v>
      </c>
      <c r="R1199" s="116" t="s">
        <v>83</v>
      </c>
      <c r="S1199" s="119">
        <v>2.0512820512820499E-2</v>
      </c>
      <c r="T1199" s="119">
        <v>2.1978021978022001E-2</v>
      </c>
      <c r="U1199" s="119">
        <v>2.53164556962025E-2</v>
      </c>
      <c r="V1199" s="119">
        <v>8.0213903743315496E-2</v>
      </c>
      <c r="W1199" s="6">
        <v>653</v>
      </c>
      <c r="X1199" s="40">
        <f t="shared" si="82"/>
        <v>653</v>
      </c>
      <c r="Y1199" s="40">
        <f t="shared" si="83"/>
        <v>653</v>
      </c>
      <c r="Z1199" s="59">
        <v>0.48699999999999999</v>
      </c>
      <c r="AA1199" s="59">
        <v>0.51300000000000001</v>
      </c>
      <c r="AB1199" s="61">
        <v>1.5313935681470138E-3</v>
      </c>
      <c r="AC1199" s="61">
        <v>0</v>
      </c>
      <c r="AD1199" s="61">
        <v>0.30321592649310875</v>
      </c>
      <c r="AE1199" s="61">
        <v>2.2970903522205207E-2</v>
      </c>
      <c r="AF1199" s="61">
        <v>0</v>
      </c>
      <c r="AG1199" s="61">
        <v>0.62174578866768759</v>
      </c>
      <c r="AH1199" s="61">
        <v>5.0535987748851458E-2</v>
      </c>
      <c r="AI1199" s="61">
        <v>0.37825421133231241</v>
      </c>
      <c r="AJ1199" s="59">
        <v>0.62019999999999997</v>
      </c>
      <c r="AK1199" s="59">
        <v>3.0999999999999999E-3</v>
      </c>
      <c r="AL1199" s="3">
        <v>0</v>
      </c>
      <c r="AM1199" s="3">
        <v>0</v>
      </c>
      <c r="AN1199" s="3">
        <v>0</v>
      </c>
      <c r="AO1199" s="3">
        <v>169</v>
      </c>
      <c r="AP1199" s="3">
        <v>166</v>
      </c>
      <c r="AQ1199" s="3">
        <v>149</v>
      </c>
      <c r="AR1199" s="3">
        <v>169</v>
      </c>
      <c r="AS1199" s="59">
        <v>0</v>
      </c>
      <c r="AT1199" s="3">
        <v>9</v>
      </c>
      <c r="AU1199" s="3">
        <v>6</v>
      </c>
      <c r="AV1199" s="49">
        <v>72.173913043478294</v>
      </c>
      <c r="AW1199" s="49">
        <v>17.3913043478261</v>
      </c>
      <c r="AX1199" s="49">
        <v>9.27536231884058</v>
      </c>
      <c r="AY1199" s="67">
        <v>1.1594202898550701</v>
      </c>
      <c r="AZ1199" s="63">
        <v>0.12078651685393259</v>
      </c>
      <c r="BA1199" s="63">
        <v>5.8988764044943819E-2</v>
      </c>
      <c r="BB1199" s="77">
        <v>89.787056971758403</v>
      </c>
      <c r="BC1199" s="49">
        <v>82.058414464534096</v>
      </c>
      <c r="BD1199" s="49"/>
      <c r="BE1199" s="49"/>
      <c r="BF1199" s="49"/>
      <c r="BG1199" s="49"/>
      <c r="BH1199" s="49"/>
      <c r="BI1199" s="49"/>
      <c r="BJ1199" s="88">
        <v>18.3</v>
      </c>
      <c r="BK1199" s="126">
        <v>10520</v>
      </c>
      <c r="BL1199" s="126">
        <v>48800</v>
      </c>
      <c r="BM1199" s="126">
        <v>68010</v>
      </c>
      <c r="BN1199" s="126">
        <v>39090</v>
      </c>
      <c r="BO1199" s="59">
        <v>5.0000000000000001E-4</v>
      </c>
      <c r="BP1199" s="63">
        <v>0.4093</v>
      </c>
      <c r="BQ1199" s="63">
        <v>0.151</v>
      </c>
      <c r="BR1199" s="63">
        <v>1.2800000000000001E-2</v>
      </c>
      <c r="BS1199" s="63">
        <v>0</v>
      </c>
      <c r="BT1199" s="87">
        <v>11.9</v>
      </c>
      <c r="BU1199" s="59">
        <f t="shared" si="84"/>
        <v>0.5736</v>
      </c>
      <c r="BV1199" s="59">
        <v>0</v>
      </c>
      <c r="BW1199" s="63">
        <v>0</v>
      </c>
      <c r="BX1199" s="63">
        <v>3.73E-2</v>
      </c>
      <c r="BY1199" s="63">
        <v>0</v>
      </c>
      <c r="BZ1199" s="63">
        <v>0</v>
      </c>
      <c r="CA1199" s="87">
        <v>17</v>
      </c>
      <c r="CB1199" s="59">
        <f t="shared" si="85"/>
        <v>3.73E-2</v>
      </c>
      <c r="CC1199" s="59">
        <v>0.35039999999999999</v>
      </c>
      <c r="CD1199" s="63">
        <v>0.42199999999999999</v>
      </c>
      <c r="CE1199" s="63">
        <v>0.21379999999999999</v>
      </c>
      <c r="CF1199" s="63">
        <v>1.2800000000000001E-2</v>
      </c>
      <c r="CG1199" s="63">
        <v>1.1000000000000001E-3</v>
      </c>
      <c r="CH1199" s="87">
        <v>12.2</v>
      </c>
      <c r="CI1199" s="26" t="s">
        <v>369</v>
      </c>
      <c r="CJ1199" s="18" t="s">
        <v>505</v>
      </c>
      <c r="CK1199" s="20"/>
    </row>
    <row r="1200" spans="1:99" x14ac:dyDescent="0.25">
      <c r="A1200" s="18" t="s">
        <v>505</v>
      </c>
      <c r="B1200" s="19" t="s">
        <v>364</v>
      </c>
      <c r="C1200" s="26" t="s">
        <v>370</v>
      </c>
      <c r="D1200" s="6">
        <v>64</v>
      </c>
      <c r="E1200" s="40" t="s">
        <v>83</v>
      </c>
      <c r="F1200" s="6">
        <v>64</v>
      </c>
      <c r="N1200" s="119">
        <v>3.23395654370894E-2</v>
      </c>
      <c r="O1200" s="119">
        <v>3.23395654370894E-2</v>
      </c>
      <c r="P1200" s="116" t="s">
        <v>83</v>
      </c>
      <c r="Q1200" s="116" t="s">
        <v>83</v>
      </c>
      <c r="R1200" s="116" t="s">
        <v>83</v>
      </c>
      <c r="S1200" s="119">
        <v>4.0925266903914598E-2</v>
      </c>
      <c r="T1200" s="119">
        <v>2.8828828828828802E-2</v>
      </c>
      <c r="U1200" s="119">
        <v>2.86885245901639E-2</v>
      </c>
      <c r="V1200" s="119">
        <v>2.9411764705882401E-2</v>
      </c>
      <c r="W1200" s="6">
        <v>1794</v>
      </c>
      <c r="X1200" s="40">
        <f t="shared" si="82"/>
        <v>1794</v>
      </c>
      <c r="Y1200" s="40">
        <f t="shared" si="83"/>
        <v>1794</v>
      </c>
      <c r="Z1200" s="59">
        <v>0.49280000000000002</v>
      </c>
      <c r="AA1200" s="59">
        <v>0.50719999999999998</v>
      </c>
      <c r="AB1200" s="61">
        <v>0</v>
      </c>
      <c r="AC1200" s="61">
        <v>6.688963210702341E-3</v>
      </c>
      <c r="AD1200" s="61">
        <v>0.27591973244147155</v>
      </c>
      <c r="AE1200" s="61">
        <v>3.4002229654403568E-2</v>
      </c>
      <c r="AF1200" s="61">
        <v>0</v>
      </c>
      <c r="AG1200" s="61">
        <v>0.63266443701226305</v>
      </c>
      <c r="AH1200" s="61">
        <v>5.0724637681159424E-2</v>
      </c>
      <c r="AI1200" s="61">
        <v>0.3673355629877369</v>
      </c>
      <c r="AJ1200" s="59">
        <v>0.56689999999999996</v>
      </c>
      <c r="AK1200" s="59">
        <v>1.3899999999999999E-2</v>
      </c>
      <c r="AL1200" s="3">
        <v>0</v>
      </c>
      <c r="AM1200" s="3">
        <v>0</v>
      </c>
      <c r="AN1200" s="3">
        <v>0</v>
      </c>
      <c r="AO1200" s="3">
        <v>495</v>
      </c>
      <c r="AP1200" s="3">
        <v>494</v>
      </c>
      <c r="AQ1200" s="3">
        <v>469</v>
      </c>
      <c r="AR1200" s="3">
        <v>336</v>
      </c>
      <c r="AS1200" s="59">
        <v>0</v>
      </c>
      <c r="AT1200" s="3">
        <v>9</v>
      </c>
      <c r="AU1200" s="3">
        <v>6</v>
      </c>
      <c r="AV1200" s="49">
        <v>52.695417789757407</v>
      </c>
      <c r="AW1200" s="49">
        <v>24.797843665768198</v>
      </c>
      <c r="AX1200" s="49">
        <v>21.832884097034999</v>
      </c>
      <c r="AY1200" s="67">
        <v>0.67385444743935297</v>
      </c>
      <c r="AZ1200" s="63">
        <v>0.16104294478527606</v>
      </c>
      <c r="BA1200" s="63">
        <v>0.11298568507157464</v>
      </c>
      <c r="BB1200" s="78">
        <v>92.466730739582999</v>
      </c>
      <c r="BC1200" s="49">
        <v>68.711967545638899</v>
      </c>
      <c r="BD1200" s="49"/>
      <c r="BE1200" s="49"/>
      <c r="BF1200" s="49"/>
      <c r="BG1200" s="49"/>
      <c r="BH1200" s="49"/>
      <c r="BI1200" s="49"/>
      <c r="BJ1200" s="88">
        <v>19.399999999999999</v>
      </c>
      <c r="BK1200" s="126">
        <v>9305</v>
      </c>
      <c r="BL1200" s="126">
        <v>49988</v>
      </c>
      <c r="BM1200" s="126">
        <v>73720</v>
      </c>
      <c r="BN1200" s="126">
        <v>38674</v>
      </c>
      <c r="BO1200" s="59">
        <v>5.5999999999999999E-3</v>
      </c>
      <c r="BP1200" s="63">
        <v>0.40570000000000001</v>
      </c>
      <c r="BQ1200" s="63">
        <v>0.15579999999999999</v>
      </c>
      <c r="BR1200" s="63">
        <v>0</v>
      </c>
      <c r="BS1200" s="63">
        <v>6.4000000000000003E-3</v>
      </c>
      <c r="BT1200" s="87">
        <v>14.5</v>
      </c>
      <c r="BU1200" s="59">
        <f t="shared" si="84"/>
        <v>0.5734999999999999</v>
      </c>
      <c r="BV1200" s="59">
        <v>0</v>
      </c>
      <c r="BW1200" s="63">
        <v>0</v>
      </c>
      <c r="BX1200" s="63">
        <v>2.4899999999999999E-2</v>
      </c>
      <c r="BY1200" s="63">
        <v>0</v>
      </c>
      <c r="BZ1200" s="63">
        <v>0</v>
      </c>
      <c r="CA1200" s="87">
        <v>23.1</v>
      </c>
      <c r="CB1200" s="59">
        <f t="shared" si="85"/>
        <v>2.4899999999999999E-2</v>
      </c>
      <c r="CC1200" s="59">
        <v>0.37340000000000001</v>
      </c>
      <c r="CD1200" s="63">
        <v>0.42149999999999999</v>
      </c>
      <c r="CE1200" s="63">
        <v>0.19869999999999999</v>
      </c>
      <c r="CF1200" s="63">
        <v>0</v>
      </c>
      <c r="CG1200" s="63">
        <v>6.4000000000000003E-3</v>
      </c>
      <c r="CH1200" s="87">
        <v>12.9</v>
      </c>
      <c r="CI1200" s="26" t="s">
        <v>370</v>
      </c>
      <c r="CJ1200" s="18" t="s">
        <v>505</v>
      </c>
      <c r="CK1200" s="20"/>
    </row>
    <row r="1201" spans="1:89" x14ac:dyDescent="0.25">
      <c r="A1201" s="18" t="s">
        <v>505</v>
      </c>
      <c r="B1201" s="19" t="s">
        <v>364</v>
      </c>
      <c r="C1201" s="26" t="s">
        <v>371</v>
      </c>
      <c r="D1201" s="6">
        <v>13</v>
      </c>
      <c r="E1201" s="40" t="s">
        <v>83</v>
      </c>
      <c r="F1201" s="6">
        <v>13</v>
      </c>
      <c r="N1201" s="119">
        <v>2.7196652719665301E-2</v>
      </c>
      <c r="O1201" s="119">
        <v>2.7196652719665301E-2</v>
      </c>
      <c r="P1201" s="116" t="s">
        <v>83</v>
      </c>
      <c r="Q1201" s="116" t="s">
        <v>83</v>
      </c>
      <c r="R1201" s="116" t="s">
        <v>83</v>
      </c>
      <c r="S1201" s="119">
        <v>3.90625E-2</v>
      </c>
      <c r="T1201" s="119">
        <v>3.6496350364963501E-2</v>
      </c>
      <c r="U1201" s="119">
        <v>2.8571428571428598E-2</v>
      </c>
      <c r="V1201" s="119">
        <v>0</v>
      </c>
      <c r="W1201" s="6">
        <v>441</v>
      </c>
      <c r="X1201" s="40">
        <f t="shared" si="82"/>
        <v>441</v>
      </c>
      <c r="Y1201" s="40">
        <f t="shared" si="83"/>
        <v>441</v>
      </c>
      <c r="Z1201" s="59">
        <v>0.50570000000000004</v>
      </c>
      <c r="AA1201" s="59">
        <v>0.49430000000000002</v>
      </c>
      <c r="AB1201" s="61">
        <v>4.5351473922902496E-3</v>
      </c>
      <c r="AC1201" s="61">
        <v>4.5351473922902496E-3</v>
      </c>
      <c r="AD1201" s="61">
        <v>0.3401360544217687</v>
      </c>
      <c r="AE1201" s="61">
        <v>1.3605442176870748E-2</v>
      </c>
      <c r="AF1201" s="61">
        <v>0</v>
      </c>
      <c r="AG1201" s="61">
        <v>0.60770975056689347</v>
      </c>
      <c r="AH1201" s="61">
        <v>2.9478458049886622E-2</v>
      </c>
      <c r="AI1201" s="61">
        <v>0.39229024943310659</v>
      </c>
      <c r="AJ1201" s="59">
        <v>0.66669999999999996</v>
      </c>
      <c r="AK1201" s="59">
        <v>0</v>
      </c>
      <c r="AL1201" s="3">
        <v>0</v>
      </c>
      <c r="AM1201" s="3">
        <v>0</v>
      </c>
      <c r="AN1201" s="3">
        <v>0</v>
      </c>
      <c r="AO1201" s="3">
        <v>114</v>
      </c>
      <c r="AP1201" s="3">
        <v>130</v>
      </c>
      <c r="AQ1201" s="3">
        <v>99</v>
      </c>
      <c r="AR1201" s="3">
        <v>98</v>
      </c>
      <c r="AS1201" s="59">
        <v>0</v>
      </c>
      <c r="AT1201" s="3">
        <v>9</v>
      </c>
      <c r="AU1201" s="3">
        <v>6</v>
      </c>
      <c r="AV1201" s="49">
        <v>79.104477611940311</v>
      </c>
      <c r="AW1201" s="49">
        <v>17.164179104477601</v>
      </c>
      <c r="AX1201" s="49">
        <v>3.7313432835820901</v>
      </c>
      <c r="AY1201" s="67">
        <v>0</v>
      </c>
      <c r="AZ1201" s="63">
        <v>0.34453781512605042</v>
      </c>
      <c r="BA1201" s="63">
        <v>0.1407563025210084</v>
      </c>
      <c r="BB1201" s="77">
        <v>89.647633056967095</v>
      </c>
      <c r="BC1201" s="49">
        <v>83.716075156576196</v>
      </c>
      <c r="BD1201" s="49"/>
      <c r="BE1201" s="49"/>
      <c r="BF1201" s="49"/>
      <c r="BG1201" s="49"/>
      <c r="BH1201" s="49"/>
      <c r="BI1201" s="49"/>
      <c r="BJ1201" s="88">
        <v>18.3</v>
      </c>
      <c r="BK1201" s="126">
        <v>12075</v>
      </c>
      <c r="BL1201" s="126">
        <v>51227</v>
      </c>
      <c r="BM1201" s="126">
        <v>74202</v>
      </c>
      <c r="BN1201" s="126">
        <v>40122</v>
      </c>
      <c r="BO1201" s="59">
        <v>0</v>
      </c>
      <c r="BP1201" s="63">
        <v>0.3553</v>
      </c>
      <c r="BQ1201" s="63">
        <v>0.16420000000000001</v>
      </c>
      <c r="BR1201" s="63">
        <v>0</v>
      </c>
      <c r="BS1201" s="63">
        <v>0</v>
      </c>
      <c r="BT1201" s="87">
        <v>16.399999999999999</v>
      </c>
      <c r="BU1201" s="59">
        <f t="shared" si="84"/>
        <v>0.51950000000000007</v>
      </c>
      <c r="BV1201" s="59">
        <v>0</v>
      </c>
      <c r="BW1201" s="63">
        <v>1.2500000000000001E-2</v>
      </c>
      <c r="BX1201" s="63">
        <v>3.2199999999999999E-2</v>
      </c>
      <c r="BY1201" s="63">
        <v>0</v>
      </c>
      <c r="BZ1201" s="63">
        <v>0</v>
      </c>
      <c r="CA1201" s="87">
        <v>28.4</v>
      </c>
      <c r="CB1201" s="59">
        <f t="shared" si="85"/>
        <v>4.4700000000000004E-2</v>
      </c>
      <c r="CC1201" s="59">
        <v>0.36880000000000002</v>
      </c>
      <c r="CD1201" s="63">
        <v>0.3846</v>
      </c>
      <c r="CE1201" s="63">
        <v>0.24660000000000001</v>
      </c>
      <c r="CF1201" s="63">
        <v>0</v>
      </c>
      <c r="CG1201" s="63">
        <v>0</v>
      </c>
      <c r="CH1201" s="87">
        <v>14.8</v>
      </c>
      <c r="CI1201" s="26" t="s">
        <v>371</v>
      </c>
      <c r="CJ1201" s="18" t="s">
        <v>505</v>
      </c>
      <c r="CK1201" s="20"/>
    </row>
    <row r="1202" spans="1:89" x14ac:dyDescent="0.25">
      <c r="A1202" s="18" t="s">
        <v>505</v>
      </c>
      <c r="B1202" s="19" t="s">
        <v>372</v>
      </c>
      <c r="C1202" s="26" t="s">
        <v>373</v>
      </c>
      <c r="D1202" s="6">
        <v>4</v>
      </c>
      <c r="E1202" s="6">
        <v>1</v>
      </c>
      <c r="F1202" s="6">
        <v>3</v>
      </c>
      <c r="N1202" s="119">
        <v>1.41843971631206E-2</v>
      </c>
      <c r="O1202" s="119">
        <v>1.5957446808510599E-2</v>
      </c>
      <c r="P1202" s="119">
        <v>0</v>
      </c>
      <c r="Q1202" s="119">
        <v>1.7543859649122799E-2</v>
      </c>
      <c r="R1202" s="116" t="s">
        <v>83</v>
      </c>
      <c r="S1202" s="119">
        <v>2.4390243902439001E-2</v>
      </c>
      <c r="T1202" s="119">
        <v>3.6363636363636397E-2</v>
      </c>
      <c r="U1202" s="119">
        <v>0</v>
      </c>
      <c r="V1202" s="119">
        <v>0</v>
      </c>
      <c r="W1202" s="6">
        <v>266</v>
      </c>
      <c r="X1202" s="40">
        <f t="shared" si="82"/>
        <v>177</v>
      </c>
      <c r="Y1202" s="40">
        <f t="shared" si="83"/>
        <v>266</v>
      </c>
      <c r="Z1202" s="59">
        <v>0.44359999999999999</v>
      </c>
      <c r="AA1202" s="59">
        <v>0.55640000000000001</v>
      </c>
      <c r="AB1202" s="61">
        <v>0</v>
      </c>
      <c r="AC1202" s="61">
        <v>0</v>
      </c>
      <c r="AD1202" s="61">
        <v>0.87969924812030076</v>
      </c>
      <c r="AE1202" s="61">
        <v>7.5187969924812026E-3</v>
      </c>
      <c r="AF1202" s="61">
        <v>0</v>
      </c>
      <c r="AG1202" s="61">
        <v>9.7744360902255634E-2</v>
      </c>
      <c r="AH1202" s="61">
        <v>1.5037593984962405E-2</v>
      </c>
      <c r="AI1202" s="61">
        <v>0.90225563909774431</v>
      </c>
      <c r="AJ1202" s="59">
        <v>0.86839999999999995</v>
      </c>
      <c r="AK1202" s="59">
        <v>7.4999999999999997E-3</v>
      </c>
      <c r="AL1202" s="3">
        <v>36</v>
      </c>
      <c r="AM1202" s="3">
        <v>53</v>
      </c>
      <c r="AN1202" s="3">
        <v>0</v>
      </c>
      <c r="AO1202" s="3">
        <v>35</v>
      </c>
      <c r="AP1202" s="3">
        <v>51</v>
      </c>
      <c r="AQ1202" s="3">
        <v>43</v>
      </c>
      <c r="AR1202" s="3">
        <v>48</v>
      </c>
      <c r="AS1202" s="59">
        <v>0</v>
      </c>
      <c r="AT1202" s="3">
        <v>7</v>
      </c>
      <c r="AU1202" s="3">
        <v>6</v>
      </c>
      <c r="AV1202" s="49">
        <v>79.487179487179503</v>
      </c>
      <c r="AW1202" s="49">
        <v>16.239316239316199</v>
      </c>
      <c r="AX1202" s="49">
        <v>3.41880341880342</v>
      </c>
      <c r="AY1202" s="67">
        <v>0.854700854700855</v>
      </c>
      <c r="AZ1202" s="63">
        <v>0.37992831541218636</v>
      </c>
      <c r="BA1202" s="63">
        <v>3.9426523297491037E-2</v>
      </c>
      <c r="BB1202" s="78">
        <v>93.976713452424306</v>
      </c>
      <c r="BC1202" s="49">
        <v>58.0071174377224</v>
      </c>
      <c r="BD1202" s="49"/>
      <c r="BE1202" s="49"/>
      <c r="BF1202" s="49"/>
      <c r="BG1202" s="49"/>
      <c r="BH1202" s="49"/>
      <c r="BI1202" s="49"/>
      <c r="BJ1202" s="88">
        <v>16.2</v>
      </c>
      <c r="BK1202" s="126">
        <v>16137</v>
      </c>
      <c r="BL1202" s="126">
        <v>36616</v>
      </c>
      <c r="BM1202" s="126">
        <v>32577</v>
      </c>
      <c r="BN1202" s="126">
        <v>28170</v>
      </c>
      <c r="BO1202" s="59">
        <v>0</v>
      </c>
      <c r="BP1202" s="63">
        <v>0.35239999999999999</v>
      </c>
      <c r="BQ1202" s="63">
        <v>8.1600000000000006E-2</v>
      </c>
      <c r="BR1202" s="63">
        <v>0</v>
      </c>
      <c r="BS1202" s="63">
        <v>0</v>
      </c>
      <c r="BT1202" s="87">
        <v>11.3</v>
      </c>
      <c r="BU1202" s="59">
        <f t="shared" si="84"/>
        <v>0.434</v>
      </c>
      <c r="BV1202" s="59">
        <v>4.2999999999999997E-2</v>
      </c>
      <c r="BW1202" s="63">
        <v>0</v>
      </c>
      <c r="BX1202" s="63">
        <v>4.2999999999999997E-2</v>
      </c>
      <c r="BY1202" s="63">
        <v>0</v>
      </c>
      <c r="BZ1202" s="63">
        <v>0</v>
      </c>
      <c r="CA1202" s="87">
        <v>25</v>
      </c>
      <c r="CB1202" s="59">
        <f t="shared" si="85"/>
        <v>8.5999999999999993E-2</v>
      </c>
      <c r="CC1202" s="59">
        <v>0.48080000000000001</v>
      </c>
      <c r="CD1202" s="63">
        <v>0.37390000000000001</v>
      </c>
      <c r="CE1202" s="63">
        <v>0.14530000000000001</v>
      </c>
      <c r="CF1202" s="63">
        <v>0</v>
      </c>
      <c r="CG1202" s="63">
        <v>0</v>
      </c>
      <c r="CH1202" s="87">
        <v>14.3</v>
      </c>
      <c r="CI1202" s="26" t="s">
        <v>373</v>
      </c>
      <c r="CJ1202" s="18" t="s">
        <v>505</v>
      </c>
      <c r="CK1202" s="20"/>
    </row>
    <row r="1203" spans="1:89" x14ac:dyDescent="0.25">
      <c r="A1203" s="18" t="s">
        <v>505</v>
      </c>
      <c r="B1203" s="19" t="s">
        <v>374</v>
      </c>
      <c r="C1203" s="26" t="s">
        <v>375</v>
      </c>
      <c r="D1203" s="6">
        <v>5</v>
      </c>
      <c r="E1203" s="40" t="s">
        <v>83</v>
      </c>
      <c r="F1203" s="6">
        <v>5</v>
      </c>
      <c r="N1203" s="119">
        <v>3.0788177339901501E-3</v>
      </c>
      <c r="O1203" s="119">
        <v>3.0788177339901501E-3</v>
      </c>
      <c r="P1203" s="116" t="s">
        <v>83</v>
      </c>
      <c r="Q1203" s="116" t="s">
        <v>83</v>
      </c>
      <c r="R1203" s="119">
        <v>2.8571428571428598E-2</v>
      </c>
      <c r="S1203" s="119">
        <v>2.5706940874036001E-3</v>
      </c>
      <c r="T1203" s="119">
        <v>0</v>
      </c>
      <c r="U1203" s="119">
        <v>0</v>
      </c>
      <c r="V1203" s="119">
        <v>7.61421319796954E-3</v>
      </c>
      <c r="W1203" s="6">
        <v>1516</v>
      </c>
      <c r="X1203" s="40">
        <f t="shared" si="82"/>
        <v>1516</v>
      </c>
      <c r="Y1203" s="40">
        <f t="shared" si="83"/>
        <v>1516</v>
      </c>
      <c r="Z1203" s="59">
        <v>0.50660000000000005</v>
      </c>
      <c r="AA1203" s="59">
        <v>0.49340000000000001</v>
      </c>
      <c r="AB1203" s="61">
        <v>4.0237467018469655E-2</v>
      </c>
      <c r="AC1203" s="61">
        <v>7.2559366754617414E-3</v>
      </c>
      <c r="AD1203" s="61">
        <v>0.3212401055408971</v>
      </c>
      <c r="AE1203" s="61">
        <v>5.4749340369393142E-2</v>
      </c>
      <c r="AF1203" s="61">
        <v>0</v>
      </c>
      <c r="AG1203" s="61">
        <v>0.54881266490765168</v>
      </c>
      <c r="AH1203" s="61">
        <v>2.7704485488126648E-2</v>
      </c>
      <c r="AI1203" s="61">
        <v>0.45118733509234826</v>
      </c>
      <c r="AJ1203" s="59">
        <v>0.63919999999999999</v>
      </c>
      <c r="AK1203" s="59">
        <v>1.52E-2</v>
      </c>
      <c r="AL1203" s="3">
        <v>0</v>
      </c>
      <c r="AM1203" s="3">
        <v>0</v>
      </c>
      <c r="AN1203" s="3">
        <v>35</v>
      </c>
      <c r="AO1203" s="3">
        <v>346</v>
      </c>
      <c r="AP1203" s="3">
        <v>364</v>
      </c>
      <c r="AQ1203" s="3">
        <v>397</v>
      </c>
      <c r="AR1203" s="3">
        <v>374</v>
      </c>
      <c r="AS1203" s="59">
        <v>9.1863517060367453E-2</v>
      </c>
      <c r="AT1203" s="3">
        <v>9</v>
      </c>
      <c r="AU1203" s="3">
        <v>6</v>
      </c>
      <c r="AV1203" s="49">
        <v>56.514382402707298</v>
      </c>
      <c r="AW1203" s="49">
        <v>26.734348561759703</v>
      </c>
      <c r="AX1203" s="49">
        <v>16.0744500846024</v>
      </c>
      <c r="AY1203" s="67">
        <v>0.67681895093062605</v>
      </c>
      <c r="AZ1203" s="63">
        <v>0.2271604938271605</v>
      </c>
      <c r="BA1203" s="63">
        <v>0.11419753086419752</v>
      </c>
      <c r="BB1203" s="77">
        <v>91.3690285830383</v>
      </c>
      <c r="BC1203" s="49">
        <v>69.249106078665093</v>
      </c>
      <c r="BD1203" s="49"/>
      <c r="BE1203" s="49"/>
      <c r="BF1203" s="49"/>
      <c r="BG1203" s="49"/>
      <c r="BH1203" s="49"/>
      <c r="BI1203" s="49"/>
      <c r="BJ1203" s="88">
        <v>19.100000000000001</v>
      </c>
      <c r="BK1203" s="126">
        <v>9067</v>
      </c>
      <c r="BL1203" s="126">
        <v>52233</v>
      </c>
      <c r="BM1203" s="126">
        <v>56721</v>
      </c>
      <c r="BN1203" s="126">
        <v>47168</v>
      </c>
      <c r="BO1203" s="59">
        <v>0</v>
      </c>
      <c r="BP1203" s="63">
        <v>0.44529999999999997</v>
      </c>
      <c r="BQ1203" s="63">
        <v>0.1812</v>
      </c>
      <c r="BR1203" s="63">
        <v>0</v>
      </c>
      <c r="BS1203" s="63">
        <v>8.6999999999999994E-3</v>
      </c>
      <c r="BT1203" s="87">
        <v>12.5</v>
      </c>
      <c r="BU1203" s="59">
        <f t="shared" si="84"/>
        <v>0.63519999999999999</v>
      </c>
      <c r="BV1203" s="59">
        <v>2.52E-2</v>
      </c>
      <c r="BW1203" s="63">
        <v>0</v>
      </c>
      <c r="BX1203" s="63">
        <v>3.4700000000000002E-2</v>
      </c>
      <c r="BY1203" s="63">
        <v>0</v>
      </c>
      <c r="BZ1203" s="63">
        <v>0</v>
      </c>
      <c r="CA1203" s="87">
        <v>15.8</v>
      </c>
      <c r="CB1203" s="59">
        <f t="shared" si="85"/>
        <v>5.9900000000000002E-2</v>
      </c>
      <c r="CC1203" s="59">
        <v>0.23469999999999999</v>
      </c>
      <c r="CD1203" s="63">
        <v>0.4834</v>
      </c>
      <c r="CE1203" s="63">
        <v>0.27329999999999999</v>
      </c>
      <c r="CF1203" s="63">
        <v>0</v>
      </c>
      <c r="CG1203" s="63">
        <v>8.6999999999999994E-3</v>
      </c>
      <c r="CH1203" s="87">
        <v>13.2</v>
      </c>
      <c r="CI1203" s="26" t="s">
        <v>375</v>
      </c>
      <c r="CJ1203" s="18" t="s">
        <v>505</v>
      </c>
      <c r="CK1203" s="20"/>
    </row>
    <row r="1204" spans="1:89" x14ac:dyDescent="0.25">
      <c r="A1204" s="18" t="s">
        <v>505</v>
      </c>
      <c r="B1204" s="19" t="s">
        <v>374</v>
      </c>
      <c r="C1204" s="26" t="s">
        <v>376</v>
      </c>
      <c r="D1204" s="6">
        <v>23</v>
      </c>
      <c r="E1204" s="40" t="s">
        <v>83</v>
      </c>
      <c r="F1204" s="6">
        <v>23</v>
      </c>
      <c r="N1204" s="119">
        <v>2.0246478873239399E-2</v>
      </c>
      <c r="O1204" s="119">
        <v>2.0246478873239399E-2</v>
      </c>
      <c r="P1204" s="116" t="s">
        <v>83</v>
      </c>
      <c r="Q1204" s="116" t="s">
        <v>83</v>
      </c>
      <c r="R1204" s="119">
        <v>0</v>
      </c>
      <c r="S1204" s="119">
        <v>2.7950310559006201E-2</v>
      </c>
      <c r="T1204" s="119">
        <v>2.1126760563380299E-2</v>
      </c>
      <c r="U1204" s="119">
        <v>1.04529616724739E-2</v>
      </c>
      <c r="V1204" s="119">
        <v>2.0833333333333301E-2</v>
      </c>
      <c r="W1204" s="6">
        <v>1012</v>
      </c>
      <c r="X1204" s="40">
        <f t="shared" si="82"/>
        <v>1012</v>
      </c>
      <c r="Y1204" s="40">
        <f t="shared" si="83"/>
        <v>1012</v>
      </c>
      <c r="Z1204" s="59">
        <v>0.48320000000000002</v>
      </c>
      <c r="AA1204" s="59">
        <v>0.51680000000000004</v>
      </c>
      <c r="AB1204" s="61">
        <v>0.18478260869565216</v>
      </c>
      <c r="AC1204" s="61">
        <v>1.0869565217391304E-2</v>
      </c>
      <c r="AD1204" s="61">
        <v>0.35573122529644269</v>
      </c>
      <c r="AE1204" s="61">
        <v>9.7826086956521743E-2</v>
      </c>
      <c r="AF1204" s="61">
        <v>0</v>
      </c>
      <c r="AG1204" s="61">
        <v>0.30533596837944665</v>
      </c>
      <c r="AH1204" s="61">
        <v>4.5454545454545456E-2</v>
      </c>
      <c r="AI1204" s="61">
        <v>0.69466403162055335</v>
      </c>
      <c r="AJ1204" s="59">
        <v>0.76280000000000003</v>
      </c>
      <c r="AK1204" s="59">
        <v>3.95E-2</v>
      </c>
      <c r="AL1204" s="3">
        <v>0</v>
      </c>
      <c r="AM1204" s="3">
        <v>0</v>
      </c>
      <c r="AN1204" s="3">
        <v>2</v>
      </c>
      <c r="AO1204" s="3">
        <v>278</v>
      </c>
      <c r="AP1204" s="3">
        <v>247</v>
      </c>
      <c r="AQ1204" s="3">
        <v>258</v>
      </c>
      <c r="AR1204" s="3">
        <v>227</v>
      </c>
      <c r="AS1204" s="59">
        <v>7.1428571428571426E-3</v>
      </c>
      <c r="AT1204" s="3">
        <v>9</v>
      </c>
      <c r="AU1204" s="3">
        <v>6</v>
      </c>
      <c r="AV1204" s="49">
        <v>53.185595567866997</v>
      </c>
      <c r="AW1204" s="49">
        <v>37.396121883656505</v>
      </c>
      <c r="AX1204" s="49">
        <v>8.86426592797784</v>
      </c>
      <c r="AY1204" s="67">
        <v>0.554016620498615</v>
      </c>
      <c r="AZ1204" s="63">
        <v>0.21774193548387097</v>
      </c>
      <c r="BA1204" s="63">
        <v>0.14605734767025089</v>
      </c>
      <c r="BB1204" s="78">
        <v>89.722812084147293</v>
      </c>
      <c r="BC1204" s="49">
        <v>72.605042016806706</v>
      </c>
      <c r="BD1204" s="49"/>
      <c r="BE1204" s="49"/>
      <c r="BF1204" s="49"/>
      <c r="BG1204" s="49"/>
      <c r="BH1204" s="49"/>
      <c r="BI1204" s="49"/>
      <c r="BJ1204" s="88">
        <v>17.5</v>
      </c>
      <c r="BK1204" s="126">
        <v>9710</v>
      </c>
      <c r="BL1204" s="126">
        <v>49710</v>
      </c>
      <c r="BM1204" s="126">
        <v>52823</v>
      </c>
      <c r="BN1204" s="126">
        <v>43471</v>
      </c>
      <c r="BO1204" s="59">
        <v>0</v>
      </c>
      <c r="BP1204" s="63">
        <v>0.3851</v>
      </c>
      <c r="BQ1204" s="63">
        <v>0.20180000000000001</v>
      </c>
      <c r="BR1204" s="63">
        <v>0</v>
      </c>
      <c r="BS1204" s="63">
        <v>0</v>
      </c>
      <c r="BT1204" s="87">
        <v>13.3</v>
      </c>
      <c r="BU1204" s="59">
        <f t="shared" si="84"/>
        <v>0.58689999999999998</v>
      </c>
      <c r="BV1204" s="59">
        <v>3.8399999999999997E-2</v>
      </c>
      <c r="BW1204" s="63">
        <v>0</v>
      </c>
      <c r="BX1204" s="63">
        <v>4.3499999999999997E-2</v>
      </c>
      <c r="BY1204" s="63">
        <v>0</v>
      </c>
      <c r="BZ1204" s="63">
        <v>0</v>
      </c>
      <c r="CA1204" s="87">
        <v>21</v>
      </c>
      <c r="CB1204" s="59">
        <f t="shared" si="85"/>
        <v>8.1900000000000001E-2</v>
      </c>
      <c r="CC1204" s="59">
        <v>0.27389999999999998</v>
      </c>
      <c r="CD1204" s="63">
        <v>0.42209999999999998</v>
      </c>
      <c r="CE1204" s="63">
        <v>0.30399999999999999</v>
      </c>
      <c r="CF1204" s="63">
        <v>0</v>
      </c>
      <c r="CG1204" s="63">
        <v>0</v>
      </c>
      <c r="CH1204" s="87">
        <v>13.6</v>
      </c>
      <c r="CI1204" s="26" t="s">
        <v>376</v>
      </c>
      <c r="CJ1204" s="18" t="s">
        <v>505</v>
      </c>
      <c r="CK1204" s="20"/>
    </row>
    <row r="1205" spans="1:89" x14ac:dyDescent="0.25">
      <c r="A1205" s="18" t="s">
        <v>505</v>
      </c>
      <c r="B1205" s="19" t="s">
        <v>374</v>
      </c>
      <c r="C1205" s="26" t="s">
        <v>377</v>
      </c>
      <c r="D1205" s="6">
        <v>14</v>
      </c>
      <c r="E1205" s="40" t="s">
        <v>83</v>
      </c>
      <c r="F1205" s="6">
        <v>14</v>
      </c>
      <c r="N1205" s="119">
        <v>1.2915129151291499E-2</v>
      </c>
      <c r="O1205" s="119">
        <v>1.2915129151291499E-2</v>
      </c>
      <c r="P1205" s="116" t="s">
        <v>83</v>
      </c>
      <c r="Q1205" s="116" t="s">
        <v>83</v>
      </c>
      <c r="R1205" s="119">
        <v>0</v>
      </c>
      <c r="S1205" s="119">
        <v>6.9930069930069904E-3</v>
      </c>
      <c r="T1205" s="119">
        <v>2.7681660899654001E-2</v>
      </c>
      <c r="U1205" s="119">
        <v>1.2E-2</v>
      </c>
      <c r="V1205" s="119">
        <v>4.3859649122806998E-3</v>
      </c>
      <c r="W1205" s="6">
        <v>1027</v>
      </c>
      <c r="X1205" s="40">
        <f t="shared" si="82"/>
        <v>1027</v>
      </c>
      <c r="Y1205" s="40">
        <f t="shared" si="83"/>
        <v>1027</v>
      </c>
      <c r="Z1205" s="59">
        <v>0.51219999999999999</v>
      </c>
      <c r="AA1205" s="59">
        <v>0.48780000000000001</v>
      </c>
      <c r="AB1205" s="61">
        <v>0.14118792599805258</v>
      </c>
      <c r="AC1205" s="61">
        <v>7.7896786757546254E-3</v>
      </c>
      <c r="AD1205" s="61">
        <v>0.10029211295034079</v>
      </c>
      <c r="AE1205" s="61">
        <v>1.7526777020447908E-2</v>
      </c>
      <c r="AF1205" s="61">
        <v>9.7370983446932818E-4</v>
      </c>
      <c r="AG1205" s="61">
        <v>0.67575462512171369</v>
      </c>
      <c r="AH1205" s="61">
        <v>5.6475170399221029E-2</v>
      </c>
      <c r="AI1205" s="61">
        <v>0.32424537487828625</v>
      </c>
      <c r="AJ1205" s="59">
        <v>0.57840000000000003</v>
      </c>
      <c r="AK1205" s="59">
        <v>5.7999999999999996E-3</v>
      </c>
      <c r="AL1205" s="3">
        <v>0</v>
      </c>
      <c r="AM1205" s="3">
        <v>0</v>
      </c>
      <c r="AN1205" s="3">
        <v>35</v>
      </c>
      <c r="AO1205" s="3">
        <v>266</v>
      </c>
      <c r="AP1205" s="3">
        <v>267</v>
      </c>
      <c r="AQ1205" s="3">
        <v>236</v>
      </c>
      <c r="AR1205" s="3">
        <v>223</v>
      </c>
      <c r="AS1205" s="59">
        <v>0.11627906976744186</v>
      </c>
      <c r="AT1205" s="3">
        <v>9</v>
      </c>
      <c r="AU1205" s="3">
        <v>6</v>
      </c>
      <c r="AV1205" s="49">
        <v>60.324825986078899</v>
      </c>
      <c r="AW1205" s="49">
        <v>21.5777262180974</v>
      </c>
      <c r="AX1205" s="49">
        <v>17.169373549884</v>
      </c>
      <c r="AY1205" s="67">
        <v>0.92807424593967491</v>
      </c>
      <c r="AZ1205" s="63">
        <v>0.12861136999068035</v>
      </c>
      <c r="BA1205" s="63">
        <v>0.1276794035414725</v>
      </c>
      <c r="BB1205" s="78">
        <v>91.596332452037203</v>
      </c>
      <c r="BC1205" s="49">
        <v>65.563506261180706</v>
      </c>
      <c r="BD1205" s="49"/>
      <c r="BE1205" s="49"/>
      <c r="BF1205" s="49"/>
      <c r="BG1205" s="49"/>
      <c r="BH1205" s="49"/>
      <c r="BI1205" s="49"/>
      <c r="BJ1205" s="88">
        <v>19.899999999999999</v>
      </c>
      <c r="BK1205" s="126">
        <v>10346</v>
      </c>
      <c r="BL1205" s="126">
        <v>55535</v>
      </c>
      <c r="BM1205" s="126">
        <v>56474</v>
      </c>
      <c r="BN1205" s="126">
        <v>48133</v>
      </c>
      <c r="BO1205" s="59">
        <v>0</v>
      </c>
      <c r="BP1205" s="63">
        <v>0.45119999999999999</v>
      </c>
      <c r="BQ1205" s="63">
        <v>0.16450000000000001</v>
      </c>
      <c r="BR1205" s="63">
        <v>0</v>
      </c>
      <c r="BS1205" s="63">
        <v>0</v>
      </c>
      <c r="BT1205" s="87">
        <v>19.399999999999999</v>
      </c>
      <c r="BU1205" s="59">
        <f t="shared" si="84"/>
        <v>0.61570000000000003</v>
      </c>
      <c r="BV1205" s="59">
        <v>2.87E-2</v>
      </c>
      <c r="BW1205" s="63">
        <v>0</v>
      </c>
      <c r="BX1205" s="63">
        <v>2.18E-2</v>
      </c>
      <c r="BY1205" s="63">
        <v>0</v>
      </c>
      <c r="BZ1205" s="63">
        <v>1.1299999999999999E-2</v>
      </c>
      <c r="CA1205" s="87">
        <v>19.7</v>
      </c>
      <c r="CB1205" s="59">
        <f t="shared" si="85"/>
        <v>6.1800000000000001E-2</v>
      </c>
      <c r="CC1205" s="59">
        <v>0.26440000000000002</v>
      </c>
      <c r="CD1205" s="63">
        <v>0.47860000000000003</v>
      </c>
      <c r="CE1205" s="63">
        <v>0.2457</v>
      </c>
      <c r="CF1205" s="63">
        <v>0</v>
      </c>
      <c r="CG1205" s="63">
        <v>1.1299999999999999E-2</v>
      </c>
      <c r="CH1205" s="87">
        <v>17.7</v>
      </c>
      <c r="CI1205" s="26" t="s">
        <v>377</v>
      </c>
      <c r="CJ1205" s="18" t="s">
        <v>505</v>
      </c>
      <c r="CK1205" s="20"/>
    </row>
    <row r="1206" spans="1:89" x14ac:dyDescent="0.25">
      <c r="A1206" s="18" t="s">
        <v>505</v>
      </c>
      <c r="B1206" s="19" t="s">
        <v>374</v>
      </c>
      <c r="C1206" s="26" t="s">
        <v>378</v>
      </c>
      <c r="D1206" s="6">
        <v>32</v>
      </c>
      <c r="E1206" s="40" t="s">
        <v>83</v>
      </c>
      <c r="F1206" s="6">
        <v>32</v>
      </c>
      <c r="N1206" s="119">
        <v>2.2315202231520202E-2</v>
      </c>
      <c r="O1206" s="119">
        <v>2.2315202231520202E-2</v>
      </c>
      <c r="P1206" s="116" t="s">
        <v>83</v>
      </c>
      <c r="Q1206" s="116" t="s">
        <v>83</v>
      </c>
      <c r="R1206" s="119">
        <v>0</v>
      </c>
      <c r="S1206" s="119">
        <v>1.3333333333333299E-2</v>
      </c>
      <c r="T1206" s="119">
        <v>1.3333333333333299E-2</v>
      </c>
      <c r="U1206" s="119">
        <v>3.9787798408488097E-2</v>
      </c>
      <c r="V1206" s="119">
        <v>2.3648648648648699E-2</v>
      </c>
      <c r="W1206" s="6">
        <v>1303</v>
      </c>
      <c r="X1206" s="40">
        <f t="shared" si="82"/>
        <v>1303</v>
      </c>
      <c r="Y1206" s="40">
        <f t="shared" si="83"/>
        <v>1303</v>
      </c>
      <c r="Z1206" s="59">
        <v>0.51959999999999995</v>
      </c>
      <c r="AA1206" s="59">
        <v>0.48039999999999999</v>
      </c>
      <c r="AB1206" s="61">
        <v>4.528012279355334E-2</v>
      </c>
      <c r="AC1206" s="61">
        <v>2.1488871834228703E-2</v>
      </c>
      <c r="AD1206" s="61">
        <v>0.31389102072141212</v>
      </c>
      <c r="AE1206" s="61">
        <v>5.2187260168841135E-2</v>
      </c>
      <c r="AF1206" s="61">
        <v>7.6745970836531081E-4</v>
      </c>
      <c r="AG1206" s="61">
        <v>0.54029163468917885</v>
      </c>
      <c r="AH1206" s="61">
        <v>2.6093630084420567E-2</v>
      </c>
      <c r="AI1206" s="61">
        <v>0.45970836531082115</v>
      </c>
      <c r="AJ1206" s="59">
        <v>0.61629999999999996</v>
      </c>
      <c r="AK1206" s="59">
        <v>1.61E-2</v>
      </c>
      <c r="AL1206" s="3">
        <v>0</v>
      </c>
      <c r="AM1206" s="3">
        <v>0</v>
      </c>
      <c r="AN1206" s="3">
        <v>7</v>
      </c>
      <c r="AO1206" s="3">
        <v>336</v>
      </c>
      <c r="AP1206" s="3">
        <v>340</v>
      </c>
      <c r="AQ1206" s="3">
        <v>336</v>
      </c>
      <c r="AR1206" s="3">
        <v>284</v>
      </c>
      <c r="AS1206" s="59">
        <v>2.0408163265306121E-2</v>
      </c>
      <c r="AT1206" s="3">
        <v>9</v>
      </c>
      <c r="AU1206" s="3">
        <v>6</v>
      </c>
      <c r="AV1206" s="49">
        <v>47.7777777777778</v>
      </c>
      <c r="AW1206" s="49">
        <v>22.2222222222222</v>
      </c>
      <c r="AX1206" s="49">
        <v>28.4444444444444</v>
      </c>
      <c r="AY1206" s="67">
        <v>1.55555555555556</v>
      </c>
      <c r="AZ1206" s="63">
        <v>0.30796335447498241</v>
      </c>
      <c r="BA1206" s="63">
        <v>0.15503875968992248</v>
      </c>
      <c r="BB1206" s="77">
        <v>92.086305623235305</v>
      </c>
      <c r="BC1206" s="49">
        <v>69.872225958305293</v>
      </c>
      <c r="BD1206" s="49"/>
      <c r="BE1206" s="49"/>
      <c r="BF1206" s="49"/>
      <c r="BG1206" s="49"/>
      <c r="BH1206" s="49"/>
      <c r="BI1206" s="49"/>
      <c r="BJ1206" s="88">
        <v>19.5</v>
      </c>
      <c r="BK1206" s="126">
        <v>8955</v>
      </c>
      <c r="BL1206" s="126">
        <v>52538</v>
      </c>
      <c r="BM1206" s="126">
        <v>55815</v>
      </c>
      <c r="BN1206" s="126">
        <v>47088</v>
      </c>
      <c r="BO1206" s="59">
        <v>0</v>
      </c>
      <c r="BP1206" s="63">
        <v>0.41549999999999998</v>
      </c>
      <c r="BQ1206" s="63">
        <v>0.2248</v>
      </c>
      <c r="BR1206" s="63">
        <v>0</v>
      </c>
      <c r="BS1206" s="63">
        <v>0</v>
      </c>
      <c r="BT1206" s="87">
        <v>14.2</v>
      </c>
      <c r="BU1206" s="59">
        <f t="shared" si="84"/>
        <v>0.64029999999999998</v>
      </c>
      <c r="BV1206" s="59">
        <v>3.0800000000000001E-2</v>
      </c>
      <c r="BW1206" s="63">
        <v>0</v>
      </c>
      <c r="BX1206" s="63">
        <v>3.27E-2</v>
      </c>
      <c r="BY1206" s="63">
        <v>0</v>
      </c>
      <c r="BZ1206" s="63">
        <v>1.03E-2</v>
      </c>
      <c r="CA1206" s="87">
        <v>16.3</v>
      </c>
      <c r="CB1206" s="59">
        <f t="shared" si="85"/>
        <v>7.3800000000000004E-2</v>
      </c>
      <c r="CC1206" s="59">
        <v>0.22</v>
      </c>
      <c r="CD1206" s="63">
        <v>0.44259999999999999</v>
      </c>
      <c r="CE1206" s="63">
        <v>0.3271</v>
      </c>
      <c r="CF1206" s="63">
        <v>0</v>
      </c>
      <c r="CG1206" s="63">
        <v>1.03E-2</v>
      </c>
      <c r="CH1206" s="87">
        <v>13.7</v>
      </c>
      <c r="CI1206" s="26" t="s">
        <v>378</v>
      </c>
      <c r="CJ1206" s="18" t="s">
        <v>505</v>
      </c>
      <c r="CK1206" s="20"/>
    </row>
    <row r="1207" spans="1:89" x14ac:dyDescent="0.25">
      <c r="A1207" s="18" t="s">
        <v>505</v>
      </c>
      <c r="B1207" s="19" t="s">
        <v>379</v>
      </c>
      <c r="C1207" s="26" t="s">
        <v>498</v>
      </c>
      <c r="D1207" s="6">
        <v>5</v>
      </c>
      <c r="E1207" s="6">
        <v>1</v>
      </c>
      <c r="F1207" s="6">
        <v>4</v>
      </c>
      <c r="N1207" s="119">
        <v>2.5252525252525301E-2</v>
      </c>
      <c r="O1207" s="119">
        <v>3.2786885245901599E-2</v>
      </c>
      <c r="P1207" s="119">
        <v>0</v>
      </c>
      <c r="Q1207" s="119">
        <v>2.7777777777777801E-2</v>
      </c>
      <c r="R1207" s="116" t="s">
        <v>83</v>
      </c>
      <c r="S1207" s="119">
        <v>0</v>
      </c>
      <c r="T1207" s="119">
        <v>3.125E-2</v>
      </c>
      <c r="U1207" s="119">
        <v>5.7142857142857099E-2</v>
      </c>
      <c r="V1207" s="119">
        <v>4.7619047619047603E-2</v>
      </c>
      <c r="W1207" s="6">
        <v>416</v>
      </c>
      <c r="X1207" s="40">
        <f t="shared" si="82"/>
        <v>104</v>
      </c>
      <c r="Y1207" s="40">
        <f t="shared" si="83"/>
        <v>169</v>
      </c>
      <c r="Z1207" s="59">
        <v>0.51680000000000004</v>
      </c>
      <c r="AA1207" s="59">
        <v>0.48320000000000002</v>
      </c>
      <c r="AB1207" s="61">
        <v>0</v>
      </c>
      <c r="AC1207" s="61">
        <v>0</v>
      </c>
      <c r="AD1207" s="61">
        <v>1.201923076923077E-2</v>
      </c>
      <c r="AE1207" s="61">
        <v>2.8846153846153848E-2</v>
      </c>
      <c r="AF1207" s="61">
        <v>4.807692307692308E-3</v>
      </c>
      <c r="AG1207" s="61">
        <v>0.93990384615384615</v>
      </c>
      <c r="AH1207" s="61">
        <v>1.4423076923076924E-2</v>
      </c>
      <c r="AI1207" s="61">
        <v>6.0096153846153848E-2</v>
      </c>
      <c r="AJ1207" s="59">
        <v>0.67069999999999996</v>
      </c>
      <c r="AK1207" s="59">
        <v>1.2E-2</v>
      </c>
      <c r="AL1207" s="3">
        <v>35</v>
      </c>
      <c r="AM1207" s="3">
        <v>30</v>
      </c>
      <c r="AN1207" s="3">
        <v>0</v>
      </c>
      <c r="AO1207" s="3">
        <v>29</v>
      </c>
      <c r="AP1207" s="3">
        <v>29</v>
      </c>
      <c r="AQ1207" s="3">
        <v>28</v>
      </c>
      <c r="AR1207" s="3">
        <v>18</v>
      </c>
      <c r="AS1207" s="59">
        <v>0</v>
      </c>
      <c r="AT1207" s="3">
        <v>1</v>
      </c>
      <c r="AU1207" s="3">
        <v>3</v>
      </c>
      <c r="AV1207" s="49">
        <v>91.266375545851503</v>
      </c>
      <c r="AW1207" s="49">
        <v>7.8602620087336206</v>
      </c>
      <c r="AX1207" s="49">
        <v>0.87336244541484698</v>
      </c>
      <c r="AY1207" s="67">
        <v>0</v>
      </c>
      <c r="AZ1207" s="63">
        <v>2.0533880903490761E-3</v>
      </c>
      <c r="BA1207" s="63">
        <v>5.3388090349075976E-2</v>
      </c>
      <c r="BB1207" s="78">
        <v>92.792937849152196</v>
      </c>
      <c r="BC1207" s="49">
        <v>67.665952890792298</v>
      </c>
      <c r="BD1207" s="49"/>
      <c r="BE1207" s="49"/>
      <c r="BF1207" s="49"/>
      <c r="BG1207" s="49"/>
      <c r="BH1207" s="49"/>
      <c r="BI1207" s="49"/>
      <c r="BJ1207" s="88">
        <v>18.100000000000001</v>
      </c>
      <c r="BK1207" s="126">
        <v>12685</v>
      </c>
      <c r="BL1207" s="126">
        <v>48894</v>
      </c>
      <c r="BM1207" s="126">
        <v>48446</v>
      </c>
      <c r="BN1207" s="126">
        <v>40406</v>
      </c>
      <c r="BO1207" s="59">
        <v>0</v>
      </c>
      <c r="BP1207" s="63">
        <v>0.3523</v>
      </c>
      <c r="BQ1207" s="63">
        <v>0.2298</v>
      </c>
      <c r="BR1207" s="63">
        <v>0</v>
      </c>
      <c r="BS1207" s="63">
        <v>0</v>
      </c>
      <c r="BT1207" s="87">
        <v>9.5</v>
      </c>
      <c r="BU1207" s="59">
        <f t="shared" si="84"/>
        <v>0.58210000000000006</v>
      </c>
      <c r="BV1207" s="59">
        <v>4.0099999999999997E-2</v>
      </c>
      <c r="BW1207" s="63">
        <v>0</v>
      </c>
      <c r="BX1207" s="63">
        <v>2.01E-2</v>
      </c>
      <c r="BY1207" s="63">
        <v>0</v>
      </c>
      <c r="BZ1207" s="63">
        <v>0</v>
      </c>
      <c r="CA1207" s="87">
        <v>11</v>
      </c>
      <c r="CB1207" s="59">
        <f t="shared" si="85"/>
        <v>6.0199999999999997E-2</v>
      </c>
      <c r="CC1207" s="59">
        <v>0.3377</v>
      </c>
      <c r="CD1207" s="63">
        <v>0.37240000000000001</v>
      </c>
      <c r="CE1207" s="63">
        <v>0.28999999999999998</v>
      </c>
      <c r="CF1207" s="63">
        <v>0</v>
      </c>
      <c r="CG1207" s="63">
        <v>0</v>
      </c>
      <c r="CH1207" s="87">
        <v>9.1999999999999993</v>
      </c>
      <c r="CI1207" s="26" t="s">
        <v>498</v>
      </c>
      <c r="CJ1207" s="18" t="s">
        <v>505</v>
      </c>
      <c r="CK1207" s="20" t="s">
        <v>516</v>
      </c>
    </row>
    <row r="1208" spans="1:89" x14ac:dyDescent="0.25">
      <c r="A1208" s="18" t="s">
        <v>505</v>
      </c>
      <c r="B1208" s="19" t="s">
        <v>379</v>
      </c>
      <c r="C1208" s="26" t="s">
        <v>381</v>
      </c>
      <c r="D1208" s="6">
        <v>9</v>
      </c>
      <c r="E1208" s="6">
        <v>2</v>
      </c>
      <c r="F1208" s="6">
        <v>7</v>
      </c>
      <c r="N1208" s="119">
        <v>0.01</v>
      </c>
      <c r="O1208" s="119">
        <v>1.16279069767442E-2</v>
      </c>
      <c r="P1208" s="119">
        <v>1.21951219512195E-2</v>
      </c>
      <c r="Q1208" s="119">
        <v>0</v>
      </c>
      <c r="R1208" s="119">
        <v>0</v>
      </c>
      <c r="S1208" s="119">
        <v>0</v>
      </c>
      <c r="T1208" s="119">
        <v>1.84049079754601E-2</v>
      </c>
      <c r="U1208" s="119">
        <v>0</v>
      </c>
      <c r="V1208" s="119">
        <v>3.00751879699248E-2</v>
      </c>
      <c r="W1208" s="6">
        <v>873</v>
      </c>
      <c r="X1208" s="40">
        <f t="shared" si="82"/>
        <v>513</v>
      </c>
      <c r="Y1208" s="40">
        <f t="shared" si="83"/>
        <v>752</v>
      </c>
      <c r="Z1208" s="59">
        <v>0.4662</v>
      </c>
      <c r="AA1208" s="59">
        <v>0.53380000000000005</v>
      </c>
      <c r="AB1208" s="61">
        <v>0</v>
      </c>
      <c r="AC1208" s="61">
        <v>2.2909507445589921E-3</v>
      </c>
      <c r="AD1208" s="61">
        <v>0.57961053837342502</v>
      </c>
      <c r="AE1208" s="61">
        <v>0.13172966781214204</v>
      </c>
      <c r="AF1208" s="61">
        <v>0</v>
      </c>
      <c r="AG1208" s="61">
        <v>0.27720504009163804</v>
      </c>
      <c r="AH1208" s="61">
        <v>9.1638029782359683E-3</v>
      </c>
      <c r="AI1208" s="61">
        <v>0.72279495990836196</v>
      </c>
      <c r="AJ1208" s="59">
        <v>0.83389999999999997</v>
      </c>
      <c r="AK1208" s="59">
        <v>5.3800000000000001E-2</v>
      </c>
      <c r="AL1208" s="3">
        <v>131</v>
      </c>
      <c r="AM1208" s="3">
        <v>108</v>
      </c>
      <c r="AN1208" s="3">
        <v>21</v>
      </c>
      <c r="AO1208" s="3">
        <v>102</v>
      </c>
      <c r="AP1208" s="3">
        <v>137</v>
      </c>
      <c r="AQ1208" s="3">
        <v>138</v>
      </c>
      <c r="AR1208" s="3">
        <v>115</v>
      </c>
      <c r="AS1208" s="59">
        <v>0.17073170731707318</v>
      </c>
      <c r="AT1208" s="3">
        <v>6</v>
      </c>
      <c r="AU1208" s="3">
        <v>6</v>
      </c>
      <c r="AV1208" s="49">
        <v>71.650485436893192</v>
      </c>
      <c r="AW1208" s="49">
        <v>21.3592233009709</v>
      </c>
      <c r="AX1208" s="49">
        <v>6.0194174757281598</v>
      </c>
      <c r="AY1208" s="67">
        <v>0.97087378640776711</v>
      </c>
      <c r="AZ1208" s="63">
        <v>4.4145873320537425E-2</v>
      </c>
      <c r="BA1208" s="63">
        <v>0.18138195777351249</v>
      </c>
      <c r="BB1208" s="77">
        <v>91.314406451009006</v>
      </c>
      <c r="BC1208" s="49">
        <v>57.685185185185198</v>
      </c>
      <c r="BD1208" s="49"/>
      <c r="BE1208" s="49"/>
      <c r="BF1208" s="49"/>
      <c r="BG1208" s="49"/>
      <c r="BH1208" s="49"/>
      <c r="BI1208" s="49"/>
      <c r="BJ1208" s="88">
        <v>16.399999999999999</v>
      </c>
      <c r="BK1208" s="126">
        <v>13388</v>
      </c>
      <c r="BL1208" s="126">
        <v>47818</v>
      </c>
      <c r="BM1208" s="126">
        <v>42154</v>
      </c>
      <c r="BN1208" s="126">
        <v>37342</v>
      </c>
      <c r="BO1208" s="59">
        <v>0</v>
      </c>
      <c r="BP1208" s="63">
        <v>0.29389999999999999</v>
      </c>
      <c r="BQ1208" s="63">
        <v>0.24099999999999999</v>
      </c>
      <c r="BR1208" s="63">
        <v>0</v>
      </c>
      <c r="BS1208" s="63">
        <v>0</v>
      </c>
      <c r="BT1208" s="87">
        <v>11.8</v>
      </c>
      <c r="BU1208" s="59">
        <f t="shared" si="84"/>
        <v>0.53489999999999993</v>
      </c>
      <c r="BV1208" s="59">
        <v>4.0800000000000003E-2</v>
      </c>
      <c r="BW1208" s="63">
        <v>8.2000000000000007E-3</v>
      </c>
      <c r="BX1208" s="63">
        <v>3.27E-2</v>
      </c>
      <c r="BY1208" s="63">
        <v>0</v>
      </c>
      <c r="BZ1208" s="63">
        <v>0</v>
      </c>
      <c r="CA1208" s="87">
        <v>19.600000000000001</v>
      </c>
      <c r="CB1208" s="59">
        <f t="shared" si="85"/>
        <v>8.1699999999999995E-2</v>
      </c>
      <c r="CC1208" s="59">
        <v>0.35920000000000002</v>
      </c>
      <c r="CD1208" s="63">
        <v>0.3266</v>
      </c>
      <c r="CE1208" s="63">
        <v>0.31419999999999998</v>
      </c>
      <c r="CF1208" s="63">
        <v>0</v>
      </c>
      <c r="CG1208" s="63">
        <v>0</v>
      </c>
      <c r="CH1208" s="87">
        <v>13.1</v>
      </c>
      <c r="CI1208" s="26" t="s">
        <v>381</v>
      </c>
      <c r="CJ1208" s="18" t="s">
        <v>505</v>
      </c>
      <c r="CK1208" s="20"/>
    </row>
    <row r="1209" spans="1:89" x14ac:dyDescent="0.25">
      <c r="A1209" s="18" t="s">
        <v>505</v>
      </c>
      <c r="B1209" s="19" t="s">
        <v>482</v>
      </c>
      <c r="C1209" s="26" t="s">
        <v>383</v>
      </c>
      <c r="D1209" s="6">
        <v>3</v>
      </c>
      <c r="E1209" s="40" t="s">
        <v>83</v>
      </c>
      <c r="F1209" s="6">
        <v>3</v>
      </c>
      <c r="N1209" s="119">
        <v>4.1265474552957399E-3</v>
      </c>
      <c r="O1209" s="119">
        <v>4.1265474552957399E-3</v>
      </c>
      <c r="P1209" s="116" t="s">
        <v>83</v>
      </c>
      <c r="Q1209" s="116" t="s">
        <v>83</v>
      </c>
      <c r="R1209" s="119">
        <v>0</v>
      </c>
      <c r="S1209" s="119">
        <v>8.9686098654708502E-3</v>
      </c>
      <c r="T1209" s="119">
        <v>0</v>
      </c>
      <c r="U1209" s="119">
        <v>0</v>
      </c>
      <c r="V1209" s="119">
        <v>6.3291139240506302E-3</v>
      </c>
      <c r="W1209" s="6">
        <v>659</v>
      </c>
      <c r="X1209" s="40">
        <f t="shared" si="82"/>
        <v>659</v>
      </c>
      <c r="Y1209" s="40">
        <f t="shared" si="83"/>
        <v>659</v>
      </c>
      <c r="Z1209" s="59">
        <v>0.51749999999999996</v>
      </c>
      <c r="AA1209" s="59">
        <v>0.48249999999999998</v>
      </c>
      <c r="AB1209" s="61">
        <v>0</v>
      </c>
      <c r="AC1209" s="61">
        <v>7.2837632776934752E-2</v>
      </c>
      <c r="AD1209" s="61">
        <v>0.50227617602427921</v>
      </c>
      <c r="AE1209" s="61">
        <v>5.1593323216995446E-2</v>
      </c>
      <c r="AF1209" s="61">
        <v>0</v>
      </c>
      <c r="AG1209" s="61">
        <v>0.33990895295902884</v>
      </c>
      <c r="AH1209" s="61">
        <v>3.3383915022761758E-2</v>
      </c>
      <c r="AI1209" s="61">
        <v>0.66009104704097121</v>
      </c>
      <c r="AJ1209" s="59">
        <v>0.75570000000000004</v>
      </c>
      <c r="AK1209" s="59">
        <v>2.12E-2</v>
      </c>
      <c r="AL1209" s="3">
        <v>0</v>
      </c>
      <c r="AM1209" s="3">
        <v>0</v>
      </c>
      <c r="AN1209" s="3">
        <v>8</v>
      </c>
      <c r="AO1209" s="3">
        <v>189</v>
      </c>
      <c r="AP1209" s="3">
        <v>155</v>
      </c>
      <c r="AQ1209" s="3">
        <v>156</v>
      </c>
      <c r="AR1209" s="3">
        <v>151</v>
      </c>
      <c r="AS1209" s="59">
        <v>4.060913705583756E-2</v>
      </c>
      <c r="AT1209" s="3">
        <v>9</v>
      </c>
      <c r="AU1209" s="3">
        <v>6</v>
      </c>
      <c r="AV1209" s="49">
        <v>74.013921113689094</v>
      </c>
      <c r="AW1209" s="49">
        <v>16.705336426914201</v>
      </c>
      <c r="AX1209" s="49">
        <v>8.12064965197216</v>
      </c>
      <c r="AY1209" s="67">
        <v>1.16009280742459</v>
      </c>
      <c r="AZ1209" s="63">
        <v>0.31818181818181818</v>
      </c>
      <c r="BA1209" s="63">
        <v>0.15289256198347106</v>
      </c>
      <c r="BB1209" s="78">
        <v>93.176735798016196</v>
      </c>
      <c r="BC1209" s="49">
        <v>51.271753681392198</v>
      </c>
      <c r="BD1209" s="49"/>
      <c r="BE1209" s="49"/>
      <c r="BF1209" s="49"/>
      <c r="BG1209" s="49"/>
      <c r="BH1209" s="49"/>
      <c r="BI1209" s="49"/>
      <c r="BJ1209" s="88">
        <v>18.8</v>
      </c>
      <c r="BK1209" s="126">
        <v>10901</v>
      </c>
      <c r="BL1209" s="126">
        <v>50397</v>
      </c>
      <c r="BM1209" s="126">
        <v>54402</v>
      </c>
      <c r="BN1209" s="126">
        <v>39375</v>
      </c>
      <c r="BO1209" s="59">
        <v>3.5700000000000003E-2</v>
      </c>
      <c r="BP1209" s="63">
        <v>0.34360000000000002</v>
      </c>
      <c r="BQ1209" s="63">
        <v>0.14949999999999999</v>
      </c>
      <c r="BR1209" s="63">
        <v>0</v>
      </c>
      <c r="BS1209" s="63">
        <v>0</v>
      </c>
      <c r="BT1209" s="87">
        <v>16.2</v>
      </c>
      <c r="BU1209" s="59">
        <f t="shared" si="84"/>
        <v>0.52880000000000005</v>
      </c>
      <c r="BV1209" s="59">
        <v>2.3800000000000002E-2</v>
      </c>
      <c r="BW1209" s="63">
        <v>0</v>
      </c>
      <c r="BX1209" s="63">
        <v>2.35E-2</v>
      </c>
      <c r="BY1209" s="63">
        <v>0</v>
      </c>
      <c r="BZ1209" s="63">
        <v>1.1900000000000001E-2</v>
      </c>
      <c r="CA1209" s="87">
        <v>20.399999999999999</v>
      </c>
      <c r="CB1209" s="59">
        <f t="shared" si="85"/>
        <v>5.9200000000000003E-2</v>
      </c>
      <c r="CC1209" s="59">
        <v>0.40379999999999999</v>
      </c>
      <c r="CD1209" s="63">
        <v>0.37080000000000002</v>
      </c>
      <c r="CE1209" s="63">
        <v>0.2135</v>
      </c>
      <c r="CF1209" s="63">
        <v>0</v>
      </c>
      <c r="CG1209" s="63">
        <v>1.1900000000000001E-2</v>
      </c>
      <c r="CH1209" s="87">
        <v>14.4</v>
      </c>
      <c r="CI1209" s="26" t="s">
        <v>383</v>
      </c>
      <c r="CJ1209" s="18" t="s">
        <v>505</v>
      </c>
      <c r="CK1209" s="20"/>
    </row>
    <row r="1210" spans="1:89" x14ac:dyDescent="0.25">
      <c r="A1210" s="18" t="s">
        <v>505</v>
      </c>
      <c r="B1210" s="19" t="s">
        <v>482</v>
      </c>
      <c r="C1210" s="26" t="s">
        <v>384</v>
      </c>
      <c r="D1210" s="6">
        <v>0</v>
      </c>
      <c r="E1210" s="40" t="s">
        <v>83</v>
      </c>
      <c r="F1210" s="6">
        <v>0</v>
      </c>
      <c r="N1210" s="119">
        <v>0</v>
      </c>
      <c r="O1210" s="119">
        <v>0</v>
      </c>
      <c r="P1210" s="116" t="s">
        <v>83</v>
      </c>
      <c r="Q1210" s="116" t="s">
        <v>83</v>
      </c>
      <c r="R1210" s="119">
        <v>0</v>
      </c>
      <c r="S1210" s="119">
        <v>0</v>
      </c>
      <c r="T1210" s="119">
        <v>0</v>
      </c>
      <c r="U1210" s="119">
        <v>0</v>
      </c>
      <c r="V1210" s="119">
        <v>0</v>
      </c>
      <c r="W1210" s="6">
        <v>564</v>
      </c>
      <c r="X1210" s="40">
        <f t="shared" si="82"/>
        <v>564</v>
      </c>
      <c r="Y1210" s="40">
        <f t="shared" si="83"/>
        <v>564</v>
      </c>
      <c r="Z1210" s="59">
        <v>0.48759999999999998</v>
      </c>
      <c r="AA1210" s="59">
        <v>0.51239999999999997</v>
      </c>
      <c r="AB1210" s="61">
        <v>0</v>
      </c>
      <c r="AC1210" s="61">
        <v>2.6595744680851064E-2</v>
      </c>
      <c r="AD1210" s="61">
        <v>4.0780141843971635E-2</v>
      </c>
      <c r="AE1210" s="61">
        <v>1.4184397163120567E-2</v>
      </c>
      <c r="AF1210" s="61">
        <v>0</v>
      </c>
      <c r="AG1210" s="61">
        <v>0.90248226950354615</v>
      </c>
      <c r="AH1210" s="61">
        <v>1.5957446808510637E-2</v>
      </c>
      <c r="AI1210" s="61">
        <v>9.7517730496453903E-2</v>
      </c>
      <c r="AJ1210" s="59">
        <v>0.42730000000000001</v>
      </c>
      <c r="AK1210" s="59">
        <v>3.5000000000000001E-3</v>
      </c>
      <c r="AL1210" s="3">
        <v>0</v>
      </c>
      <c r="AM1210" s="3">
        <v>0</v>
      </c>
      <c r="AN1210" s="3">
        <v>7</v>
      </c>
      <c r="AO1210" s="3">
        <v>132</v>
      </c>
      <c r="AP1210" s="3">
        <v>149</v>
      </c>
      <c r="AQ1210" s="3">
        <v>130</v>
      </c>
      <c r="AR1210" s="3">
        <v>146</v>
      </c>
      <c r="AS1210" s="59">
        <v>5.0359712230215826E-2</v>
      </c>
      <c r="AT1210" s="3">
        <v>9</v>
      </c>
      <c r="AU1210" s="3">
        <v>6</v>
      </c>
      <c r="AV1210" s="49">
        <v>65.942028985507292</v>
      </c>
      <c r="AW1210" s="49">
        <v>25.7246376811594</v>
      </c>
      <c r="AX1210" s="49">
        <v>6.8840579710144905</v>
      </c>
      <c r="AY1210" s="67">
        <v>1.4492753623188401</v>
      </c>
      <c r="AZ1210" s="63">
        <v>0.1623931623931624</v>
      </c>
      <c r="BA1210" s="63">
        <v>5.8119658119658121E-2</v>
      </c>
      <c r="BB1210" s="77">
        <v>94.796003330557895</v>
      </c>
      <c r="BC1210" s="49">
        <v>50.255536626916502</v>
      </c>
      <c r="BD1210" s="49"/>
      <c r="BE1210" s="49"/>
      <c r="BF1210" s="49"/>
      <c r="BG1210" s="49"/>
      <c r="BH1210" s="49"/>
      <c r="BI1210" s="49"/>
      <c r="BJ1210" s="88">
        <v>20.5</v>
      </c>
      <c r="BK1210" s="126">
        <v>9862</v>
      </c>
      <c r="BL1210" s="126">
        <v>50523</v>
      </c>
      <c r="BM1210" s="126">
        <v>50789</v>
      </c>
      <c r="BN1210" s="126">
        <v>36434</v>
      </c>
      <c r="BO1210" s="59">
        <v>0</v>
      </c>
      <c r="BP1210" s="63">
        <v>0.32240000000000002</v>
      </c>
      <c r="BQ1210" s="63">
        <v>0.14560000000000001</v>
      </c>
      <c r="BR1210" s="63">
        <v>0</v>
      </c>
      <c r="BS1210" s="63">
        <v>0</v>
      </c>
      <c r="BT1210" s="87">
        <v>15.9</v>
      </c>
      <c r="BU1210" s="59">
        <f t="shared" si="84"/>
        <v>0.46800000000000003</v>
      </c>
      <c r="BV1210" s="59">
        <v>3.0099999999999998E-2</v>
      </c>
      <c r="BW1210" s="63">
        <v>0</v>
      </c>
      <c r="BX1210" s="63">
        <v>1.5100000000000001E-2</v>
      </c>
      <c r="BY1210" s="63">
        <v>1.5100000000000001E-2</v>
      </c>
      <c r="BZ1210" s="63">
        <v>0</v>
      </c>
      <c r="CA1210" s="87">
        <v>19.5</v>
      </c>
      <c r="CB1210" s="59">
        <f t="shared" si="85"/>
        <v>6.0299999999999999E-2</v>
      </c>
      <c r="CC1210" s="59">
        <v>0.42830000000000001</v>
      </c>
      <c r="CD1210" s="63">
        <v>0.37469999999999998</v>
      </c>
      <c r="CE1210" s="63">
        <v>0.182</v>
      </c>
      <c r="CF1210" s="63">
        <v>1.5100000000000001E-2</v>
      </c>
      <c r="CG1210" s="63">
        <v>0</v>
      </c>
      <c r="CH1210" s="87">
        <v>13.8</v>
      </c>
      <c r="CI1210" s="26" t="s">
        <v>384</v>
      </c>
      <c r="CJ1210" s="18" t="s">
        <v>505</v>
      </c>
      <c r="CK1210" s="20"/>
    </row>
    <row r="1211" spans="1:89" x14ac:dyDescent="0.25">
      <c r="A1211" s="18" t="s">
        <v>505</v>
      </c>
      <c r="B1211" s="19" t="s">
        <v>482</v>
      </c>
      <c r="C1211" s="26" t="s">
        <v>385</v>
      </c>
      <c r="D1211" s="6">
        <v>1</v>
      </c>
      <c r="E1211" s="6">
        <v>0</v>
      </c>
      <c r="F1211" s="6">
        <v>1</v>
      </c>
      <c r="N1211" s="119">
        <v>4.0983606557377103E-3</v>
      </c>
      <c r="O1211" s="119">
        <v>5.9171597633136102E-3</v>
      </c>
      <c r="P1211" s="119">
        <v>0</v>
      </c>
      <c r="Q1211" s="119">
        <v>0</v>
      </c>
      <c r="R1211" s="119">
        <v>0</v>
      </c>
      <c r="S1211" s="119">
        <v>0</v>
      </c>
      <c r="T1211" s="119">
        <v>2.27272727272727E-2</v>
      </c>
      <c r="U1211" s="119">
        <v>0</v>
      </c>
      <c r="V1211" s="119">
        <v>0</v>
      </c>
      <c r="W1211" s="6">
        <v>262</v>
      </c>
      <c r="X1211" s="40">
        <f t="shared" si="82"/>
        <v>162</v>
      </c>
      <c r="Y1211" s="40">
        <f t="shared" si="83"/>
        <v>230</v>
      </c>
      <c r="Z1211" s="59">
        <v>0.4733</v>
      </c>
      <c r="AA1211" s="59">
        <v>0.52669999999999995</v>
      </c>
      <c r="AB1211" s="61">
        <v>0</v>
      </c>
      <c r="AC1211" s="61">
        <v>0</v>
      </c>
      <c r="AD1211" s="61">
        <v>9.1603053435114504E-2</v>
      </c>
      <c r="AE1211" s="61">
        <v>0</v>
      </c>
      <c r="AF1211" s="61">
        <v>0</v>
      </c>
      <c r="AG1211" s="61">
        <v>0.88931297709923662</v>
      </c>
      <c r="AH1211" s="61">
        <v>1.9083969465648856E-2</v>
      </c>
      <c r="AI1211" s="61">
        <v>0.11068702290076336</v>
      </c>
      <c r="AJ1211" s="59">
        <v>0.59540000000000004</v>
      </c>
      <c r="AK1211" s="59">
        <v>0</v>
      </c>
      <c r="AL1211" s="3">
        <v>36</v>
      </c>
      <c r="AM1211" s="3">
        <v>32</v>
      </c>
      <c r="AN1211" s="3">
        <v>3</v>
      </c>
      <c r="AO1211" s="3">
        <v>37</v>
      </c>
      <c r="AP1211" s="3">
        <v>41</v>
      </c>
      <c r="AQ1211" s="3">
        <v>45</v>
      </c>
      <c r="AR1211" s="3">
        <v>36</v>
      </c>
      <c r="AS1211" s="59">
        <v>7.4999999999999997E-2</v>
      </c>
      <c r="AT1211" s="3">
        <v>6</v>
      </c>
      <c r="AU1211" s="3">
        <v>6</v>
      </c>
      <c r="AV1211" s="49">
        <v>93.301435406698602</v>
      </c>
      <c r="AW1211" s="49">
        <v>5.2631578947368398</v>
      </c>
      <c r="AX1211" s="49">
        <v>1.4354066985645901</v>
      </c>
      <c r="AY1211" s="67">
        <v>0</v>
      </c>
      <c r="AZ1211" s="63">
        <v>0.1111111111111111</v>
      </c>
      <c r="BA1211" s="63">
        <v>8.2437275985663083E-2</v>
      </c>
      <c r="BB1211" s="78">
        <v>93.371066334616302</v>
      </c>
      <c r="BC1211" s="49">
        <v>61.619718309859202</v>
      </c>
      <c r="BD1211" s="49"/>
      <c r="BE1211" s="49"/>
      <c r="BF1211" s="49"/>
      <c r="BG1211" s="49"/>
      <c r="BH1211" s="49"/>
      <c r="BI1211" s="49"/>
      <c r="BJ1211" s="88">
        <v>18.8</v>
      </c>
      <c r="BK1211" s="126">
        <v>12876</v>
      </c>
      <c r="BL1211" s="126">
        <v>50682</v>
      </c>
      <c r="BM1211" s="126">
        <v>55556</v>
      </c>
      <c r="BN1211" s="126">
        <v>39457</v>
      </c>
      <c r="BO1211" s="59">
        <v>0</v>
      </c>
      <c r="BP1211" s="63">
        <v>0.36499999999999999</v>
      </c>
      <c r="BQ1211" s="63">
        <v>0.1024</v>
      </c>
      <c r="BR1211" s="63">
        <v>2.29E-2</v>
      </c>
      <c r="BS1211" s="63">
        <v>0</v>
      </c>
      <c r="BT1211" s="87">
        <v>14.2</v>
      </c>
      <c r="BU1211" s="59">
        <f t="shared" si="84"/>
        <v>0.49029999999999996</v>
      </c>
      <c r="BV1211" s="59">
        <v>2.35E-2</v>
      </c>
      <c r="BW1211" s="63">
        <v>0</v>
      </c>
      <c r="BX1211" s="63">
        <v>4.6399999999999997E-2</v>
      </c>
      <c r="BY1211" s="63">
        <v>0</v>
      </c>
      <c r="BZ1211" s="63">
        <v>0</v>
      </c>
      <c r="CA1211" s="87">
        <v>15.7</v>
      </c>
      <c r="CB1211" s="59">
        <f t="shared" si="85"/>
        <v>6.989999999999999E-2</v>
      </c>
      <c r="CC1211" s="59">
        <v>0.39610000000000001</v>
      </c>
      <c r="CD1211" s="63">
        <v>0.39279999999999998</v>
      </c>
      <c r="CE1211" s="63">
        <v>0.18759999999999999</v>
      </c>
      <c r="CF1211" s="63">
        <v>2.35E-2</v>
      </c>
      <c r="CG1211" s="63">
        <v>0</v>
      </c>
      <c r="CH1211" s="87">
        <v>11.8</v>
      </c>
      <c r="CI1211" s="26" t="s">
        <v>385</v>
      </c>
      <c r="CJ1211" s="18" t="s">
        <v>505</v>
      </c>
      <c r="CK1211" s="20"/>
    </row>
    <row r="1212" spans="1:89" x14ac:dyDescent="0.25">
      <c r="A1212" s="18" t="s">
        <v>505</v>
      </c>
      <c r="B1212" s="19" t="s">
        <v>482</v>
      </c>
      <c r="C1212" s="26" t="s">
        <v>386</v>
      </c>
      <c r="D1212" s="6">
        <v>0</v>
      </c>
      <c r="E1212" s="40" t="s">
        <v>83</v>
      </c>
      <c r="F1212" s="6">
        <v>0</v>
      </c>
      <c r="N1212" s="119">
        <v>0</v>
      </c>
      <c r="O1212" s="119">
        <v>0</v>
      </c>
      <c r="P1212" s="116" t="s">
        <v>83</v>
      </c>
      <c r="Q1212" s="116" t="s">
        <v>83</v>
      </c>
      <c r="R1212" s="119">
        <v>0</v>
      </c>
      <c r="S1212" s="119">
        <v>0</v>
      </c>
      <c r="T1212" s="119">
        <v>0</v>
      </c>
      <c r="U1212" s="119">
        <v>0</v>
      </c>
      <c r="V1212" s="119">
        <v>0</v>
      </c>
      <c r="W1212" s="6">
        <v>525</v>
      </c>
      <c r="X1212" s="40">
        <f t="shared" si="82"/>
        <v>525</v>
      </c>
      <c r="Y1212" s="40">
        <f t="shared" si="83"/>
        <v>525</v>
      </c>
      <c r="Z1212" s="59">
        <v>0.4914</v>
      </c>
      <c r="AA1212" s="59">
        <v>0.50860000000000005</v>
      </c>
      <c r="AB1212" s="61">
        <v>1.9047619047619048E-3</v>
      </c>
      <c r="AC1212" s="61">
        <v>3.8095238095238095E-3</v>
      </c>
      <c r="AD1212" s="61">
        <v>9.9047619047619051E-2</v>
      </c>
      <c r="AE1212" s="61">
        <v>1.3333333333333334E-2</v>
      </c>
      <c r="AF1212" s="61">
        <v>0</v>
      </c>
      <c r="AG1212" s="61">
        <v>0.84761904761904761</v>
      </c>
      <c r="AH1212" s="61">
        <v>3.4285714285714287E-2</v>
      </c>
      <c r="AI1212" s="61">
        <v>0.15238095238095239</v>
      </c>
      <c r="AJ1212" s="59">
        <v>0.54290000000000005</v>
      </c>
      <c r="AK1212" s="59">
        <v>3.8E-3</v>
      </c>
      <c r="AL1212" s="3">
        <v>0</v>
      </c>
      <c r="AM1212" s="3">
        <v>0</v>
      </c>
      <c r="AN1212" s="3">
        <v>19</v>
      </c>
      <c r="AO1212" s="3">
        <v>123</v>
      </c>
      <c r="AP1212" s="3">
        <v>141</v>
      </c>
      <c r="AQ1212" s="3">
        <v>118</v>
      </c>
      <c r="AR1212" s="3">
        <v>124</v>
      </c>
      <c r="AS1212" s="59">
        <v>0.13380281690140844</v>
      </c>
      <c r="AT1212" s="3">
        <v>9</v>
      </c>
      <c r="AU1212" s="3">
        <v>6</v>
      </c>
      <c r="AV1212" s="49">
        <v>68.014705882352899</v>
      </c>
      <c r="AW1212" s="49">
        <v>23.897058823529399</v>
      </c>
      <c r="AX1212" s="49">
        <v>7.7205882352941195</v>
      </c>
      <c r="AY1212" s="67">
        <v>0.36764705882352899</v>
      </c>
      <c r="AZ1212" s="63">
        <v>9.9457504520795659E-2</v>
      </c>
      <c r="BA1212" s="63">
        <v>8.1374321880650996E-2</v>
      </c>
      <c r="BB1212" s="77">
        <v>93.497568318665998</v>
      </c>
      <c r="BC1212" s="49">
        <v>57.581227436823099</v>
      </c>
      <c r="BD1212" s="49"/>
      <c r="BE1212" s="49"/>
      <c r="BF1212" s="49"/>
      <c r="BG1212" s="49"/>
      <c r="BH1212" s="49"/>
      <c r="BI1212" s="49"/>
      <c r="BJ1212" s="88">
        <v>19.2</v>
      </c>
      <c r="BK1212" s="126">
        <v>9375</v>
      </c>
      <c r="BL1212" s="126">
        <v>49599</v>
      </c>
      <c r="BM1212" s="126">
        <v>49315</v>
      </c>
      <c r="BN1212" s="126">
        <v>41756</v>
      </c>
      <c r="BO1212" s="59">
        <v>0</v>
      </c>
      <c r="BP1212" s="63">
        <v>0.47760000000000002</v>
      </c>
      <c r="BQ1212" s="63">
        <v>0.1075</v>
      </c>
      <c r="BR1212" s="63">
        <v>1.9699999999999999E-2</v>
      </c>
      <c r="BS1212" s="63">
        <v>0</v>
      </c>
      <c r="BT1212" s="87">
        <v>13.3</v>
      </c>
      <c r="BU1212" s="59">
        <f t="shared" si="84"/>
        <v>0.60480000000000012</v>
      </c>
      <c r="BV1212" s="59">
        <v>3.04E-2</v>
      </c>
      <c r="BW1212" s="63">
        <v>9.7999999999999997E-3</v>
      </c>
      <c r="BX1212" s="63">
        <v>1.9699999999999999E-2</v>
      </c>
      <c r="BY1212" s="63">
        <v>0</v>
      </c>
      <c r="BZ1212" s="63">
        <v>1.9699999999999999E-2</v>
      </c>
      <c r="CA1212" s="87">
        <v>18.3</v>
      </c>
      <c r="CB1212" s="59">
        <f t="shared" si="85"/>
        <v>7.959999999999999E-2</v>
      </c>
      <c r="CC1212" s="59">
        <v>0.28599999999999998</v>
      </c>
      <c r="CD1212" s="63">
        <v>0.52300000000000002</v>
      </c>
      <c r="CE1212" s="63">
        <v>0.15160000000000001</v>
      </c>
      <c r="CF1212" s="63">
        <v>1.9699999999999999E-2</v>
      </c>
      <c r="CG1212" s="63">
        <v>1.9699999999999999E-2</v>
      </c>
      <c r="CH1212" s="87">
        <v>13</v>
      </c>
      <c r="CI1212" s="26" t="s">
        <v>386</v>
      </c>
      <c r="CJ1212" s="18" t="s">
        <v>505</v>
      </c>
      <c r="CK1212" s="20"/>
    </row>
    <row r="1213" spans="1:89" x14ac:dyDescent="0.25">
      <c r="A1213" s="18" t="s">
        <v>505</v>
      </c>
      <c r="B1213" s="19" t="s">
        <v>482</v>
      </c>
      <c r="C1213" s="26" t="s">
        <v>387</v>
      </c>
      <c r="D1213" s="6">
        <v>1</v>
      </c>
      <c r="E1213" s="40" t="s">
        <v>83</v>
      </c>
      <c r="F1213" s="6">
        <v>1</v>
      </c>
      <c r="N1213" s="119">
        <v>1.45772594752187E-3</v>
      </c>
      <c r="O1213" s="119">
        <v>1.45772594752187E-3</v>
      </c>
      <c r="P1213" s="116" t="s">
        <v>83</v>
      </c>
      <c r="Q1213" s="116" t="s">
        <v>83</v>
      </c>
      <c r="R1213" s="119">
        <v>0</v>
      </c>
      <c r="S1213" s="119">
        <v>0</v>
      </c>
      <c r="T1213" s="119">
        <v>0</v>
      </c>
      <c r="U1213" s="119">
        <v>0</v>
      </c>
      <c r="V1213" s="119">
        <v>6.5789473684210497E-3</v>
      </c>
      <c r="W1213" s="6">
        <v>663</v>
      </c>
      <c r="X1213" s="40">
        <f t="shared" si="82"/>
        <v>663</v>
      </c>
      <c r="Y1213" s="40">
        <f t="shared" si="83"/>
        <v>663</v>
      </c>
      <c r="Z1213" s="59">
        <v>0.52190000000000003</v>
      </c>
      <c r="AA1213" s="59">
        <v>0.47810000000000002</v>
      </c>
      <c r="AB1213" s="61">
        <v>1.5082956259426848E-3</v>
      </c>
      <c r="AC1213" s="61">
        <v>2.1116138763197588E-2</v>
      </c>
      <c r="AD1213" s="61">
        <v>9.6530920060331829E-2</v>
      </c>
      <c r="AE1213" s="61">
        <v>2.7149321266968326E-2</v>
      </c>
      <c r="AF1213" s="61">
        <v>0</v>
      </c>
      <c r="AG1213" s="61">
        <v>0.84012066365007543</v>
      </c>
      <c r="AH1213" s="61">
        <v>1.3574660633484163E-2</v>
      </c>
      <c r="AI1213" s="61">
        <v>0.15987933634992457</v>
      </c>
      <c r="AJ1213" s="59">
        <v>0.44340000000000002</v>
      </c>
      <c r="AK1213" s="59">
        <v>4.4999999999999997E-3</v>
      </c>
      <c r="AL1213" s="3">
        <v>0</v>
      </c>
      <c r="AM1213" s="3">
        <v>0</v>
      </c>
      <c r="AN1213" s="3">
        <v>3</v>
      </c>
      <c r="AO1213" s="3">
        <v>180</v>
      </c>
      <c r="AP1213" s="3">
        <v>173</v>
      </c>
      <c r="AQ1213" s="3">
        <v>159</v>
      </c>
      <c r="AR1213" s="3">
        <v>148</v>
      </c>
      <c r="AS1213" s="59">
        <v>1.6393442622950821E-2</v>
      </c>
      <c r="AT1213" s="3">
        <v>9</v>
      </c>
      <c r="AU1213" s="3">
        <v>6</v>
      </c>
      <c r="AV1213" s="49">
        <v>62.7986348122867</v>
      </c>
      <c r="AW1213" s="49">
        <v>23.890784982935202</v>
      </c>
      <c r="AX1213" s="49">
        <v>11.945392491467601</v>
      </c>
      <c r="AY1213" s="67">
        <v>1.3651877133105801</v>
      </c>
      <c r="AZ1213" s="63">
        <v>9.1970802919708022E-2</v>
      </c>
      <c r="BA1213" s="63">
        <v>6.2773722627737227E-2</v>
      </c>
      <c r="BB1213" s="78">
        <v>93.992092000615301</v>
      </c>
      <c r="BC1213" s="49">
        <v>53.285714285714299</v>
      </c>
      <c r="BD1213" s="49"/>
      <c r="BE1213" s="49"/>
      <c r="BF1213" s="49"/>
      <c r="BG1213" s="49"/>
      <c r="BH1213" s="49"/>
      <c r="BI1213" s="49"/>
      <c r="BJ1213" s="88">
        <v>20.9</v>
      </c>
      <c r="BK1213" s="126">
        <v>9358</v>
      </c>
      <c r="BL1213" s="126">
        <v>49513</v>
      </c>
      <c r="BM1213" s="126">
        <v>55020</v>
      </c>
      <c r="BN1213" s="126">
        <v>37700</v>
      </c>
      <c r="BO1213" s="59">
        <v>0</v>
      </c>
      <c r="BP1213" s="63">
        <v>0.34460000000000002</v>
      </c>
      <c r="BQ1213" s="63">
        <v>0.16239999999999999</v>
      </c>
      <c r="BR1213" s="63">
        <v>0</v>
      </c>
      <c r="BS1213" s="63">
        <v>1.3599999999999999E-2</v>
      </c>
      <c r="BT1213" s="87">
        <v>14.8</v>
      </c>
      <c r="BU1213" s="59">
        <f t="shared" si="84"/>
        <v>0.52059999999999995</v>
      </c>
      <c r="BV1213" s="59">
        <v>2.0899999999999998E-2</v>
      </c>
      <c r="BW1213" s="63">
        <v>0</v>
      </c>
      <c r="BX1213" s="63">
        <v>2.76E-2</v>
      </c>
      <c r="BY1213" s="63">
        <v>0</v>
      </c>
      <c r="BZ1213" s="63">
        <v>0</v>
      </c>
      <c r="CA1213" s="87">
        <v>24.4</v>
      </c>
      <c r="CB1213" s="59">
        <f t="shared" si="85"/>
        <v>4.8500000000000001E-2</v>
      </c>
      <c r="CC1213" s="59">
        <v>0.4103</v>
      </c>
      <c r="CD1213" s="63">
        <v>0.36480000000000001</v>
      </c>
      <c r="CE1213" s="63">
        <v>0.21099999999999999</v>
      </c>
      <c r="CF1213" s="63">
        <v>0</v>
      </c>
      <c r="CG1213" s="63">
        <v>1.4E-2</v>
      </c>
      <c r="CH1213" s="87">
        <v>13.1</v>
      </c>
      <c r="CI1213" s="26" t="s">
        <v>387</v>
      </c>
      <c r="CJ1213" s="18" t="s">
        <v>505</v>
      </c>
      <c r="CK1213" s="20"/>
    </row>
    <row r="1214" spans="1:89" x14ac:dyDescent="0.25">
      <c r="A1214" s="18" t="s">
        <v>505</v>
      </c>
      <c r="B1214" s="19" t="s">
        <v>388</v>
      </c>
      <c r="C1214" s="26" t="s">
        <v>389</v>
      </c>
      <c r="D1214" s="6">
        <v>0</v>
      </c>
      <c r="E1214" s="6">
        <v>0</v>
      </c>
      <c r="F1214" s="6">
        <v>0</v>
      </c>
      <c r="N1214" s="119">
        <v>0</v>
      </c>
      <c r="O1214" s="119">
        <v>0</v>
      </c>
      <c r="P1214" s="119">
        <v>0</v>
      </c>
      <c r="Q1214" s="119">
        <v>0</v>
      </c>
      <c r="R1214" s="116" t="s">
        <v>83</v>
      </c>
      <c r="S1214" s="119">
        <v>0</v>
      </c>
      <c r="T1214" s="119">
        <v>0</v>
      </c>
      <c r="U1214" s="119">
        <v>0</v>
      </c>
      <c r="V1214" s="119">
        <v>0</v>
      </c>
      <c r="W1214" s="6">
        <v>380</v>
      </c>
      <c r="X1214" s="40">
        <f t="shared" si="82"/>
        <v>227</v>
      </c>
      <c r="Y1214" s="40">
        <f t="shared" si="83"/>
        <v>380</v>
      </c>
      <c r="Z1214" s="59">
        <v>0.48159999999999997</v>
      </c>
      <c r="AA1214" s="59">
        <v>0.51839999999999997</v>
      </c>
      <c r="AB1214" s="61">
        <v>1.5789473684210527E-2</v>
      </c>
      <c r="AC1214" s="61">
        <v>7.8947368421052634E-3</v>
      </c>
      <c r="AD1214" s="61">
        <v>1.3157894736842105E-2</v>
      </c>
      <c r="AE1214" s="61">
        <v>4.736842105263158E-2</v>
      </c>
      <c r="AF1214" s="61">
        <v>0</v>
      </c>
      <c r="AG1214" s="61">
        <v>0.91052631578947374</v>
      </c>
      <c r="AH1214" s="61">
        <v>5.263157894736842E-3</v>
      </c>
      <c r="AI1214" s="61">
        <v>8.9473684210526316E-2</v>
      </c>
      <c r="AJ1214" s="59">
        <v>0.47889999999999999</v>
      </c>
      <c r="AK1214" s="59">
        <v>2.5999999999999999E-3</v>
      </c>
      <c r="AL1214" s="3">
        <v>83</v>
      </c>
      <c r="AM1214" s="3">
        <v>70</v>
      </c>
      <c r="AN1214" s="3">
        <v>0</v>
      </c>
      <c r="AO1214" s="3">
        <v>61</v>
      </c>
      <c r="AP1214" s="3">
        <v>59</v>
      </c>
      <c r="AQ1214" s="3">
        <v>57</v>
      </c>
      <c r="AR1214" s="3">
        <v>50</v>
      </c>
      <c r="AS1214" s="59">
        <v>0</v>
      </c>
      <c r="AT1214" s="3">
        <v>7</v>
      </c>
      <c r="AU1214" s="3">
        <v>6</v>
      </c>
      <c r="AV1214" s="49">
        <v>75.319148936170194</v>
      </c>
      <c r="AW1214" s="49">
        <v>17.021276595744698</v>
      </c>
      <c r="AX1214" s="49">
        <v>7.6595744680851103</v>
      </c>
      <c r="AY1214" s="67">
        <v>0</v>
      </c>
      <c r="AZ1214" s="63">
        <v>4.9261083743842365E-3</v>
      </c>
      <c r="BA1214" s="63">
        <v>9.8522167487684734E-2</v>
      </c>
      <c r="BB1214" s="77">
        <v>93.064302554662007</v>
      </c>
      <c r="BC1214" s="49">
        <v>63.054187192118199</v>
      </c>
      <c r="BD1214" s="49"/>
      <c r="BE1214" s="49"/>
      <c r="BF1214" s="49"/>
      <c r="BG1214" s="49"/>
      <c r="BH1214" s="49"/>
      <c r="BI1214" s="49"/>
      <c r="BJ1214" s="88">
        <v>22.9</v>
      </c>
      <c r="BK1214" s="126">
        <v>10952</v>
      </c>
      <c r="BL1214" s="126">
        <v>52837</v>
      </c>
      <c r="BM1214" s="126">
        <v>47812</v>
      </c>
      <c r="BN1214" s="126">
        <v>39827</v>
      </c>
      <c r="BO1214" s="59">
        <v>0</v>
      </c>
      <c r="BP1214" s="63">
        <v>0.31950000000000001</v>
      </c>
      <c r="BQ1214" s="63">
        <v>0.14449999999999999</v>
      </c>
      <c r="BR1214" s="63">
        <v>0</v>
      </c>
      <c r="BS1214" s="63">
        <v>0</v>
      </c>
      <c r="BT1214" s="87">
        <v>21.4</v>
      </c>
      <c r="BU1214" s="59">
        <f t="shared" si="84"/>
        <v>0.46399999999999997</v>
      </c>
      <c r="BV1214" s="59">
        <v>4.1300000000000003E-2</v>
      </c>
      <c r="BW1214" s="63">
        <v>0</v>
      </c>
      <c r="BX1214" s="63">
        <v>4.1300000000000003E-2</v>
      </c>
      <c r="BY1214" s="63">
        <v>0</v>
      </c>
      <c r="BZ1214" s="63">
        <v>0</v>
      </c>
      <c r="CA1214" s="87">
        <v>15.3</v>
      </c>
      <c r="CB1214" s="59">
        <f t="shared" si="85"/>
        <v>8.2600000000000007E-2</v>
      </c>
      <c r="CC1214" s="59">
        <v>0.43280000000000002</v>
      </c>
      <c r="CD1214" s="63">
        <v>0.36080000000000001</v>
      </c>
      <c r="CE1214" s="63">
        <v>0.2064</v>
      </c>
      <c r="CF1214" s="63">
        <v>0</v>
      </c>
      <c r="CG1214" s="63">
        <v>0</v>
      </c>
      <c r="CH1214" s="87">
        <v>19</v>
      </c>
      <c r="CI1214" s="26" t="s">
        <v>389</v>
      </c>
      <c r="CJ1214" s="18" t="s">
        <v>505</v>
      </c>
      <c r="CK1214" s="20"/>
    </row>
    <row r="1215" spans="1:89" x14ac:dyDescent="0.25">
      <c r="A1215" s="18" t="s">
        <v>505</v>
      </c>
      <c r="B1215" s="19" t="s">
        <v>388</v>
      </c>
      <c r="C1215" s="26" t="s">
        <v>390</v>
      </c>
      <c r="D1215" s="6">
        <v>1</v>
      </c>
      <c r="E1215" s="6">
        <v>0</v>
      </c>
      <c r="F1215" s="6">
        <v>1</v>
      </c>
      <c r="N1215" s="119">
        <v>5.74712643678161E-3</v>
      </c>
      <c r="O1215" s="119">
        <v>9.0909090909090905E-3</v>
      </c>
      <c r="P1215" s="119">
        <v>0</v>
      </c>
      <c r="Q1215" s="119">
        <v>0</v>
      </c>
      <c r="R1215" s="116" t="s">
        <v>83</v>
      </c>
      <c r="S1215" s="119">
        <v>0</v>
      </c>
      <c r="T1215" s="119">
        <v>0</v>
      </c>
      <c r="U1215" s="119">
        <v>3.125E-2</v>
      </c>
      <c r="V1215" s="119">
        <v>0</v>
      </c>
      <c r="W1215" s="6">
        <v>391</v>
      </c>
      <c r="X1215" s="40">
        <f t="shared" si="82"/>
        <v>103</v>
      </c>
      <c r="Y1215" s="40">
        <f t="shared" si="83"/>
        <v>161</v>
      </c>
      <c r="Z1215" s="59">
        <v>0.50380000000000003</v>
      </c>
      <c r="AA1215" s="59">
        <v>0.49619999999999997</v>
      </c>
      <c r="AB1215" s="61">
        <v>1.5345268542199489E-2</v>
      </c>
      <c r="AC1215" s="61">
        <v>0</v>
      </c>
      <c r="AD1215" s="61">
        <v>5.1150895140664966E-3</v>
      </c>
      <c r="AE1215" s="61">
        <v>1.278772378516624E-2</v>
      </c>
      <c r="AF1215" s="61">
        <v>2.5575447570332483E-3</v>
      </c>
      <c r="AG1215" s="61">
        <v>0.95907928388746799</v>
      </c>
      <c r="AH1215" s="61">
        <v>5.1150895140664966E-3</v>
      </c>
      <c r="AI1215" s="61">
        <v>4.0920716112531973E-2</v>
      </c>
      <c r="AJ1215" s="59">
        <v>0.68799999999999994</v>
      </c>
      <c r="AK1215" s="59">
        <v>0</v>
      </c>
      <c r="AL1215" s="3">
        <v>29</v>
      </c>
      <c r="AM1215" s="3">
        <v>29</v>
      </c>
      <c r="AN1215" s="3">
        <v>0</v>
      </c>
      <c r="AO1215" s="3">
        <v>28</v>
      </c>
      <c r="AP1215" s="3">
        <v>25</v>
      </c>
      <c r="AQ1215" s="3">
        <v>28</v>
      </c>
      <c r="AR1215" s="3">
        <v>22</v>
      </c>
      <c r="AS1215" s="59">
        <v>0</v>
      </c>
      <c r="AT1215" s="3">
        <v>1</v>
      </c>
      <c r="AU1215" s="3">
        <v>6</v>
      </c>
      <c r="AV1215" s="49">
        <v>78.350515463917503</v>
      </c>
      <c r="AW1215" s="49">
        <v>10.3092783505155</v>
      </c>
      <c r="AX1215" s="49">
        <v>9.7938144329896915</v>
      </c>
      <c r="AY1215" s="67">
        <v>1.5463917525773201</v>
      </c>
      <c r="AZ1215" s="63">
        <v>0</v>
      </c>
      <c r="BA1215" s="63">
        <v>5.7142857142857141E-2</v>
      </c>
      <c r="BB1215" s="78">
        <v>93.961956521739097</v>
      </c>
      <c r="BC1215" s="49">
        <v>64.938271604938294</v>
      </c>
      <c r="BD1215" s="49"/>
      <c r="BE1215" s="49"/>
      <c r="BF1215" s="49"/>
      <c r="BG1215" s="49"/>
      <c r="BH1215" s="49"/>
      <c r="BI1215" s="49"/>
      <c r="BJ1215" s="88">
        <v>21.9</v>
      </c>
      <c r="BK1215" s="126">
        <v>11848</v>
      </c>
      <c r="BL1215" s="126">
        <v>48893</v>
      </c>
      <c r="BM1215" s="126">
        <v>52853</v>
      </c>
      <c r="BN1215" s="126">
        <v>38416</v>
      </c>
      <c r="BO1215" s="59">
        <v>0</v>
      </c>
      <c r="BP1215" s="63">
        <v>0.31559999999999999</v>
      </c>
      <c r="BQ1215" s="63">
        <v>0.18820000000000001</v>
      </c>
      <c r="BR1215" s="63">
        <v>0</v>
      </c>
      <c r="BS1215" s="63">
        <v>0</v>
      </c>
      <c r="BT1215" s="87">
        <v>11.8</v>
      </c>
      <c r="BU1215" s="59">
        <f t="shared" si="84"/>
        <v>0.50380000000000003</v>
      </c>
      <c r="BV1215" s="59">
        <v>3.4200000000000001E-2</v>
      </c>
      <c r="BW1215" s="63">
        <v>0</v>
      </c>
      <c r="BX1215" s="63">
        <v>5.1299999999999998E-2</v>
      </c>
      <c r="BY1215" s="63">
        <v>0</v>
      </c>
      <c r="BZ1215" s="63">
        <v>0</v>
      </c>
      <c r="CA1215" s="87">
        <v>20</v>
      </c>
      <c r="CB1215" s="59">
        <f t="shared" si="85"/>
        <v>8.5499999999999993E-2</v>
      </c>
      <c r="CC1215" s="59">
        <v>0.41060000000000002</v>
      </c>
      <c r="CD1215" s="63">
        <v>0.33279999999999998</v>
      </c>
      <c r="CE1215" s="63">
        <v>0.25659999999999999</v>
      </c>
      <c r="CF1215" s="63">
        <v>0</v>
      </c>
      <c r="CG1215" s="63">
        <v>0</v>
      </c>
      <c r="CH1215" s="87">
        <v>12.3</v>
      </c>
      <c r="CI1215" s="26" t="s">
        <v>390</v>
      </c>
      <c r="CJ1215" s="18" t="s">
        <v>505</v>
      </c>
      <c r="CK1215" s="20"/>
    </row>
    <row r="1216" spans="1:89" x14ac:dyDescent="0.25">
      <c r="A1216" s="18" t="s">
        <v>505</v>
      </c>
      <c r="B1216" s="19" t="s">
        <v>388</v>
      </c>
      <c r="C1216" s="26" t="s">
        <v>391</v>
      </c>
      <c r="D1216" s="6">
        <v>0</v>
      </c>
      <c r="E1216" s="6">
        <v>0</v>
      </c>
      <c r="F1216" s="6">
        <v>0</v>
      </c>
      <c r="N1216" s="119">
        <v>0</v>
      </c>
      <c r="O1216" s="119">
        <v>0</v>
      </c>
      <c r="P1216" s="119">
        <v>0</v>
      </c>
      <c r="Q1216" s="119">
        <v>0</v>
      </c>
      <c r="R1216" s="116" t="s">
        <v>83</v>
      </c>
      <c r="S1216" s="119">
        <v>0</v>
      </c>
      <c r="T1216" s="119">
        <v>0</v>
      </c>
      <c r="U1216" s="119">
        <v>0</v>
      </c>
      <c r="V1216" s="119">
        <v>0</v>
      </c>
      <c r="W1216" s="6">
        <v>363</v>
      </c>
      <c r="X1216" s="40">
        <f t="shared" si="82"/>
        <v>107</v>
      </c>
      <c r="Y1216" s="40">
        <f t="shared" si="83"/>
        <v>160</v>
      </c>
      <c r="Z1216" s="59">
        <v>0.50409999999999999</v>
      </c>
      <c r="AA1216" s="59">
        <v>0.49590000000000001</v>
      </c>
      <c r="AB1216" s="61">
        <v>8.2644628099173556E-3</v>
      </c>
      <c r="AC1216" s="61">
        <v>0</v>
      </c>
      <c r="AD1216" s="61">
        <v>5.5096418732782371E-3</v>
      </c>
      <c r="AE1216" s="61">
        <v>2.4793388429752067E-2</v>
      </c>
      <c r="AF1216" s="61">
        <v>0</v>
      </c>
      <c r="AG1216" s="61">
        <v>0.95867768595041325</v>
      </c>
      <c r="AH1216" s="61">
        <v>2.7548209366391185E-3</v>
      </c>
      <c r="AI1216" s="61">
        <v>4.1322314049586778E-2</v>
      </c>
      <c r="AJ1216" s="59">
        <v>0.55369999999999997</v>
      </c>
      <c r="AK1216" s="59">
        <v>8.3000000000000001E-3</v>
      </c>
      <c r="AL1216" s="3">
        <v>23</v>
      </c>
      <c r="AM1216" s="3">
        <v>30</v>
      </c>
      <c r="AN1216" s="3">
        <v>0</v>
      </c>
      <c r="AO1216" s="3">
        <v>25</v>
      </c>
      <c r="AP1216" s="3">
        <v>30</v>
      </c>
      <c r="AQ1216" s="3">
        <v>22</v>
      </c>
      <c r="AR1216" s="3">
        <v>30</v>
      </c>
      <c r="AS1216" s="59">
        <v>0</v>
      </c>
      <c r="AT1216" s="3">
        <v>1</v>
      </c>
      <c r="AU1216" s="3">
        <v>6</v>
      </c>
      <c r="AV1216" s="49">
        <v>66.850828729281801</v>
      </c>
      <c r="AW1216" s="49">
        <v>20.441988950276198</v>
      </c>
      <c r="AX1216" s="49">
        <v>12.707182320442001</v>
      </c>
      <c r="AY1216" s="67">
        <v>0</v>
      </c>
      <c r="AZ1216" s="63">
        <v>2.7638190954773871E-2</v>
      </c>
      <c r="BA1216" s="63">
        <v>4.2713567839195977E-2</v>
      </c>
      <c r="BB1216" s="77">
        <v>93.583958670525007</v>
      </c>
      <c r="BC1216" s="49">
        <v>65.183246073298406</v>
      </c>
      <c r="BD1216" s="49"/>
      <c r="BE1216" s="49"/>
      <c r="BF1216" s="49"/>
      <c r="BG1216" s="49"/>
      <c r="BH1216" s="49"/>
      <c r="BI1216" s="49"/>
      <c r="BJ1216" s="88">
        <v>19.600000000000001</v>
      </c>
      <c r="BK1216" s="126">
        <v>11194</v>
      </c>
      <c r="BL1216" s="126">
        <v>50734</v>
      </c>
      <c r="BM1216" s="126">
        <v>49392</v>
      </c>
      <c r="BN1216" s="126">
        <v>36672</v>
      </c>
      <c r="BO1216" s="59">
        <v>0</v>
      </c>
      <c r="BP1216" s="63">
        <v>0.37769999999999998</v>
      </c>
      <c r="BQ1216" s="63">
        <v>5.67E-2</v>
      </c>
      <c r="BR1216" s="63">
        <v>1.89E-2</v>
      </c>
      <c r="BS1216" s="63">
        <v>0</v>
      </c>
      <c r="BT1216" s="87">
        <v>16.5</v>
      </c>
      <c r="BU1216" s="59">
        <f t="shared" si="84"/>
        <v>0.45330000000000004</v>
      </c>
      <c r="BV1216" s="59">
        <v>3.6999999999999998E-2</v>
      </c>
      <c r="BW1216" s="63">
        <v>0</v>
      </c>
      <c r="BX1216" s="63">
        <v>3.78E-2</v>
      </c>
      <c r="BY1216" s="63">
        <v>0</v>
      </c>
      <c r="BZ1216" s="63">
        <v>0</v>
      </c>
      <c r="CA1216" s="87">
        <v>25.7</v>
      </c>
      <c r="CB1216" s="59">
        <f t="shared" si="85"/>
        <v>7.4800000000000005E-2</v>
      </c>
      <c r="CC1216" s="59">
        <v>0.47110000000000002</v>
      </c>
      <c r="CD1216" s="63">
        <v>0.39660000000000001</v>
      </c>
      <c r="CE1216" s="63">
        <v>0.1134</v>
      </c>
      <c r="CF1216" s="63">
        <v>1.89E-2</v>
      </c>
      <c r="CG1216" s="63">
        <v>0</v>
      </c>
      <c r="CH1216" s="87">
        <v>16.2</v>
      </c>
      <c r="CI1216" s="26" t="s">
        <v>391</v>
      </c>
      <c r="CJ1216" s="18" t="s">
        <v>505</v>
      </c>
      <c r="CK1216" s="20"/>
    </row>
    <row r="1217" spans="1:89" x14ac:dyDescent="0.25">
      <c r="A1217" s="18" t="s">
        <v>505</v>
      </c>
      <c r="B1217" s="19" t="s">
        <v>388</v>
      </c>
      <c r="C1217" s="26" t="s">
        <v>392</v>
      </c>
      <c r="D1217" s="6">
        <v>0</v>
      </c>
      <c r="E1217" s="6">
        <v>0</v>
      </c>
      <c r="F1217" s="6">
        <v>0</v>
      </c>
      <c r="N1217" s="119">
        <v>0</v>
      </c>
      <c r="O1217" s="119">
        <v>0</v>
      </c>
      <c r="P1217" s="119">
        <v>0</v>
      </c>
      <c r="Q1217" s="119">
        <v>0</v>
      </c>
      <c r="R1217" s="116" t="s">
        <v>83</v>
      </c>
      <c r="S1217" s="119">
        <v>0</v>
      </c>
      <c r="T1217" s="119">
        <v>0</v>
      </c>
      <c r="U1217" s="119">
        <v>0</v>
      </c>
      <c r="V1217" s="119">
        <v>0</v>
      </c>
      <c r="W1217" s="6">
        <v>365</v>
      </c>
      <c r="X1217" s="40">
        <f t="shared" si="82"/>
        <v>106</v>
      </c>
      <c r="Y1217" s="40">
        <f t="shared" si="83"/>
        <v>153</v>
      </c>
      <c r="Z1217" s="59">
        <v>0.46029999999999999</v>
      </c>
      <c r="AA1217" s="59">
        <v>0.53969999999999996</v>
      </c>
      <c r="AB1217" s="61">
        <v>2.4657534246575342E-2</v>
      </c>
      <c r="AC1217" s="61">
        <v>0</v>
      </c>
      <c r="AD1217" s="61">
        <v>0</v>
      </c>
      <c r="AE1217" s="61">
        <v>2.4657534246575342E-2</v>
      </c>
      <c r="AF1217" s="61">
        <v>2.7397260273972603E-3</v>
      </c>
      <c r="AG1217" s="61">
        <v>0.94794520547945205</v>
      </c>
      <c r="AH1217" s="61">
        <v>0</v>
      </c>
      <c r="AI1217" s="61">
        <v>5.2054794520547946E-2</v>
      </c>
      <c r="AJ1217" s="59">
        <v>0.55889999999999995</v>
      </c>
      <c r="AK1217" s="59">
        <v>0</v>
      </c>
      <c r="AL1217" s="3">
        <v>31</v>
      </c>
      <c r="AM1217" s="3">
        <v>16</v>
      </c>
      <c r="AN1217" s="3">
        <v>0</v>
      </c>
      <c r="AO1217" s="3">
        <v>29</v>
      </c>
      <c r="AP1217" s="3">
        <v>22</v>
      </c>
      <c r="AQ1217" s="3">
        <v>22</v>
      </c>
      <c r="AR1217" s="3">
        <v>33</v>
      </c>
      <c r="AS1217" s="59">
        <v>0</v>
      </c>
      <c r="AT1217" s="3">
        <v>1</v>
      </c>
      <c r="AU1217" s="3">
        <v>6</v>
      </c>
      <c r="AV1217" s="49">
        <v>87.570621468926603</v>
      </c>
      <c r="AW1217" s="49">
        <v>7.9096045197740104</v>
      </c>
      <c r="AX1217" s="49">
        <v>4.5197740112994396</v>
      </c>
      <c r="AY1217" s="67">
        <v>0</v>
      </c>
      <c r="AZ1217" s="63">
        <v>8.6538461538461536E-2</v>
      </c>
      <c r="BA1217" s="63">
        <v>0.10336538461538461</v>
      </c>
      <c r="BB1217" s="78">
        <v>91.495475967617494</v>
      </c>
      <c r="BC1217" s="49">
        <v>79.336734693877602</v>
      </c>
      <c r="BD1217" s="49"/>
      <c r="BE1217" s="49"/>
      <c r="BF1217" s="49"/>
      <c r="BG1217" s="49"/>
      <c r="BH1217" s="49"/>
      <c r="BI1217" s="49"/>
      <c r="BJ1217" s="88">
        <v>19.5</v>
      </c>
      <c r="BK1217" s="126">
        <v>12207</v>
      </c>
      <c r="BL1217" s="126">
        <v>50197</v>
      </c>
      <c r="BM1217" s="126">
        <v>46872</v>
      </c>
      <c r="BN1217" s="126">
        <v>40097</v>
      </c>
      <c r="BO1217" s="59">
        <v>0</v>
      </c>
      <c r="BP1217" s="63">
        <v>0.3987</v>
      </c>
      <c r="BQ1217" s="63">
        <v>0.12690000000000001</v>
      </c>
      <c r="BR1217" s="63">
        <v>0</v>
      </c>
      <c r="BS1217" s="63">
        <v>0</v>
      </c>
      <c r="BT1217" s="87">
        <v>14.9</v>
      </c>
      <c r="BU1217" s="59">
        <f t="shared" si="84"/>
        <v>0.52560000000000007</v>
      </c>
      <c r="BV1217" s="59">
        <v>3.6299999999999999E-2</v>
      </c>
      <c r="BW1217" s="63">
        <v>0</v>
      </c>
      <c r="BX1217" s="63">
        <v>3.6299999999999999E-2</v>
      </c>
      <c r="BY1217" s="63">
        <v>0</v>
      </c>
      <c r="BZ1217" s="63">
        <v>0</v>
      </c>
      <c r="CA1217" s="87">
        <v>21</v>
      </c>
      <c r="CB1217" s="59">
        <f t="shared" si="85"/>
        <v>7.2599999999999998E-2</v>
      </c>
      <c r="CC1217" s="59">
        <v>0.39029999999999998</v>
      </c>
      <c r="CD1217" s="63">
        <v>0.4284</v>
      </c>
      <c r="CE1217" s="63">
        <v>0.18129999999999999</v>
      </c>
      <c r="CF1217" s="63">
        <v>0</v>
      </c>
      <c r="CG1217" s="63">
        <v>0</v>
      </c>
      <c r="CH1217" s="87">
        <v>15.8</v>
      </c>
      <c r="CI1217" s="26" t="s">
        <v>392</v>
      </c>
      <c r="CJ1217" s="18" t="s">
        <v>505</v>
      </c>
      <c r="CK1217" s="20"/>
    </row>
    <row r="1218" spans="1:89" x14ac:dyDescent="0.25">
      <c r="A1218" s="18" t="s">
        <v>505</v>
      </c>
      <c r="B1218" s="19" t="s">
        <v>388</v>
      </c>
      <c r="C1218" s="26" t="s">
        <v>393</v>
      </c>
      <c r="D1218" s="6">
        <v>11</v>
      </c>
      <c r="E1218" s="40" t="s">
        <v>83</v>
      </c>
      <c r="F1218" s="6">
        <v>11</v>
      </c>
      <c r="N1218" s="119">
        <v>1.3732833957553099E-2</v>
      </c>
      <c r="O1218" s="119">
        <v>1.3732833957553099E-2</v>
      </c>
      <c r="P1218" s="116" t="s">
        <v>83</v>
      </c>
      <c r="Q1218" s="116" t="s">
        <v>83</v>
      </c>
      <c r="R1218" s="119">
        <v>0</v>
      </c>
      <c r="S1218" s="119">
        <v>4.8309178743961402E-3</v>
      </c>
      <c r="T1218" s="119">
        <v>1.44230769230769E-2</v>
      </c>
      <c r="U1218" s="119">
        <v>1.44230769230769E-2</v>
      </c>
      <c r="V1218" s="119">
        <v>2.2471910112359599E-2</v>
      </c>
      <c r="W1218" s="6">
        <v>718</v>
      </c>
      <c r="X1218" s="40">
        <f t="shared" si="82"/>
        <v>718</v>
      </c>
      <c r="Y1218" s="40">
        <f t="shared" si="83"/>
        <v>718</v>
      </c>
      <c r="Z1218" s="59">
        <v>0.49299999999999999</v>
      </c>
      <c r="AA1218" s="59">
        <v>0.50700000000000001</v>
      </c>
      <c r="AB1218" s="61">
        <v>5.5710306406685237E-3</v>
      </c>
      <c r="AC1218" s="61">
        <v>1.8105849582172703E-2</v>
      </c>
      <c r="AD1218" s="61">
        <v>0.37186629526462395</v>
      </c>
      <c r="AE1218" s="61">
        <v>9.7493036211699163E-2</v>
      </c>
      <c r="AF1218" s="61">
        <v>1.1142061281337047E-2</v>
      </c>
      <c r="AG1218" s="61">
        <v>0.43732590529247911</v>
      </c>
      <c r="AH1218" s="61">
        <v>5.8495821727019497E-2</v>
      </c>
      <c r="AI1218" s="61">
        <v>0.56267409470752094</v>
      </c>
      <c r="AJ1218" s="59">
        <v>0.49159999999999998</v>
      </c>
      <c r="AK1218" s="59">
        <v>1.11E-2</v>
      </c>
      <c r="AL1218" s="3">
        <v>0</v>
      </c>
      <c r="AM1218" s="3">
        <v>0</v>
      </c>
      <c r="AN1218" s="3">
        <v>2</v>
      </c>
      <c r="AO1218" s="3">
        <v>182</v>
      </c>
      <c r="AP1218" s="3">
        <v>187</v>
      </c>
      <c r="AQ1218" s="3">
        <v>186</v>
      </c>
      <c r="AR1218" s="3">
        <v>161</v>
      </c>
      <c r="AS1218" s="59">
        <v>1.0869565217391304E-2</v>
      </c>
      <c r="AT1218" s="3">
        <v>9</v>
      </c>
      <c r="AU1218" s="3">
        <v>6</v>
      </c>
      <c r="AV1218" s="49">
        <v>69.154228855721399</v>
      </c>
      <c r="AW1218" s="49">
        <v>19.6517412935323</v>
      </c>
      <c r="AX1218" s="49">
        <v>11.194029850746299</v>
      </c>
      <c r="AY1218" s="67">
        <v>0</v>
      </c>
      <c r="AZ1218" s="63">
        <v>0.13190954773869346</v>
      </c>
      <c r="BA1218" s="63">
        <v>0.15326633165829145</v>
      </c>
      <c r="BB1218" s="77">
        <v>92.112113120728196</v>
      </c>
      <c r="BC1218" s="49">
        <v>66.75</v>
      </c>
      <c r="BD1218" s="49"/>
      <c r="BE1218" s="49"/>
      <c r="BF1218" s="49"/>
      <c r="BG1218" s="49"/>
      <c r="BH1218" s="49"/>
      <c r="BI1218" s="49"/>
      <c r="BJ1218" s="88">
        <v>19.5</v>
      </c>
      <c r="BK1218" s="126">
        <v>10400</v>
      </c>
      <c r="BL1218" s="126">
        <v>49551</v>
      </c>
      <c r="BM1218" s="126">
        <v>44859</v>
      </c>
      <c r="BN1218" s="126">
        <v>42038</v>
      </c>
      <c r="BO1218" s="59">
        <v>1.23E-2</v>
      </c>
      <c r="BP1218" s="63">
        <v>0.42099999999999999</v>
      </c>
      <c r="BQ1218" s="63">
        <v>0.20799999999999999</v>
      </c>
      <c r="BR1218" s="63">
        <v>0</v>
      </c>
      <c r="BS1218" s="63">
        <v>0</v>
      </c>
      <c r="BT1218" s="87">
        <v>12.3</v>
      </c>
      <c r="BU1218" s="59">
        <f t="shared" si="84"/>
        <v>0.64129999999999998</v>
      </c>
      <c r="BV1218" s="59">
        <v>3.6700000000000003E-2</v>
      </c>
      <c r="BW1218" s="63">
        <v>2.4500000000000001E-2</v>
      </c>
      <c r="BX1218" s="63">
        <v>2.4500000000000001E-2</v>
      </c>
      <c r="BY1218" s="63">
        <v>0</v>
      </c>
      <c r="BZ1218" s="63">
        <v>0</v>
      </c>
      <c r="CA1218" s="87">
        <v>17.8</v>
      </c>
      <c r="CB1218" s="59">
        <f t="shared" si="85"/>
        <v>8.5699999999999998E-2</v>
      </c>
      <c r="CC1218" s="59">
        <v>0.26090000000000002</v>
      </c>
      <c r="CD1218" s="63">
        <v>0.49409999999999998</v>
      </c>
      <c r="CE1218" s="63">
        <v>0.245</v>
      </c>
      <c r="CF1218" s="63">
        <v>0</v>
      </c>
      <c r="CG1218" s="63">
        <v>0</v>
      </c>
      <c r="CH1218" s="87">
        <v>13.3</v>
      </c>
      <c r="CI1218" s="26" t="s">
        <v>393</v>
      </c>
      <c r="CJ1218" s="18" t="s">
        <v>505</v>
      </c>
      <c r="CK1218" s="20"/>
    </row>
    <row r="1219" spans="1:89" x14ac:dyDescent="0.25">
      <c r="A1219" s="18" t="s">
        <v>505</v>
      </c>
      <c r="B1219" s="19" t="s">
        <v>388</v>
      </c>
      <c r="C1219" s="26" t="s">
        <v>394</v>
      </c>
      <c r="D1219" s="6">
        <v>10</v>
      </c>
      <c r="E1219" s="6">
        <v>2</v>
      </c>
      <c r="F1219" s="6">
        <v>8</v>
      </c>
      <c r="N1219" s="119">
        <v>1.7543859649122799E-2</v>
      </c>
      <c r="O1219" s="119">
        <v>2.1857923497267801E-2</v>
      </c>
      <c r="P1219" s="119">
        <v>1.6129032258064498E-2</v>
      </c>
      <c r="Q1219" s="119">
        <v>0</v>
      </c>
      <c r="R1219" s="119">
        <v>0</v>
      </c>
      <c r="S1219" s="119">
        <v>2.06185567010309E-2</v>
      </c>
      <c r="T1219" s="119">
        <v>1.21951219512195E-2</v>
      </c>
      <c r="U1219" s="119">
        <v>2.2471910112359599E-2</v>
      </c>
      <c r="V1219" s="119">
        <v>3.3333333333333298E-2</v>
      </c>
      <c r="W1219" s="6">
        <v>502</v>
      </c>
      <c r="X1219" s="40">
        <f t="shared" ref="X1219:X1277" si="86">SUM(AN1219:AR1219)</f>
        <v>323</v>
      </c>
      <c r="Y1219" s="40">
        <f t="shared" ref="Y1219:Y1277" si="87">SUM(AL1219:AR1219)</f>
        <v>502</v>
      </c>
      <c r="Z1219" s="59">
        <v>0.49</v>
      </c>
      <c r="AA1219" s="59">
        <v>0.51</v>
      </c>
      <c r="AB1219" s="61">
        <v>5.9760956175298804E-3</v>
      </c>
      <c r="AC1219" s="61">
        <v>7.9681274900398405E-3</v>
      </c>
      <c r="AD1219" s="61">
        <v>0.2151394422310757</v>
      </c>
      <c r="AE1219" s="61">
        <v>0.11752988047808766</v>
      </c>
      <c r="AF1219" s="61">
        <v>1.3944223107569721E-2</v>
      </c>
      <c r="AG1219" s="61">
        <v>0.54581673306772904</v>
      </c>
      <c r="AH1219" s="61">
        <v>9.3625498007968128E-2</v>
      </c>
      <c r="AI1219" s="61">
        <v>0.4541832669322709</v>
      </c>
      <c r="AJ1219" s="59">
        <v>0.52790000000000004</v>
      </c>
      <c r="AK1219" s="59">
        <v>6.0000000000000001E-3</v>
      </c>
      <c r="AL1219" s="3">
        <v>112</v>
      </c>
      <c r="AM1219" s="3">
        <v>67</v>
      </c>
      <c r="AN1219" s="3">
        <v>9</v>
      </c>
      <c r="AO1219" s="3">
        <v>82</v>
      </c>
      <c r="AP1219" s="3">
        <v>76</v>
      </c>
      <c r="AQ1219" s="3">
        <v>82</v>
      </c>
      <c r="AR1219" s="3">
        <v>74</v>
      </c>
      <c r="AS1219" s="59">
        <v>9.8901098901098897E-2</v>
      </c>
      <c r="AT1219" s="3">
        <v>7</v>
      </c>
      <c r="AU1219" s="3">
        <v>6</v>
      </c>
      <c r="AV1219" s="49">
        <v>70.748299319727906</v>
      </c>
      <c r="AW1219" s="49">
        <v>19.387755102040799</v>
      </c>
      <c r="AX1219" s="49">
        <v>9.5238095238095202</v>
      </c>
      <c r="AY1219" s="67">
        <v>0.34013605442176897</v>
      </c>
      <c r="AZ1219" s="63">
        <v>0.12676056338028169</v>
      </c>
      <c r="BA1219" s="63">
        <v>0.14436619718309859</v>
      </c>
      <c r="BB1219" s="78">
        <v>92.136297609375404</v>
      </c>
      <c r="BC1219" s="49">
        <v>61.335676625659097</v>
      </c>
      <c r="BD1219" s="49"/>
      <c r="BE1219" s="49"/>
      <c r="BF1219" s="49"/>
      <c r="BG1219" s="49"/>
      <c r="BH1219" s="49"/>
      <c r="BI1219" s="49"/>
      <c r="BJ1219" s="88">
        <v>18.100000000000001</v>
      </c>
      <c r="BK1219" s="126">
        <v>10310</v>
      </c>
      <c r="BL1219" s="126">
        <v>50425</v>
      </c>
      <c r="BM1219" s="126">
        <v>56628</v>
      </c>
      <c r="BN1219" s="126">
        <v>40696</v>
      </c>
      <c r="BO1219" s="59">
        <v>0</v>
      </c>
      <c r="BP1219" s="63">
        <v>0.48409999999999997</v>
      </c>
      <c r="BQ1219" s="63">
        <v>8.6800000000000002E-2</v>
      </c>
      <c r="BR1219" s="63">
        <v>0</v>
      </c>
      <c r="BS1219" s="63">
        <v>0</v>
      </c>
      <c r="BT1219" s="87">
        <v>13.5</v>
      </c>
      <c r="BU1219" s="59">
        <f t="shared" si="84"/>
        <v>0.57089999999999996</v>
      </c>
      <c r="BV1219" s="59">
        <v>3.4599999999999999E-2</v>
      </c>
      <c r="BW1219" s="63">
        <v>0</v>
      </c>
      <c r="BX1219" s="63">
        <v>3.27E-2</v>
      </c>
      <c r="BY1219" s="63">
        <v>0</v>
      </c>
      <c r="BZ1219" s="63">
        <v>0</v>
      </c>
      <c r="CA1219" s="87">
        <v>28.2</v>
      </c>
      <c r="CB1219" s="59">
        <f t="shared" si="85"/>
        <v>6.7299999999999999E-2</v>
      </c>
      <c r="CC1219" s="59">
        <v>0.36</v>
      </c>
      <c r="CD1219" s="63">
        <v>0.50149999999999995</v>
      </c>
      <c r="CE1219" s="63">
        <v>0.13850000000000001</v>
      </c>
      <c r="CF1219" s="63">
        <v>0</v>
      </c>
      <c r="CG1219" s="63">
        <v>0</v>
      </c>
      <c r="CH1219" s="87">
        <v>12.5</v>
      </c>
      <c r="CI1219" s="26" t="s">
        <v>394</v>
      </c>
      <c r="CJ1219" s="18" t="s">
        <v>505</v>
      </c>
      <c r="CK1219" s="20"/>
    </row>
    <row r="1220" spans="1:89" x14ac:dyDescent="0.25">
      <c r="A1220" s="18" t="s">
        <v>505</v>
      </c>
      <c r="B1220" s="19" t="s">
        <v>388</v>
      </c>
      <c r="C1220" s="26" t="s">
        <v>395</v>
      </c>
      <c r="D1220" s="6">
        <v>0</v>
      </c>
      <c r="E1220" s="6">
        <v>0</v>
      </c>
      <c r="F1220" s="6">
        <v>0</v>
      </c>
      <c r="N1220" s="119">
        <v>0</v>
      </c>
      <c r="O1220" s="119">
        <v>0</v>
      </c>
      <c r="P1220" s="119">
        <v>0</v>
      </c>
      <c r="Q1220" s="119">
        <v>0</v>
      </c>
      <c r="R1220" s="116" t="s">
        <v>83</v>
      </c>
      <c r="S1220" s="119">
        <v>0</v>
      </c>
      <c r="T1220" s="119">
        <v>0</v>
      </c>
      <c r="U1220" s="119">
        <v>0</v>
      </c>
      <c r="V1220" s="119">
        <v>0</v>
      </c>
      <c r="W1220" s="6">
        <v>498</v>
      </c>
      <c r="X1220" s="40">
        <f t="shared" si="86"/>
        <v>134</v>
      </c>
      <c r="Y1220" s="40">
        <f t="shared" si="87"/>
        <v>192</v>
      </c>
      <c r="Z1220" s="59">
        <v>0.45379999999999998</v>
      </c>
      <c r="AA1220" s="59">
        <v>0.54620000000000002</v>
      </c>
      <c r="AB1220" s="61">
        <v>1.4056224899598393E-2</v>
      </c>
      <c r="AC1220" s="61">
        <v>0</v>
      </c>
      <c r="AD1220" s="61">
        <v>0</v>
      </c>
      <c r="AE1220" s="61">
        <v>1.6064257028112448E-2</v>
      </c>
      <c r="AF1220" s="61">
        <v>0</v>
      </c>
      <c r="AG1220" s="61">
        <v>0.94578313253012047</v>
      </c>
      <c r="AH1220" s="61">
        <v>2.4096385542168676E-2</v>
      </c>
      <c r="AI1220" s="61">
        <v>5.4216867469879519E-2</v>
      </c>
      <c r="AJ1220" s="59">
        <v>0.70279999999999998</v>
      </c>
      <c r="AK1220" s="59">
        <v>2E-3</v>
      </c>
      <c r="AL1220" s="3">
        <v>34</v>
      </c>
      <c r="AM1220" s="3">
        <v>24</v>
      </c>
      <c r="AN1220" s="3">
        <v>0</v>
      </c>
      <c r="AO1220" s="3">
        <v>32</v>
      </c>
      <c r="AP1220" s="3">
        <v>35</v>
      </c>
      <c r="AQ1220" s="3">
        <v>45</v>
      </c>
      <c r="AR1220" s="3">
        <v>22</v>
      </c>
      <c r="AS1220" s="59">
        <v>0</v>
      </c>
      <c r="AT1220" s="3">
        <v>1</v>
      </c>
      <c r="AU1220" s="3">
        <v>6</v>
      </c>
      <c r="AV1220" s="49">
        <v>85.211267605633793</v>
      </c>
      <c r="AW1220" s="49">
        <v>13.732394366197202</v>
      </c>
      <c r="AX1220" s="49">
        <v>1.05633802816901</v>
      </c>
      <c r="AY1220" s="67">
        <v>0</v>
      </c>
      <c r="AZ1220" s="63">
        <v>0.12199630314232902</v>
      </c>
      <c r="BA1220" s="63">
        <v>2.9574861367837338E-2</v>
      </c>
      <c r="BB1220" s="77">
        <v>91.690997419526795</v>
      </c>
      <c r="BC1220" s="49">
        <v>74.131274131274097</v>
      </c>
      <c r="BD1220" s="49"/>
      <c r="BE1220" s="49"/>
      <c r="BF1220" s="49"/>
      <c r="BG1220" s="49"/>
      <c r="BH1220" s="49"/>
      <c r="BI1220" s="49"/>
      <c r="BJ1220" s="88">
        <v>20</v>
      </c>
      <c r="BK1220" s="126">
        <v>11514</v>
      </c>
      <c r="BL1220" s="126">
        <v>49990</v>
      </c>
      <c r="BM1220" s="126">
        <v>44155</v>
      </c>
      <c r="BN1220" s="126">
        <v>38433</v>
      </c>
      <c r="BO1220" s="59">
        <v>0</v>
      </c>
      <c r="BP1220" s="63">
        <v>0.3669</v>
      </c>
      <c r="BQ1220" s="63">
        <v>0.13239999999999999</v>
      </c>
      <c r="BR1220" s="63">
        <v>0</v>
      </c>
      <c r="BS1220" s="63">
        <v>0</v>
      </c>
      <c r="BT1220" s="87">
        <v>16.899999999999999</v>
      </c>
      <c r="BU1220" s="59">
        <f t="shared" ref="BU1220:BU1283" si="88">SUM(BO1220:BS1220)</f>
        <v>0.49929999999999997</v>
      </c>
      <c r="BV1220" s="59">
        <v>4.1799999999999997E-2</v>
      </c>
      <c r="BW1220" s="63">
        <v>0</v>
      </c>
      <c r="BX1220" s="63">
        <v>2.7900000000000001E-2</v>
      </c>
      <c r="BY1220" s="63">
        <v>0</v>
      </c>
      <c r="BZ1220" s="63">
        <v>0</v>
      </c>
      <c r="CA1220" s="87">
        <v>23</v>
      </c>
      <c r="CB1220" s="59">
        <f t="shared" ref="CB1220:CB1283" si="89">SUM(BV1220:BZ1220)</f>
        <v>6.9699999999999998E-2</v>
      </c>
      <c r="CC1220" s="59">
        <v>0.41860000000000003</v>
      </c>
      <c r="CD1220" s="63">
        <v>0.40720000000000001</v>
      </c>
      <c r="CE1220" s="63">
        <v>0.17419999999999999</v>
      </c>
      <c r="CF1220" s="63">
        <v>0</v>
      </c>
      <c r="CG1220" s="63">
        <v>0</v>
      </c>
      <c r="CH1220" s="87">
        <v>16.399999999999999</v>
      </c>
      <c r="CI1220" s="26" t="s">
        <v>395</v>
      </c>
      <c r="CJ1220" s="18" t="s">
        <v>505</v>
      </c>
      <c r="CK1220" s="20"/>
    </row>
    <row r="1221" spans="1:89" x14ac:dyDescent="0.25">
      <c r="A1221" s="18" t="s">
        <v>505</v>
      </c>
      <c r="B1221" s="19" t="s">
        <v>388</v>
      </c>
      <c r="C1221" s="26" t="s">
        <v>396</v>
      </c>
      <c r="D1221" s="6">
        <v>0</v>
      </c>
      <c r="E1221" s="6">
        <v>0</v>
      </c>
      <c r="F1221" s="6">
        <v>0</v>
      </c>
      <c r="N1221" s="119">
        <v>0</v>
      </c>
      <c r="O1221" s="119">
        <v>0</v>
      </c>
      <c r="P1221" s="119">
        <v>0</v>
      </c>
      <c r="Q1221" s="119">
        <v>0</v>
      </c>
      <c r="R1221" s="119">
        <v>0</v>
      </c>
      <c r="S1221" s="119">
        <v>0</v>
      </c>
      <c r="T1221" s="119">
        <v>0</v>
      </c>
      <c r="U1221" s="119">
        <v>0</v>
      </c>
      <c r="V1221" s="119">
        <v>0</v>
      </c>
      <c r="W1221" s="6">
        <v>537</v>
      </c>
      <c r="X1221" s="40">
        <f t="shared" si="86"/>
        <v>331</v>
      </c>
      <c r="Y1221" s="40">
        <f t="shared" si="87"/>
        <v>537</v>
      </c>
      <c r="Z1221" s="59">
        <v>0.47860000000000003</v>
      </c>
      <c r="AA1221" s="59">
        <v>0.52139999999999997</v>
      </c>
      <c r="AB1221" s="61">
        <v>5.5865921787709499E-3</v>
      </c>
      <c r="AC1221" s="61">
        <v>1.11731843575419E-2</v>
      </c>
      <c r="AD1221" s="61">
        <v>5.4003724394785846E-2</v>
      </c>
      <c r="AE1221" s="61">
        <v>6.1452513966480445E-2</v>
      </c>
      <c r="AF1221" s="61">
        <v>0</v>
      </c>
      <c r="AG1221" s="61">
        <v>0.83985102420856605</v>
      </c>
      <c r="AH1221" s="61">
        <v>2.7932960893854747E-2</v>
      </c>
      <c r="AI1221" s="61">
        <v>0.16014897579143389</v>
      </c>
      <c r="AJ1221" s="59">
        <v>0.50839999999999996</v>
      </c>
      <c r="AK1221" s="59">
        <v>7.4000000000000003E-3</v>
      </c>
      <c r="AL1221" s="3">
        <v>108</v>
      </c>
      <c r="AM1221" s="3">
        <v>98</v>
      </c>
      <c r="AN1221" s="3">
        <v>7</v>
      </c>
      <c r="AO1221" s="3">
        <v>93</v>
      </c>
      <c r="AP1221" s="3">
        <v>77</v>
      </c>
      <c r="AQ1221" s="3">
        <v>80</v>
      </c>
      <c r="AR1221" s="3">
        <v>74</v>
      </c>
      <c r="AS1221" s="59">
        <v>7.0000000000000007E-2</v>
      </c>
      <c r="AT1221" s="3">
        <v>7</v>
      </c>
      <c r="AU1221" s="3">
        <v>6</v>
      </c>
      <c r="AV1221" s="49">
        <v>73.469387755102005</v>
      </c>
      <c r="AW1221" s="49">
        <v>16.326530612244898</v>
      </c>
      <c r="AX1221" s="49">
        <v>10.2040816326531</v>
      </c>
      <c r="AY1221" s="67">
        <v>0</v>
      </c>
      <c r="AZ1221" s="63">
        <v>0</v>
      </c>
      <c r="BA1221" s="63">
        <v>0.16206896551724137</v>
      </c>
      <c r="BB1221" s="78">
        <v>93.270458732185801</v>
      </c>
      <c r="BC1221" s="49">
        <v>57.7777777777778</v>
      </c>
      <c r="BD1221" s="49"/>
      <c r="BE1221" s="49"/>
      <c r="BF1221" s="49"/>
      <c r="BG1221" s="49"/>
      <c r="BH1221" s="49"/>
      <c r="BI1221" s="49"/>
      <c r="BJ1221" s="88">
        <v>21.3</v>
      </c>
      <c r="BK1221" s="126">
        <v>9277</v>
      </c>
      <c r="BL1221" s="126">
        <v>50935</v>
      </c>
      <c r="BM1221" s="126">
        <v>44198</v>
      </c>
      <c r="BN1221" s="126">
        <v>42737</v>
      </c>
      <c r="BO1221" s="59">
        <v>0</v>
      </c>
      <c r="BP1221" s="63">
        <v>0.38019999999999998</v>
      </c>
      <c r="BQ1221" s="63">
        <v>0.2346</v>
      </c>
      <c r="BR1221" s="63">
        <v>0</v>
      </c>
      <c r="BS1221" s="63">
        <v>0</v>
      </c>
      <c r="BT1221" s="87">
        <v>15.6</v>
      </c>
      <c r="BU1221" s="59">
        <f t="shared" si="88"/>
        <v>0.61480000000000001</v>
      </c>
      <c r="BV1221" s="59">
        <v>5.8599999999999999E-2</v>
      </c>
      <c r="BW1221" s="63">
        <v>0</v>
      </c>
      <c r="BX1221" s="63">
        <v>3.9100000000000003E-2</v>
      </c>
      <c r="BY1221" s="63">
        <v>0</v>
      </c>
      <c r="BZ1221" s="63">
        <v>0</v>
      </c>
      <c r="CA1221" s="87">
        <v>18.8</v>
      </c>
      <c r="CB1221" s="59">
        <f t="shared" si="89"/>
        <v>9.7700000000000009E-2</v>
      </c>
      <c r="CC1221" s="59">
        <v>0.307</v>
      </c>
      <c r="CD1221" s="63">
        <v>0.38030000000000003</v>
      </c>
      <c r="CE1221" s="63">
        <v>0.31269999999999998</v>
      </c>
      <c r="CF1221" s="63">
        <v>0</v>
      </c>
      <c r="CG1221" s="63">
        <v>0</v>
      </c>
      <c r="CH1221" s="87">
        <v>15.1</v>
      </c>
      <c r="CI1221" s="26" t="s">
        <v>396</v>
      </c>
      <c r="CJ1221" s="18" t="s">
        <v>505</v>
      </c>
      <c r="CK1221" s="20"/>
    </row>
    <row r="1222" spans="1:89" x14ac:dyDescent="0.25">
      <c r="A1222" s="18" t="s">
        <v>505</v>
      </c>
      <c r="B1222" s="19" t="s">
        <v>388</v>
      </c>
      <c r="C1222" s="26" t="s">
        <v>397</v>
      </c>
      <c r="D1222" s="6">
        <v>2</v>
      </c>
      <c r="E1222" s="6">
        <v>0</v>
      </c>
      <c r="F1222" s="6">
        <v>2</v>
      </c>
      <c r="N1222" s="119">
        <v>1.34228187919463E-2</v>
      </c>
      <c r="O1222" s="119">
        <v>2.06185567010309E-2</v>
      </c>
      <c r="P1222" s="119">
        <v>0</v>
      </c>
      <c r="Q1222" s="119">
        <v>0</v>
      </c>
      <c r="R1222" s="116" t="s">
        <v>83</v>
      </c>
      <c r="S1222" s="119">
        <v>0</v>
      </c>
      <c r="T1222" s="119">
        <v>3.8461538461538498E-2</v>
      </c>
      <c r="U1222" s="119">
        <v>3.8461538461538498E-2</v>
      </c>
      <c r="V1222" s="119">
        <v>0</v>
      </c>
      <c r="W1222" s="6">
        <v>283</v>
      </c>
      <c r="X1222" s="40">
        <f t="shared" si="86"/>
        <v>92</v>
      </c>
      <c r="Y1222" s="40">
        <f t="shared" si="87"/>
        <v>142</v>
      </c>
      <c r="Z1222" s="59">
        <v>0.48060000000000003</v>
      </c>
      <c r="AA1222" s="59">
        <v>0.51939999999999997</v>
      </c>
      <c r="AB1222" s="61">
        <v>0</v>
      </c>
      <c r="AC1222" s="61">
        <v>3.5335689045936395E-3</v>
      </c>
      <c r="AD1222" s="61">
        <v>0</v>
      </c>
      <c r="AE1222" s="61">
        <v>2.4734982332155476E-2</v>
      </c>
      <c r="AF1222" s="61">
        <v>0</v>
      </c>
      <c r="AG1222" s="61">
        <v>0.96466431095406358</v>
      </c>
      <c r="AH1222" s="61">
        <v>7.0671378091872791E-3</v>
      </c>
      <c r="AI1222" s="61">
        <v>3.5335689045936397E-2</v>
      </c>
      <c r="AJ1222" s="59">
        <v>0.57950000000000002</v>
      </c>
      <c r="AK1222" s="59">
        <v>1.06E-2</v>
      </c>
      <c r="AL1222" s="3">
        <v>23</v>
      </c>
      <c r="AM1222" s="3">
        <v>27</v>
      </c>
      <c r="AN1222" s="3">
        <v>0</v>
      </c>
      <c r="AO1222" s="3">
        <v>26</v>
      </c>
      <c r="AP1222" s="3">
        <v>25</v>
      </c>
      <c r="AQ1222" s="3">
        <v>24</v>
      </c>
      <c r="AR1222" s="3">
        <v>17</v>
      </c>
      <c r="AS1222" s="59">
        <v>0</v>
      </c>
      <c r="AT1222" s="3">
        <v>1</v>
      </c>
      <c r="AU1222" s="3">
        <v>6</v>
      </c>
      <c r="AV1222" s="49">
        <v>77.464788732394396</v>
      </c>
      <c r="AW1222" s="49">
        <v>10.563380281690101</v>
      </c>
      <c r="AX1222" s="49">
        <v>11.971830985915501</v>
      </c>
      <c r="AY1222" s="67">
        <v>0</v>
      </c>
      <c r="AZ1222" s="63">
        <v>3.2894736842105261E-3</v>
      </c>
      <c r="BA1222" s="63">
        <v>0.10855263157894737</v>
      </c>
      <c r="BB1222" s="77">
        <v>92.917502787068003</v>
      </c>
      <c r="BC1222" s="49">
        <v>65.423728813559293</v>
      </c>
      <c r="BD1222" s="49"/>
      <c r="BE1222" s="49"/>
      <c r="BF1222" s="49"/>
      <c r="BG1222" s="49"/>
      <c r="BH1222" s="49"/>
      <c r="BI1222" s="49"/>
      <c r="BJ1222" s="88">
        <v>18.7</v>
      </c>
      <c r="BK1222" s="126">
        <v>13759</v>
      </c>
      <c r="BL1222" s="126">
        <v>50284</v>
      </c>
      <c r="BM1222" s="126">
        <v>47691</v>
      </c>
      <c r="BN1222" s="126">
        <v>40395</v>
      </c>
      <c r="BO1222" s="59">
        <v>0</v>
      </c>
      <c r="BP1222" s="63">
        <v>0.37659999999999999</v>
      </c>
      <c r="BQ1222" s="63">
        <v>0.12559999999999999</v>
      </c>
      <c r="BR1222" s="63">
        <v>0</v>
      </c>
      <c r="BS1222" s="63">
        <v>0</v>
      </c>
      <c r="BT1222" s="87">
        <v>15.1</v>
      </c>
      <c r="BU1222" s="59">
        <f t="shared" si="88"/>
        <v>0.50219999999999998</v>
      </c>
      <c r="BV1222" s="59">
        <v>4.19E-2</v>
      </c>
      <c r="BW1222" s="63">
        <v>0</v>
      </c>
      <c r="BX1222" s="63">
        <v>4.19E-2</v>
      </c>
      <c r="BY1222" s="63">
        <v>0</v>
      </c>
      <c r="BZ1222" s="63">
        <v>0</v>
      </c>
      <c r="CA1222" s="87">
        <v>23.8</v>
      </c>
      <c r="CB1222" s="59">
        <f t="shared" si="89"/>
        <v>8.3799999999999999E-2</v>
      </c>
      <c r="CC1222" s="59">
        <v>0.41439999999999999</v>
      </c>
      <c r="CD1222" s="63">
        <v>0.39750000000000002</v>
      </c>
      <c r="CE1222" s="63">
        <v>0.18809999999999999</v>
      </c>
      <c r="CF1222" s="63">
        <v>0</v>
      </c>
      <c r="CG1222" s="63">
        <v>0</v>
      </c>
      <c r="CH1222" s="87">
        <v>15.9</v>
      </c>
      <c r="CI1222" s="26" t="s">
        <v>397</v>
      </c>
      <c r="CJ1222" s="18" t="s">
        <v>505</v>
      </c>
      <c r="CK1222" s="20"/>
    </row>
    <row r="1223" spans="1:89" x14ac:dyDescent="0.25">
      <c r="A1223" s="18" t="s">
        <v>505</v>
      </c>
      <c r="B1223" s="19" t="s">
        <v>398</v>
      </c>
      <c r="C1223" s="26" t="s">
        <v>399</v>
      </c>
      <c r="D1223" s="6">
        <v>26</v>
      </c>
      <c r="E1223" s="40" t="s">
        <v>83</v>
      </c>
      <c r="F1223" s="6">
        <v>26</v>
      </c>
      <c r="N1223" s="119">
        <v>2.89532293986637E-2</v>
      </c>
      <c r="O1223" s="119">
        <v>2.89532293986637E-2</v>
      </c>
      <c r="P1223" s="116" t="s">
        <v>83</v>
      </c>
      <c r="Q1223" s="116" t="s">
        <v>83</v>
      </c>
      <c r="R1223" s="119">
        <v>0</v>
      </c>
      <c r="S1223" s="119">
        <v>8.5470085470085496E-3</v>
      </c>
      <c r="T1223" s="119">
        <v>4.1493775933609998E-2</v>
      </c>
      <c r="U1223" s="119">
        <v>2.9411764705882401E-2</v>
      </c>
      <c r="V1223" s="119">
        <v>3.8834951456310697E-2</v>
      </c>
      <c r="W1223" s="6">
        <v>851</v>
      </c>
      <c r="X1223" s="40">
        <f t="shared" si="86"/>
        <v>851</v>
      </c>
      <c r="Y1223" s="40">
        <f t="shared" si="87"/>
        <v>851</v>
      </c>
      <c r="Z1223" s="59">
        <v>0.49819999999999998</v>
      </c>
      <c r="AA1223" s="59">
        <v>0.50180000000000002</v>
      </c>
      <c r="AB1223" s="61">
        <v>1.1750881316098707E-3</v>
      </c>
      <c r="AC1223" s="61">
        <v>3.5252643948296123E-3</v>
      </c>
      <c r="AD1223" s="61">
        <v>0.28319623971797886</v>
      </c>
      <c r="AE1223" s="61">
        <v>3.0552291421856639E-2</v>
      </c>
      <c r="AF1223" s="61">
        <v>0</v>
      </c>
      <c r="AG1223" s="61">
        <v>0.67685076380728559</v>
      </c>
      <c r="AH1223" s="61">
        <v>4.7003525264394828E-3</v>
      </c>
      <c r="AI1223" s="61">
        <v>0.32314923619271446</v>
      </c>
      <c r="AJ1223" s="59">
        <v>0.66390000000000005</v>
      </c>
      <c r="AK1223" s="59">
        <v>9.4000000000000004E-3</v>
      </c>
      <c r="AL1223" s="3">
        <v>0</v>
      </c>
      <c r="AM1223" s="3">
        <v>0</v>
      </c>
      <c r="AN1223" s="3">
        <v>15</v>
      </c>
      <c r="AO1223" s="3">
        <v>218</v>
      </c>
      <c r="AP1223" s="3">
        <v>216</v>
      </c>
      <c r="AQ1223" s="3">
        <v>202</v>
      </c>
      <c r="AR1223" s="3">
        <v>200</v>
      </c>
      <c r="AS1223" s="59">
        <v>6.4377682403433473E-2</v>
      </c>
      <c r="AT1223" s="3">
        <v>9</v>
      </c>
      <c r="AU1223" s="3">
        <v>6</v>
      </c>
      <c r="AV1223" s="49">
        <v>62.631578947368403</v>
      </c>
      <c r="AW1223" s="49">
        <v>19.7368421052632</v>
      </c>
      <c r="AX1223" s="49">
        <v>17.105263157894701</v>
      </c>
      <c r="AY1223" s="67">
        <v>0.52631578947368407</v>
      </c>
      <c r="AZ1223" s="63">
        <v>0.25309336332958382</v>
      </c>
      <c r="BA1223" s="63">
        <v>5.2868391451068614E-2</v>
      </c>
      <c r="BB1223" s="78">
        <v>93.125983470605703</v>
      </c>
      <c r="BC1223" s="49">
        <v>66.517357222844296</v>
      </c>
      <c r="BD1223" s="49"/>
      <c r="BE1223" s="49"/>
      <c r="BF1223" s="49"/>
      <c r="BG1223" s="49"/>
      <c r="BH1223" s="49"/>
      <c r="BI1223" s="49"/>
      <c r="BJ1223" s="88">
        <v>18.2</v>
      </c>
      <c r="BK1223" s="126">
        <v>9479</v>
      </c>
      <c r="BL1223" s="126">
        <v>43040</v>
      </c>
      <c r="BM1223" s="126">
        <v>43611</v>
      </c>
      <c r="BN1223" s="126">
        <v>36190</v>
      </c>
      <c r="BO1223" s="59">
        <v>0</v>
      </c>
      <c r="BP1223" s="63">
        <v>0.44850000000000001</v>
      </c>
      <c r="BQ1223" s="63">
        <v>0.11749999999999999</v>
      </c>
      <c r="BR1223" s="63">
        <v>0</v>
      </c>
      <c r="BS1223" s="63">
        <v>2.1299999999999999E-2</v>
      </c>
      <c r="BT1223" s="87">
        <v>10.7</v>
      </c>
      <c r="BU1223" s="59">
        <f t="shared" si="88"/>
        <v>0.58730000000000004</v>
      </c>
      <c r="BV1223" s="59">
        <v>3.1699999999999999E-2</v>
      </c>
      <c r="BW1223" s="63">
        <v>1.06E-2</v>
      </c>
      <c r="BX1223" s="63">
        <v>3.1899999999999998E-2</v>
      </c>
      <c r="BY1223" s="63">
        <v>0</v>
      </c>
      <c r="BZ1223" s="63">
        <v>0</v>
      </c>
      <c r="CA1223" s="87">
        <v>17</v>
      </c>
      <c r="CB1223" s="59">
        <f t="shared" si="89"/>
        <v>7.4199999999999988E-2</v>
      </c>
      <c r="CC1223" s="59">
        <v>0.32879999999999998</v>
      </c>
      <c r="CD1223" s="63">
        <v>0.47970000000000002</v>
      </c>
      <c r="CE1223" s="63">
        <v>0.17030000000000001</v>
      </c>
      <c r="CF1223" s="63">
        <v>0</v>
      </c>
      <c r="CG1223" s="63">
        <v>2.1299999999999999E-2</v>
      </c>
      <c r="CH1223" s="87">
        <v>12.2</v>
      </c>
      <c r="CI1223" s="26" t="s">
        <v>399</v>
      </c>
      <c r="CJ1223" s="18" t="s">
        <v>505</v>
      </c>
      <c r="CK1223" s="20"/>
    </row>
    <row r="1224" spans="1:89" x14ac:dyDescent="0.25">
      <c r="A1224" s="18" t="s">
        <v>505</v>
      </c>
      <c r="B1224" s="19" t="s">
        <v>398</v>
      </c>
      <c r="C1224" s="26" t="s">
        <v>400</v>
      </c>
      <c r="D1224" s="6">
        <v>4</v>
      </c>
      <c r="E1224" s="6">
        <v>0</v>
      </c>
      <c r="F1224" s="6">
        <v>4</v>
      </c>
      <c r="N1224" s="119">
        <v>1.63934426229508E-2</v>
      </c>
      <c r="O1224" s="119">
        <v>2.66666666666667E-2</v>
      </c>
      <c r="P1224" s="119">
        <v>0</v>
      </c>
      <c r="Q1224" s="119">
        <v>0</v>
      </c>
      <c r="R1224" s="119">
        <v>0</v>
      </c>
      <c r="S1224" s="119">
        <v>0</v>
      </c>
      <c r="T1224" s="119">
        <v>2.1276595744680899E-2</v>
      </c>
      <c r="U1224" s="119">
        <v>2.8571428571428598E-2</v>
      </c>
      <c r="V1224" s="119">
        <v>6.6666666666666693E-2</v>
      </c>
      <c r="W1224" s="6">
        <v>507</v>
      </c>
      <c r="X1224" s="40">
        <f t="shared" si="86"/>
        <v>139</v>
      </c>
      <c r="Y1224" s="40">
        <f t="shared" si="87"/>
        <v>227</v>
      </c>
      <c r="Z1224" s="59">
        <v>0.46750000000000003</v>
      </c>
      <c r="AA1224" s="59">
        <v>0.53249999999999997</v>
      </c>
      <c r="AB1224" s="61">
        <v>9.8619329388560158E-3</v>
      </c>
      <c r="AC1224" s="61">
        <v>0</v>
      </c>
      <c r="AD1224" s="61">
        <v>0.2465483234714004</v>
      </c>
      <c r="AE1224" s="61">
        <v>5.9171597633136093E-3</v>
      </c>
      <c r="AF1224" s="61">
        <v>0</v>
      </c>
      <c r="AG1224" s="61">
        <v>0.71597633136094674</v>
      </c>
      <c r="AH1224" s="61">
        <v>2.1696252465483234E-2</v>
      </c>
      <c r="AI1224" s="61">
        <v>0.28402366863905326</v>
      </c>
      <c r="AJ1224" s="59">
        <v>0.71199999999999997</v>
      </c>
      <c r="AK1224" s="59">
        <v>2E-3</v>
      </c>
      <c r="AL1224" s="3">
        <v>45</v>
      </c>
      <c r="AM1224" s="3">
        <v>43</v>
      </c>
      <c r="AN1224" s="3">
        <v>2</v>
      </c>
      <c r="AO1224" s="3">
        <v>34</v>
      </c>
      <c r="AP1224" s="3">
        <v>45</v>
      </c>
      <c r="AQ1224" s="3">
        <v>32</v>
      </c>
      <c r="AR1224" s="3">
        <v>26</v>
      </c>
      <c r="AS1224" s="59">
        <v>5.5555555555555552E-2</v>
      </c>
      <c r="AT1224" s="3">
        <v>1</v>
      </c>
      <c r="AU1224" s="3">
        <v>6</v>
      </c>
      <c r="AV1224" s="49">
        <v>74.778761061946895</v>
      </c>
      <c r="AW1224" s="49">
        <v>22.566371681415902</v>
      </c>
      <c r="AX1224" s="49">
        <v>0.44247787610619504</v>
      </c>
      <c r="AY1224" s="67">
        <v>2.2123893805309698</v>
      </c>
      <c r="AZ1224" s="63">
        <v>0.14766355140186915</v>
      </c>
      <c r="BA1224" s="63">
        <v>7.1028037383177575E-2</v>
      </c>
      <c r="BB1224" s="77">
        <v>93.280450176736906</v>
      </c>
      <c r="BC1224" s="49">
        <v>67.766990291262104</v>
      </c>
      <c r="BD1224" s="49"/>
      <c r="BE1224" s="49"/>
      <c r="BF1224" s="49"/>
      <c r="BG1224" s="49"/>
      <c r="BH1224" s="49"/>
      <c r="BI1224" s="49"/>
      <c r="BJ1224" s="88">
        <v>17.5</v>
      </c>
      <c r="BK1224" s="126">
        <v>11871</v>
      </c>
      <c r="BL1224" s="126">
        <v>44711</v>
      </c>
      <c r="BM1224" s="126">
        <v>37700</v>
      </c>
      <c r="BN1224" s="126">
        <v>33924</v>
      </c>
      <c r="BO1224" s="59">
        <v>0</v>
      </c>
      <c r="BP1224" s="63">
        <v>0.38979999999999998</v>
      </c>
      <c r="BQ1224" s="63">
        <v>9.8400000000000001E-2</v>
      </c>
      <c r="BR1224" s="63">
        <v>0</v>
      </c>
      <c r="BS1224" s="63">
        <v>0</v>
      </c>
      <c r="BT1224" s="87">
        <v>15</v>
      </c>
      <c r="BU1224" s="59">
        <f t="shared" si="88"/>
        <v>0.48819999999999997</v>
      </c>
      <c r="BV1224" s="59">
        <v>4.87E-2</v>
      </c>
      <c r="BW1224" s="63">
        <v>0</v>
      </c>
      <c r="BX1224" s="63">
        <v>3.6700000000000003E-2</v>
      </c>
      <c r="BY1224" s="63">
        <v>0</v>
      </c>
      <c r="BZ1224" s="63">
        <v>0</v>
      </c>
      <c r="CA1224" s="87">
        <v>19.600000000000001</v>
      </c>
      <c r="CB1224" s="59">
        <f t="shared" si="89"/>
        <v>8.5400000000000004E-2</v>
      </c>
      <c r="CC1224" s="59">
        <v>0.41420000000000001</v>
      </c>
      <c r="CD1224" s="63">
        <v>0.40200000000000002</v>
      </c>
      <c r="CE1224" s="63">
        <v>0.18379999999999999</v>
      </c>
      <c r="CF1224" s="63">
        <v>0</v>
      </c>
      <c r="CG1224" s="63">
        <v>0</v>
      </c>
      <c r="CH1224" s="87">
        <v>14.1</v>
      </c>
      <c r="CI1224" s="26" t="s">
        <v>400</v>
      </c>
      <c r="CJ1224" s="18" t="s">
        <v>505</v>
      </c>
      <c r="CK1224" s="20"/>
    </row>
    <row r="1225" spans="1:89" x14ac:dyDescent="0.25">
      <c r="A1225" s="18" t="s">
        <v>505</v>
      </c>
      <c r="B1225" s="19" t="s">
        <v>398</v>
      </c>
      <c r="C1225" s="26" t="s">
        <v>401</v>
      </c>
      <c r="D1225" s="6">
        <v>8</v>
      </c>
      <c r="E1225" s="6">
        <v>1</v>
      </c>
      <c r="F1225" s="6">
        <v>7</v>
      </c>
      <c r="N1225" s="119">
        <v>1.22137404580153E-2</v>
      </c>
      <c r="O1225" s="119">
        <v>1.6587677725118499E-2</v>
      </c>
      <c r="P1225" s="119">
        <v>0</v>
      </c>
      <c r="Q1225" s="119">
        <v>9.0090090090090107E-3</v>
      </c>
      <c r="R1225" s="119">
        <v>0</v>
      </c>
      <c r="S1225" s="119">
        <v>7.4626865671641798E-3</v>
      </c>
      <c r="T1225" s="119">
        <v>1.02040816326531E-2</v>
      </c>
      <c r="U1225" s="119">
        <v>3.3707865168539297E-2</v>
      </c>
      <c r="V1225" s="119">
        <v>2.1505376344085999E-2</v>
      </c>
      <c r="W1225" s="6">
        <v>714</v>
      </c>
      <c r="X1225" s="40">
        <f t="shared" si="86"/>
        <v>393</v>
      </c>
      <c r="Y1225" s="40">
        <f t="shared" si="87"/>
        <v>607</v>
      </c>
      <c r="Z1225" s="59">
        <v>0.49020000000000002</v>
      </c>
      <c r="AA1225" s="59">
        <v>0.50980000000000003</v>
      </c>
      <c r="AB1225" s="61">
        <v>1.4005602240896359E-3</v>
      </c>
      <c r="AC1225" s="61">
        <v>0</v>
      </c>
      <c r="AD1225" s="61">
        <v>0.16246498599439776</v>
      </c>
      <c r="AE1225" s="61">
        <v>1.8207282913165267E-2</v>
      </c>
      <c r="AF1225" s="61">
        <v>0</v>
      </c>
      <c r="AG1225" s="61">
        <v>0.81792717086834732</v>
      </c>
      <c r="AH1225" s="61">
        <v>0</v>
      </c>
      <c r="AI1225" s="61">
        <v>0.18207282913165265</v>
      </c>
      <c r="AJ1225" s="59">
        <v>0.61480000000000001</v>
      </c>
      <c r="AK1225" s="59">
        <v>2.8E-3</v>
      </c>
      <c r="AL1225" s="3">
        <v>113</v>
      </c>
      <c r="AM1225" s="3">
        <v>101</v>
      </c>
      <c r="AN1225" s="3">
        <v>8</v>
      </c>
      <c r="AO1225" s="3">
        <v>122</v>
      </c>
      <c r="AP1225" s="3">
        <v>93</v>
      </c>
      <c r="AQ1225" s="3">
        <v>79</v>
      </c>
      <c r="AR1225" s="3">
        <v>91</v>
      </c>
      <c r="AS1225" s="59">
        <v>6.1538461538461542E-2</v>
      </c>
      <c r="AT1225" s="3">
        <v>6</v>
      </c>
      <c r="AU1225" s="3">
        <v>6</v>
      </c>
      <c r="AV1225" s="49">
        <v>69.467787114845905</v>
      </c>
      <c r="AW1225" s="49">
        <v>21.008403361344499</v>
      </c>
      <c r="AX1225" s="49">
        <v>9.5238095238095202</v>
      </c>
      <c r="AY1225" s="67">
        <v>0</v>
      </c>
      <c r="AZ1225" s="63">
        <v>0.17322834645669291</v>
      </c>
      <c r="BA1225" s="63">
        <v>4.4619422572178477E-2</v>
      </c>
      <c r="BB1225" s="78">
        <v>93.321002705501201</v>
      </c>
      <c r="BC1225" s="49">
        <v>63.398692810457497</v>
      </c>
      <c r="BD1225" s="49"/>
      <c r="BE1225" s="49"/>
      <c r="BF1225" s="49"/>
      <c r="BG1225" s="49"/>
      <c r="BH1225" s="49"/>
      <c r="BI1225" s="49"/>
      <c r="BJ1225" s="88">
        <v>18.7</v>
      </c>
      <c r="BK1225" s="126">
        <v>9151</v>
      </c>
      <c r="BL1225" s="126">
        <v>46933</v>
      </c>
      <c r="BM1225" s="126">
        <v>42480</v>
      </c>
      <c r="BN1225" s="126">
        <v>37386</v>
      </c>
      <c r="BO1225" s="59">
        <v>0</v>
      </c>
      <c r="BP1225" s="63">
        <v>0.3755</v>
      </c>
      <c r="BQ1225" s="63">
        <v>0.1472</v>
      </c>
      <c r="BR1225" s="63">
        <v>0</v>
      </c>
      <c r="BS1225" s="63">
        <v>0</v>
      </c>
      <c r="BT1225" s="87">
        <v>15.1</v>
      </c>
      <c r="BU1225" s="59">
        <f t="shared" si="88"/>
        <v>0.52269999999999994</v>
      </c>
      <c r="BV1225" s="59">
        <v>4.0099999999999997E-2</v>
      </c>
      <c r="BW1225" s="63">
        <v>0</v>
      </c>
      <c r="BX1225" s="63">
        <v>3.9899999999999998E-2</v>
      </c>
      <c r="BY1225" s="63">
        <v>0</v>
      </c>
      <c r="BZ1225" s="63">
        <v>0</v>
      </c>
      <c r="CA1225" s="87">
        <v>18.8</v>
      </c>
      <c r="CB1225" s="59">
        <f t="shared" si="89"/>
        <v>7.9999999999999988E-2</v>
      </c>
      <c r="CC1225" s="59">
        <v>0.38529999999999998</v>
      </c>
      <c r="CD1225" s="63">
        <v>0.40089999999999998</v>
      </c>
      <c r="CE1225" s="63">
        <v>0.21379999999999999</v>
      </c>
      <c r="CF1225" s="63">
        <v>0</v>
      </c>
      <c r="CG1225" s="63">
        <v>0</v>
      </c>
      <c r="CH1225" s="87">
        <v>14.7</v>
      </c>
      <c r="CI1225" s="26" t="s">
        <v>401</v>
      </c>
      <c r="CJ1225" s="18" t="s">
        <v>505</v>
      </c>
      <c r="CK1225" s="20"/>
    </row>
    <row r="1226" spans="1:89" x14ac:dyDescent="0.25">
      <c r="A1226" s="18" t="s">
        <v>505</v>
      </c>
      <c r="B1226" s="19" t="s">
        <v>398</v>
      </c>
      <c r="C1226" s="26" t="s">
        <v>402</v>
      </c>
      <c r="D1226" s="6">
        <v>8</v>
      </c>
      <c r="E1226" s="6">
        <v>1</v>
      </c>
      <c r="F1226" s="6">
        <v>7</v>
      </c>
      <c r="N1226" s="119">
        <v>2.20385674931129E-2</v>
      </c>
      <c r="O1226" s="119">
        <v>2.8225806451612899E-2</v>
      </c>
      <c r="P1226" s="119">
        <v>1.72413793103448E-2</v>
      </c>
      <c r="Q1226" s="119">
        <v>0</v>
      </c>
      <c r="R1226" s="119">
        <v>0</v>
      </c>
      <c r="S1226" s="119">
        <v>3.5714285714285698E-2</v>
      </c>
      <c r="T1226" s="119">
        <v>1.5625E-2</v>
      </c>
      <c r="U1226" s="119">
        <v>5.1724137931034503E-2</v>
      </c>
      <c r="V1226" s="119">
        <v>1.7857142857142901E-2</v>
      </c>
      <c r="W1226" s="6">
        <v>367</v>
      </c>
      <c r="X1226" s="40">
        <f t="shared" si="86"/>
        <v>225</v>
      </c>
      <c r="Y1226" s="40">
        <f t="shared" si="87"/>
        <v>322</v>
      </c>
      <c r="Z1226" s="59">
        <v>0.41959999999999997</v>
      </c>
      <c r="AA1226" s="59">
        <v>0.58040000000000003</v>
      </c>
      <c r="AB1226" s="61">
        <v>8.1743869209809257E-3</v>
      </c>
      <c r="AC1226" s="61">
        <v>0</v>
      </c>
      <c r="AD1226" s="61">
        <v>0.67029972752043598</v>
      </c>
      <c r="AE1226" s="61">
        <v>2.7247956403269754E-3</v>
      </c>
      <c r="AF1226" s="61">
        <v>0</v>
      </c>
      <c r="AG1226" s="61">
        <v>0.31607629427792916</v>
      </c>
      <c r="AH1226" s="61">
        <v>2.7247956403269754E-3</v>
      </c>
      <c r="AI1226" s="61">
        <v>0.68392370572207084</v>
      </c>
      <c r="AJ1226" s="59">
        <v>0.87190000000000001</v>
      </c>
      <c r="AK1226" s="59">
        <v>0</v>
      </c>
      <c r="AL1226" s="3">
        <v>50</v>
      </c>
      <c r="AM1226" s="3">
        <v>47</v>
      </c>
      <c r="AN1226" s="3">
        <v>14</v>
      </c>
      <c r="AO1226" s="3">
        <v>46</v>
      </c>
      <c r="AP1226" s="3">
        <v>61</v>
      </c>
      <c r="AQ1226" s="3">
        <v>51</v>
      </c>
      <c r="AR1226" s="3">
        <v>53</v>
      </c>
      <c r="AS1226" s="59">
        <v>0.23333333333333334</v>
      </c>
      <c r="AT1226" s="3">
        <v>6</v>
      </c>
      <c r="AU1226" s="3">
        <v>6</v>
      </c>
      <c r="AV1226" s="49">
        <v>68.715083798882702</v>
      </c>
      <c r="AW1226" s="49">
        <v>24.022346368715102</v>
      </c>
      <c r="AX1226" s="49">
        <v>6.7039106145251397</v>
      </c>
      <c r="AY1226" s="67">
        <v>0.55865921787709494</v>
      </c>
      <c r="AZ1226" s="63">
        <v>0.33658536585365856</v>
      </c>
      <c r="BA1226" s="63">
        <v>0.11219512195121951</v>
      </c>
      <c r="BB1226" s="77">
        <v>93.646498363418303</v>
      </c>
      <c r="BC1226" s="49">
        <v>64.077669902912604</v>
      </c>
      <c r="BD1226" s="49"/>
      <c r="BE1226" s="49"/>
      <c r="BF1226" s="49"/>
      <c r="BG1226" s="49"/>
      <c r="BH1226" s="49"/>
      <c r="BI1226" s="49"/>
      <c r="BJ1226" s="88">
        <v>17.899999999999999</v>
      </c>
      <c r="BK1226" s="126">
        <v>11954</v>
      </c>
      <c r="BL1226" s="126">
        <v>43920</v>
      </c>
      <c r="BM1226" s="126">
        <v>46849</v>
      </c>
      <c r="BN1226" s="126">
        <v>34691</v>
      </c>
      <c r="BO1226" s="59">
        <v>0</v>
      </c>
      <c r="BP1226" s="63">
        <v>0.44309999999999999</v>
      </c>
      <c r="BQ1226" s="63">
        <v>3.5700000000000003E-2</v>
      </c>
      <c r="BR1226" s="63">
        <v>1.7600000000000001E-2</v>
      </c>
      <c r="BS1226" s="63">
        <v>0</v>
      </c>
      <c r="BT1226" s="87">
        <v>13.7</v>
      </c>
      <c r="BU1226" s="59">
        <f t="shared" si="88"/>
        <v>0.49640000000000001</v>
      </c>
      <c r="BV1226" s="59">
        <v>2.1299999999999999E-2</v>
      </c>
      <c r="BW1226" s="63">
        <v>1.43E-2</v>
      </c>
      <c r="BX1226" s="63">
        <v>5.2900000000000003E-2</v>
      </c>
      <c r="BY1226" s="63">
        <v>0</v>
      </c>
      <c r="BZ1226" s="63">
        <v>0</v>
      </c>
      <c r="CA1226" s="87">
        <v>17.5</v>
      </c>
      <c r="CB1226" s="59">
        <f t="shared" si="89"/>
        <v>8.8499999999999995E-2</v>
      </c>
      <c r="CC1226" s="59">
        <v>0.3614</v>
      </c>
      <c r="CD1226" s="63">
        <v>0.4975</v>
      </c>
      <c r="CE1226" s="63">
        <v>0.1235</v>
      </c>
      <c r="CF1226" s="63">
        <v>1.7600000000000001E-2</v>
      </c>
      <c r="CG1226" s="63">
        <v>0</v>
      </c>
      <c r="CH1226" s="87">
        <v>14.8</v>
      </c>
      <c r="CI1226" s="26" t="s">
        <v>402</v>
      </c>
      <c r="CJ1226" s="18" t="s">
        <v>505</v>
      </c>
      <c r="CK1226" s="20"/>
    </row>
    <row r="1227" spans="1:89" x14ac:dyDescent="0.25">
      <c r="A1227" s="18" t="s">
        <v>505</v>
      </c>
      <c r="B1227" s="19" t="s">
        <v>403</v>
      </c>
      <c r="C1227" s="26" t="s">
        <v>404</v>
      </c>
      <c r="D1227" s="6">
        <v>4</v>
      </c>
      <c r="E1227" s="6">
        <v>2</v>
      </c>
      <c r="F1227" s="6">
        <v>2</v>
      </c>
      <c r="N1227" s="119">
        <v>1.7699115044247801E-2</v>
      </c>
      <c r="O1227" s="119">
        <v>1.4705882352941201E-2</v>
      </c>
      <c r="P1227" s="119">
        <v>0</v>
      </c>
      <c r="Q1227" s="119">
        <v>3.9215686274509803E-2</v>
      </c>
      <c r="R1227" s="116" t="s">
        <v>83</v>
      </c>
      <c r="S1227" s="119">
        <v>2.3809523809523801E-2</v>
      </c>
      <c r="T1227" s="119">
        <v>0</v>
      </c>
      <c r="U1227" s="119">
        <v>3.8461538461538498E-2</v>
      </c>
      <c r="V1227" s="119">
        <v>0</v>
      </c>
      <c r="W1227" s="6">
        <v>499</v>
      </c>
      <c r="X1227" s="40">
        <f t="shared" si="86"/>
        <v>127</v>
      </c>
      <c r="Y1227" s="40">
        <f t="shared" si="87"/>
        <v>208</v>
      </c>
      <c r="Z1227" s="59">
        <v>0.48299999999999998</v>
      </c>
      <c r="AA1227" s="59">
        <v>0.51700000000000002</v>
      </c>
      <c r="AB1227" s="61">
        <v>0</v>
      </c>
      <c r="AC1227" s="61">
        <v>1.002004008016032E-2</v>
      </c>
      <c r="AD1227" s="61">
        <v>0.14829659318637275</v>
      </c>
      <c r="AE1227" s="61">
        <v>2.004008016032064E-2</v>
      </c>
      <c r="AF1227" s="61">
        <v>0</v>
      </c>
      <c r="AG1227" s="61">
        <v>0.80761523046092187</v>
      </c>
      <c r="AH1227" s="61">
        <v>1.4028056112224449E-2</v>
      </c>
      <c r="AI1227" s="61">
        <v>0.19238476953907815</v>
      </c>
      <c r="AJ1227" s="59">
        <v>0.65329999999999999</v>
      </c>
      <c r="AK1227" s="59">
        <v>2E-3</v>
      </c>
      <c r="AL1227" s="3">
        <v>36</v>
      </c>
      <c r="AM1227" s="3">
        <v>45</v>
      </c>
      <c r="AN1227" s="3">
        <v>0</v>
      </c>
      <c r="AO1227" s="3">
        <v>37</v>
      </c>
      <c r="AP1227" s="3">
        <v>41</v>
      </c>
      <c r="AQ1227" s="3">
        <v>28</v>
      </c>
      <c r="AR1227" s="3">
        <v>21</v>
      </c>
      <c r="AS1227" s="59">
        <v>0</v>
      </c>
      <c r="AT1227" s="3">
        <v>1</v>
      </c>
      <c r="AU1227" s="3">
        <v>6</v>
      </c>
      <c r="AV1227" s="49">
        <v>58.3333333333333</v>
      </c>
      <c r="AW1227" s="49">
        <v>34.1666666666667</v>
      </c>
      <c r="AX1227" s="49">
        <v>4.1666666666666696</v>
      </c>
      <c r="AY1227" s="67">
        <v>3.3333333333333299</v>
      </c>
      <c r="AZ1227" s="63">
        <v>1.0948905109489052E-2</v>
      </c>
      <c r="BA1227" s="63">
        <v>4.0145985401459854E-2</v>
      </c>
      <c r="BB1227" s="78">
        <v>93.367683328856401</v>
      </c>
      <c r="BC1227" s="49">
        <v>50.850661625708902</v>
      </c>
      <c r="BD1227" s="49"/>
      <c r="BE1227" s="49"/>
      <c r="BF1227" s="49"/>
      <c r="BG1227" s="49"/>
      <c r="BH1227" s="49"/>
      <c r="BI1227" s="49"/>
      <c r="BJ1227" s="88">
        <v>19.8</v>
      </c>
      <c r="BK1227" s="126">
        <v>10654</v>
      </c>
      <c r="BL1227" s="126">
        <v>51884</v>
      </c>
      <c r="BM1227" s="126">
        <v>46246</v>
      </c>
      <c r="BN1227" s="126">
        <v>38689</v>
      </c>
      <c r="BO1227" s="59">
        <v>0</v>
      </c>
      <c r="BP1227" s="63">
        <v>0.37269999999999998</v>
      </c>
      <c r="BQ1227" s="63">
        <v>0.13550000000000001</v>
      </c>
      <c r="BR1227" s="63">
        <v>0</v>
      </c>
      <c r="BS1227" s="63">
        <v>0</v>
      </c>
      <c r="BT1227" s="87">
        <v>12.7</v>
      </c>
      <c r="BU1227" s="59">
        <f t="shared" si="88"/>
        <v>0.50819999999999999</v>
      </c>
      <c r="BV1227" s="59">
        <v>3.0599999999999999E-2</v>
      </c>
      <c r="BW1227" s="63">
        <v>0</v>
      </c>
      <c r="BX1227" s="63">
        <v>3.2300000000000002E-2</v>
      </c>
      <c r="BY1227" s="63">
        <v>0</v>
      </c>
      <c r="BZ1227" s="63">
        <v>0</v>
      </c>
      <c r="CA1227" s="87">
        <v>10.8</v>
      </c>
      <c r="CB1227" s="59">
        <f t="shared" si="89"/>
        <v>6.2899999999999998E-2</v>
      </c>
      <c r="CC1227" s="59">
        <v>0.40529999999999999</v>
      </c>
      <c r="CD1227" s="63">
        <v>0.39290000000000003</v>
      </c>
      <c r="CE1227" s="63">
        <v>0.20169999999999999</v>
      </c>
      <c r="CF1227" s="63">
        <v>0</v>
      </c>
      <c r="CG1227" s="63">
        <v>0</v>
      </c>
      <c r="CH1227" s="87">
        <v>11.7</v>
      </c>
      <c r="CI1227" s="26" t="s">
        <v>404</v>
      </c>
      <c r="CJ1227" s="18" t="s">
        <v>505</v>
      </c>
      <c r="CK1227" s="20"/>
    </row>
    <row r="1228" spans="1:89" x14ac:dyDescent="0.25">
      <c r="A1228" s="18" t="s">
        <v>505</v>
      </c>
      <c r="B1228" s="19" t="s">
        <v>403</v>
      </c>
      <c r="C1228" s="26" t="s">
        <v>405</v>
      </c>
      <c r="D1228" s="6">
        <v>19</v>
      </c>
      <c r="E1228" s="40" t="s">
        <v>83</v>
      </c>
      <c r="F1228" s="6">
        <v>19</v>
      </c>
      <c r="N1228" s="119">
        <v>2.1468926553672298E-2</v>
      </c>
      <c r="O1228" s="119">
        <v>2.1468926553672298E-2</v>
      </c>
      <c r="P1228" s="116" t="s">
        <v>83</v>
      </c>
      <c r="Q1228" s="116" t="s">
        <v>83</v>
      </c>
      <c r="R1228" s="119">
        <v>0</v>
      </c>
      <c r="S1228" s="119">
        <v>4.9504950495049497E-3</v>
      </c>
      <c r="T1228" s="119">
        <v>2.4793388429752101E-2</v>
      </c>
      <c r="U1228" s="119">
        <v>2.6315789473684199E-2</v>
      </c>
      <c r="V1228" s="119">
        <v>3.0456852791878201E-2</v>
      </c>
      <c r="W1228" s="6">
        <v>823</v>
      </c>
      <c r="X1228" s="40">
        <f t="shared" si="86"/>
        <v>823</v>
      </c>
      <c r="Y1228" s="40">
        <f t="shared" si="87"/>
        <v>823</v>
      </c>
      <c r="Z1228" s="59">
        <v>0.4945</v>
      </c>
      <c r="AA1228" s="59">
        <v>0.50549999999999995</v>
      </c>
      <c r="AB1228" s="61">
        <v>0</v>
      </c>
      <c r="AC1228" s="61">
        <v>4.8602673147023082E-3</v>
      </c>
      <c r="AD1228" s="61">
        <v>0.5613608748481167</v>
      </c>
      <c r="AE1228" s="61">
        <v>1.5795868772782502E-2</v>
      </c>
      <c r="AF1228" s="61">
        <v>0</v>
      </c>
      <c r="AG1228" s="61">
        <v>0.40826245443499393</v>
      </c>
      <c r="AH1228" s="61">
        <v>9.7205346294046164E-3</v>
      </c>
      <c r="AI1228" s="61">
        <v>0.59173754556500613</v>
      </c>
      <c r="AJ1228" s="59">
        <v>0.68169999999999997</v>
      </c>
      <c r="AK1228" s="59">
        <v>4.8999999999999998E-3</v>
      </c>
      <c r="AL1228" s="3">
        <v>0</v>
      </c>
      <c r="AM1228" s="3">
        <v>0</v>
      </c>
      <c r="AN1228" s="3">
        <v>16</v>
      </c>
      <c r="AO1228" s="3">
        <v>184</v>
      </c>
      <c r="AP1228" s="3">
        <v>231</v>
      </c>
      <c r="AQ1228" s="3">
        <v>207</v>
      </c>
      <c r="AR1228" s="3">
        <v>185</v>
      </c>
      <c r="AS1228" s="59">
        <v>0.08</v>
      </c>
      <c r="AT1228" s="3">
        <v>9</v>
      </c>
      <c r="AU1228" s="3">
        <v>6</v>
      </c>
      <c r="AV1228" s="49">
        <v>69.021739130434796</v>
      </c>
      <c r="AW1228" s="49">
        <v>16.0326086956522</v>
      </c>
      <c r="AX1228" s="49">
        <v>12.228260869565199</v>
      </c>
      <c r="AY1228" s="67">
        <v>2.7173913043478297</v>
      </c>
      <c r="AZ1228" s="63">
        <v>9.1638029782359683E-3</v>
      </c>
      <c r="BA1228" s="63">
        <v>0.14432989690721648</v>
      </c>
      <c r="BB1228" s="77">
        <v>90.045340161258395</v>
      </c>
      <c r="BC1228" s="49">
        <v>62.143671607753703</v>
      </c>
      <c r="BD1228" s="49"/>
      <c r="BE1228" s="49"/>
      <c r="BF1228" s="49"/>
      <c r="BG1228" s="49"/>
      <c r="BH1228" s="49"/>
      <c r="BI1228" s="49"/>
      <c r="BJ1228" s="88">
        <v>19.100000000000001</v>
      </c>
      <c r="BK1228" s="126">
        <v>11087</v>
      </c>
      <c r="BL1228" s="126">
        <v>54969</v>
      </c>
      <c r="BM1228" s="126">
        <v>44432</v>
      </c>
      <c r="BN1228" s="126">
        <v>43753</v>
      </c>
      <c r="BO1228" s="59">
        <v>0</v>
      </c>
      <c r="BP1228" s="63">
        <v>0.39950000000000002</v>
      </c>
      <c r="BQ1228" s="63">
        <v>0.1842</v>
      </c>
      <c r="BR1228" s="63">
        <v>0</v>
      </c>
      <c r="BS1228" s="63">
        <v>0</v>
      </c>
      <c r="BT1228" s="87">
        <v>18</v>
      </c>
      <c r="BU1228" s="59">
        <f t="shared" si="88"/>
        <v>0.5837</v>
      </c>
      <c r="BV1228" s="59">
        <v>3.2899999999999999E-2</v>
      </c>
      <c r="BW1228" s="63">
        <v>0</v>
      </c>
      <c r="BX1228" s="63">
        <v>3.2899999999999999E-2</v>
      </c>
      <c r="BY1228" s="63">
        <v>0</v>
      </c>
      <c r="BZ1228" s="63">
        <v>0</v>
      </c>
      <c r="CA1228" s="87">
        <v>18.5</v>
      </c>
      <c r="CB1228" s="59">
        <f t="shared" si="89"/>
        <v>6.5799999999999997E-2</v>
      </c>
      <c r="CC1228" s="59">
        <v>0.32869999999999999</v>
      </c>
      <c r="CD1228" s="63">
        <v>0.4214</v>
      </c>
      <c r="CE1228" s="63">
        <v>0.24990000000000001</v>
      </c>
      <c r="CF1228" s="63">
        <v>0</v>
      </c>
      <c r="CG1228" s="63">
        <v>0</v>
      </c>
      <c r="CH1228" s="87">
        <v>16.100000000000001</v>
      </c>
      <c r="CI1228" s="26" t="s">
        <v>405</v>
      </c>
      <c r="CJ1228" s="18" t="s">
        <v>505</v>
      </c>
      <c r="CK1228" s="20"/>
    </row>
    <row r="1229" spans="1:89" x14ac:dyDescent="0.25">
      <c r="A1229" s="18" t="s">
        <v>505</v>
      </c>
      <c r="B1229" s="19" t="s">
        <v>403</v>
      </c>
      <c r="C1229" s="26" t="s">
        <v>406</v>
      </c>
      <c r="D1229" s="6">
        <v>11</v>
      </c>
      <c r="E1229" s="6">
        <v>1</v>
      </c>
      <c r="F1229" s="6">
        <v>10</v>
      </c>
      <c r="N1229" s="119">
        <v>2.0793950850661599E-2</v>
      </c>
      <c r="O1229" s="119">
        <v>2.9940119760479E-2</v>
      </c>
      <c r="P1229" s="119">
        <v>0</v>
      </c>
      <c r="Q1229" s="119">
        <v>1.0416666666666701E-2</v>
      </c>
      <c r="R1229" s="116" t="s">
        <v>83</v>
      </c>
      <c r="S1229" s="119">
        <v>2.1739130434782601E-2</v>
      </c>
      <c r="T1229" s="119">
        <v>2.06185567010309E-2</v>
      </c>
      <c r="U1229" s="119">
        <v>3.7499999999999999E-2</v>
      </c>
      <c r="V1229" s="119">
        <v>4.6153846153846198E-2</v>
      </c>
      <c r="W1229" s="6">
        <v>576</v>
      </c>
      <c r="X1229" s="40">
        <f t="shared" si="86"/>
        <v>305</v>
      </c>
      <c r="Y1229" s="40">
        <f t="shared" si="87"/>
        <v>486</v>
      </c>
      <c r="Z1229" s="59">
        <v>0.48089999999999999</v>
      </c>
      <c r="AA1229" s="59">
        <v>0.51910000000000001</v>
      </c>
      <c r="AB1229" s="61">
        <v>0</v>
      </c>
      <c r="AC1229" s="61">
        <v>6.9444444444444441E-3</v>
      </c>
      <c r="AD1229" s="61">
        <v>0.234375</v>
      </c>
      <c r="AE1229" s="61">
        <v>4.3402777777777776E-2</v>
      </c>
      <c r="AF1229" s="61">
        <v>0</v>
      </c>
      <c r="AG1229" s="61">
        <v>0.69270833333333337</v>
      </c>
      <c r="AH1229" s="61">
        <v>2.2569444444444444E-2</v>
      </c>
      <c r="AI1229" s="61">
        <v>0.30729166666666669</v>
      </c>
      <c r="AJ1229" s="59">
        <v>0.61109999999999998</v>
      </c>
      <c r="AK1229" s="59">
        <v>1.3899999999999999E-2</v>
      </c>
      <c r="AL1229" s="3">
        <v>96</v>
      </c>
      <c r="AM1229" s="3">
        <v>85</v>
      </c>
      <c r="AN1229" s="3">
        <v>0</v>
      </c>
      <c r="AO1229" s="3">
        <v>83</v>
      </c>
      <c r="AP1229" s="3">
        <v>89</v>
      </c>
      <c r="AQ1229" s="3">
        <v>73</v>
      </c>
      <c r="AR1229" s="3">
        <v>60</v>
      </c>
      <c r="AS1229" s="59">
        <v>0</v>
      </c>
      <c r="AT1229" s="3">
        <v>6</v>
      </c>
      <c r="AU1229" s="3">
        <v>6</v>
      </c>
      <c r="AV1229" s="49">
        <v>58.181818181818201</v>
      </c>
      <c r="AW1229" s="49">
        <v>6.9696969696969706</v>
      </c>
      <c r="AX1229" s="49">
        <v>33.3333333333333</v>
      </c>
      <c r="AY1229" s="67">
        <v>1.51515151515152</v>
      </c>
      <c r="AZ1229" s="63">
        <v>5.2032520325203252E-2</v>
      </c>
      <c r="BA1229" s="63">
        <v>8.2926829268292687E-2</v>
      </c>
      <c r="BB1229" s="78">
        <v>92.598587252174497</v>
      </c>
      <c r="BC1229" s="49">
        <v>50.726978998384503</v>
      </c>
      <c r="BD1229" s="49"/>
      <c r="BE1229" s="49"/>
      <c r="BF1229" s="49"/>
      <c r="BG1229" s="49"/>
      <c r="BH1229" s="49"/>
      <c r="BI1229" s="49"/>
      <c r="BJ1229" s="88">
        <v>18.2</v>
      </c>
      <c r="BK1229" s="126">
        <v>9077</v>
      </c>
      <c r="BL1229" s="126">
        <v>52735</v>
      </c>
      <c r="BM1229" s="126">
        <v>46818</v>
      </c>
      <c r="BN1229" s="126">
        <v>43319</v>
      </c>
      <c r="BO1229" s="59">
        <v>0</v>
      </c>
      <c r="BP1229" s="63">
        <v>0.36030000000000001</v>
      </c>
      <c r="BQ1229" s="63">
        <v>0.24099999999999999</v>
      </c>
      <c r="BR1229" s="63">
        <v>0</v>
      </c>
      <c r="BS1229" s="63">
        <v>0</v>
      </c>
      <c r="BT1229" s="87">
        <v>12.5</v>
      </c>
      <c r="BU1229" s="59">
        <f t="shared" si="88"/>
        <v>0.60129999999999995</v>
      </c>
      <c r="BV1229" s="59">
        <v>4.02E-2</v>
      </c>
      <c r="BW1229" s="63">
        <v>0</v>
      </c>
      <c r="BX1229" s="63">
        <v>4.02E-2</v>
      </c>
      <c r="BY1229" s="63">
        <v>0</v>
      </c>
      <c r="BZ1229" s="63">
        <v>0</v>
      </c>
      <c r="CA1229" s="87">
        <v>17.3</v>
      </c>
      <c r="CB1229" s="59">
        <f t="shared" si="89"/>
        <v>8.0399999999999999E-2</v>
      </c>
      <c r="CC1229" s="59">
        <v>0.2974</v>
      </c>
      <c r="CD1229" s="63">
        <v>0.40129999999999999</v>
      </c>
      <c r="CE1229" s="63">
        <v>0.30130000000000001</v>
      </c>
      <c r="CF1229" s="63">
        <v>0</v>
      </c>
      <c r="CG1229" s="63">
        <v>0</v>
      </c>
      <c r="CH1229" s="87">
        <v>14.7</v>
      </c>
      <c r="CI1229" s="26" t="s">
        <v>406</v>
      </c>
      <c r="CJ1229" s="18" t="s">
        <v>505</v>
      </c>
      <c r="CK1229" s="20"/>
    </row>
    <row r="1230" spans="1:89" x14ac:dyDescent="0.25">
      <c r="A1230" s="18" t="s">
        <v>505</v>
      </c>
      <c r="B1230" s="19" t="s">
        <v>403</v>
      </c>
      <c r="C1230" s="26" t="s">
        <v>407</v>
      </c>
      <c r="D1230" s="6">
        <v>12</v>
      </c>
      <c r="E1230" s="40" t="s">
        <v>83</v>
      </c>
      <c r="F1230" s="6">
        <v>12</v>
      </c>
      <c r="N1230" s="119">
        <v>2.0512820512820499E-2</v>
      </c>
      <c r="O1230" s="119">
        <v>2.0512820512820499E-2</v>
      </c>
      <c r="P1230" s="116" t="s">
        <v>83</v>
      </c>
      <c r="Q1230" s="116" t="s">
        <v>83</v>
      </c>
      <c r="R1230" s="119">
        <v>0</v>
      </c>
      <c r="S1230" s="119">
        <v>0</v>
      </c>
      <c r="T1230" s="119">
        <v>6.6666666666666697E-3</v>
      </c>
      <c r="U1230" s="119">
        <v>1.9230769230769201E-2</v>
      </c>
      <c r="V1230" s="119">
        <v>6.3492063492063502E-2</v>
      </c>
      <c r="W1230" s="6">
        <v>540</v>
      </c>
      <c r="X1230" s="40">
        <f t="shared" si="86"/>
        <v>540</v>
      </c>
      <c r="Y1230" s="40">
        <f t="shared" si="87"/>
        <v>540</v>
      </c>
      <c r="Z1230" s="59">
        <v>0.49259999999999998</v>
      </c>
      <c r="AA1230" s="59">
        <v>0.50739999999999996</v>
      </c>
      <c r="AB1230" s="61">
        <v>0</v>
      </c>
      <c r="AC1230" s="61">
        <v>1.8518518518518519E-3</v>
      </c>
      <c r="AD1230" s="61">
        <v>0.39814814814814814</v>
      </c>
      <c r="AE1230" s="61">
        <v>1.1111111111111112E-2</v>
      </c>
      <c r="AF1230" s="61">
        <v>0</v>
      </c>
      <c r="AG1230" s="61">
        <v>0.57962962962962961</v>
      </c>
      <c r="AH1230" s="61">
        <v>9.2592592592592587E-3</v>
      </c>
      <c r="AI1230" s="61">
        <v>0.42037037037037039</v>
      </c>
      <c r="AJ1230" s="59">
        <v>0.60740000000000005</v>
      </c>
      <c r="AK1230" s="59">
        <v>0</v>
      </c>
      <c r="AL1230" s="3">
        <v>0</v>
      </c>
      <c r="AM1230" s="3">
        <v>0</v>
      </c>
      <c r="AN1230" s="3">
        <v>6</v>
      </c>
      <c r="AO1230" s="3">
        <v>133</v>
      </c>
      <c r="AP1230" s="3">
        <v>135</v>
      </c>
      <c r="AQ1230" s="3">
        <v>147</v>
      </c>
      <c r="AR1230" s="3">
        <v>119</v>
      </c>
      <c r="AS1230" s="59">
        <v>4.3165467625899283E-2</v>
      </c>
      <c r="AT1230" s="3">
        <v>9</v>
      </c>
      <c r="AU1230" s="3">
        <v>6</v>
      </c>
      <c r="AV1230" s="49">
        <v>60.273972602739704</v>
      </c>
      <c r="AW1230" s="49">
        <v>18.264840182648399</v>
      </c>
      <c r="AX1230" s="49">
        <v>18.721461187214601</v>
      </c>
      <c r="AY1230" s="67">
        <v>2.7397260273972601</v>
      </c>
      <c r="AZ1230" s="63">
        <v>0.23170731707317074</v>
      </c>
      <c r="BA1230" s="63">
        <v>0.14982578397212543</v>
      </c>
      <c r="BB1230" s="77">
        <v>91.207983664677101</v>
      </c>
      <c r="BC1230" s="49">
        <v>66.8977469670711</v>
      </c>
      <c r="BD1230" s="49"/>
      <c r="BE1230" s="49"/>
      <c r="BF1230" s="49"/>
      <c r="BG1230" s="49"/>
      <c r="BH1230" s="49"/>
      <c r="BI1230" s="49"/>
      <c r="BJ1230" s="88">
        <v>18.8</v>
      </c>
      <c r="BK1230" s="126">
        <v>10634</v>
      </c>
      <c r="BL1230" s="126">
        <v>53049</v>
      </c>
      <c r="BM1230" s="126">
        <v>51058</v>
      </c>
      <c r="BN1230" s="126">
        <v>41193</v>
      </c>
      <c r="BO1230" s="59">
        <v>0</v>
      </c>
      <c r="BP1230" s="63">
        <v>0.41420000000000001</v>
      </c>
      <c r="BQ1230" s="63">
        <v>0.13469999999999999</v>
      </c>
      <c r="BR1230" s="63">
        <v>0</v>
      </c>
      <c r="BS1230" s="63">
        <v>0</v>
      </c>
      <c r="BT1230" s="87">
        <v>12</v>
      </c>
      <c r="BU1230" s="59">
        <f t="shared" si="88"/>
        <v>0.54889999999999994</v>
      </c>
      <c r="BV1230" s="59">
        <v>3.3599999999999998E-2</v>
      </c>
      <c r="BW1230" s="63">
        <v>0</v>
      </c>
      <c r="BX1230" s="63">
        <v>5.04E-2</v>
      </c>
      <c r="BY1230" s="63">
        <v>0</v>
      </c>
      <c r="BZ1230" s="63">
        <v>0</v>
      </c>
      <c r="CA1230" s="87">
        <v>15.8</v>
      </c>
      <c r="CB1230" s="59">
        <f t="shared" si="89"/>
        <v>8.3999999999999991E-2</v>
      </c>
      <c r="CC1230" s="59">
        <v>0.3503</v>
      </c>
      <c r="CD1230" s="63">
        <v>0.43099999999999999</v>
      </c>
      <c r="CE1230" s="63">
        <v>0.21870000000000001</v>
      </c>
      <c r="CF1230" s="63">
        <v>0</v>
      </c>
      <c r="CG1230" s="63">
        <v>0</v>
      </c>
      <c r="CH1230" s="87">
        <v>10.5</v>
      </c>
      <c r="CI1230" s="26" t="s">
        <v>407</v>
      </c>
      <c r="CJ1230" s="18" t="s">
        <v>505</v>
      </c>
      <c r="CK1230" s="20"/>
    </row>
    <row r="1231" spans="1:89" x14ac:dyDescent="0.25">
      <c r="A1231" s="18" t="s">
        <v>505</v>
      </c>
      <c r="B1231" s="19" t="s">
        <v>408</v>
      </c>
      <c r="C1231" s="26" t="s">
        <v>409</v>
      </c>
      <c r="D1231" s="6">
        <v>14</v>
      </c>
      <c r="E1231" s="40" t="s">
        <v>83</v>
      </c>
      <c r="F1231" s="6">
        <v>14</v>
      </c>
      <c r="N1231" s="119">
        <v>2.27642276422764E-2</v>
      </c>
      <c r="O1231" s="119">
        <v>2.27642276422764E-2</v>
      </c>
      <c r="P1231" s="116" t="s">
        <v>83</v>
      </c>
      <c r="Q1231" s="116" t="s">
        <v>83</v>
      </c>
      <c r="R1231" s="119">
        <v>0</v>
      </c>
      <c r="S1231" s="119">
        <v>3.3707865168539297E-2</v>
      </c>
      <c r="T1231" s="119">
        <v>1.8987341772151899E-2</v>
      </c>
      <c r="U1231" s="119">
        <v>0.02</v>
      </c>
      <c r="V1231" s="119">
        <v>1.6806722689075598E-2</v>
      </c>
      <c r="W1231" s="6">
        <v>586</v>
      </c>
      <c r="X1231" s="40">
        <f t="shared" si="86"/>
        <v>586</v>
      </c>
      <c r="Y1231" s="40">
        <f t="shared" si="87"/>
        <v>586</v>
      </c>
      <c r="Z1231" s="59">
        <v>0.43859999999999999</v>
      </c>
      <c r="AA1231" s="59">
        <v>0.56140000000000001</v>
      </c>
      <c r="AB1231" s="61">
        <v>1.7064846416382253E-3</v>
      </c>
      <c r="AC1231" s="61">
        <v>5.1194539249146756E-3</v>
      </c>
      <c r="AD1231" s="61">
        <v>0.36177474402730375</v>
      </c>
      <c r="AE1231" s="61">
        <v>3.7542662116040959E-2</v>
      </c>
      <c r="AF1231" s="61">
        <v>0</v>
      </c>
      <c r="AG1231" s="61">
        <v>0.59385665529010234</v>
      </c>
      <c r="AH1231" s="61">
        <v>0</v>
      </c>
      <c r="AI1231" s="61">
        <v>0.4061433447098976</v>
      </c>
      <c r="AJ1231" s="59">
        <v>0.42149999999999999</v>
      </c>
      <c r="AK1231" s="59">
        <v>1.0200000000000001E-2</v>
      </c>
      <c r="AL1231" s="3">
        <v>0</v>
      </c>
      <c r="AM1231" s="3">
        <v>0</v>
      </c>
      <c r="AN1231" s="3">
        <v>11</v>
      </c>
      <c r="AO1231" s="3">
        <v>168</v>
      </c>
      <c r="AP1231" s="3">
        <v>150</v>
      </c>
      <c r="AQ1231" s="3">
        <v>145</v>
      </c>
      <c r="AR1231" s="3">
        <v>112</v>
      </c>
      <c r="AS1231" s="59">
        <v>6.1452513966480445E-2</v>
      </c>
      <c r="AT1231" s="3">
        <v>9</v>
      </c>
      <c r="AU1231" s="3">
        <v>6</v>
      </c>
      <c r="AV1231" s="49">
        <v>70.287539936102192</v>
      </c>
      <c r="AW1231" s="49">
        <v>26.198083067092696</v>
      </c>
      <c r="AX1231" s="49">
        <v>3.19488817891374</v>
      </c>
      <c r="AY1231" s="67">
        <v>0.31948881789137401</v>
      </c>
      <c r="AZ1231" s="63">
        <v>0.17656765676567657</v>
      </c>
      <c r="BA1231" s="63">
        <v>3.3003300330033004E-3</v>
      </c>
      <c r="BB1231" s="78">
        <v>94.258527616961302</v>
      </c>
      <c r="BC1231" s="49">
        <v>51.070840197693599</v>
      </c>
      <c r="BD1231" s="49"/>
      <c r="BE1231" s="49"/>
      <c r="BF1231" s="49"/>
      <c r="BG1231" s="49"/>
      <c r="BH1231" s="49"/>
      <c r="BI1231" s="49"/>
      <c r="BJ1231" s="88">
        <v>19.2</v>
      </c>
      <c r="BK1231" s="126">
        <v>13352</v>
      </c>
      <c r="BL1231" s="126">
        <v>56795</v>
      </c>
      <c r="BM1231" s="126">
        <v>59116</v>
      </c>
      <c r="BN1231" s="126">
        <v>49998</v>
      </c>
      <c r="BO1231" s="59">
        <v>0</v>
      </c>
      <c r="BP1231" s="63">
        <v>0.4627</v>
      </c>
      <c r="BQ1231" s="63">
        <v>0.19400000000000001</v>
      </c>
      <c r="BR1231" s="63">
        <v>0</v>
      </c>
      <c r="BS1231" s="63">
        <v>1.49E-2</v>
      </c>
      <c r="BT1231" s="87">
        <v>14.3</v>
      </c>
      <c r="BU1231" s="59">
        <f t="shared" si="88"/>
        <v>0.67160000000000009</v>
      </c>
      <c r="BV1231" s="59">
        <v>2.9899999999999999E-2</v>
      </c>
      <c r="BW1231" s="63">
        <v>0</v>
      </c>
      <c r="BX1231" s="63">
        <v>4.48E-2</v>
      </c>
      <c r="BY1231" s="63">
        <v>0</v>
      </c>
      <c r="BZ1231" s="63">
        <v>0</v>
      </c>
      <c r="CA1231" s="87">
        <v>22.8</v>
      </c>
      <c r="CB1231" s="59">
        <f t="shared" si="89"/>
        <v>7.4700000000000003E-2</v>
      </c>
      <c r="CC1231" s="59">
        <v>0.22389999999999999</v>
      </c>
      <c r="CD1231" s="63">
        <v>0.47760000000000002</v>
      </c>
      <c r="CE1231" s="63">
        <v>0.28360000000000002</v>
      </c>
      <c r="CF1231" s="63">
        <v>0</v>
      </c>
      <c r="CG1231" s="63">
        <v>1.49E-2</v>
      </c>
      <c r="CH1231" s="87">
        <v>14.4</v>
      </c>
      <c r="CI1231" s="26" t="s">
        <v>409</v>
      </c>
      <c r="CJ1231" s="18" t="s">
        <v>505</v>
      </c>
      <c r="CK1231" s="20"/>
    </row>
    <row r="1232" spans="1:89" x14ac:dyDescent="0.25">
      <c r="A1232" s="18" t="s">
        <v>505</v>
      </c>
      <c r="B1232" s="19" t="s">
        <v>408</v>
      </c>
      <c r="C1232" s="26" t="s">
        <v>410</v>
      </c>
      <c r="D1232" s="6">
        <v>5</v>
      </c>
      <c r="E1232" s="40" t="s">
        <v>83</v>
      </c>
      <c r="F1232" s="6">
        <v>5</v>
      </c>
      <c r="N1232" s="119">
        <v>1.15473441108545E-2</v>
      </c>
      <c r="O1232" s="119">
        <v>1.15473441108545E-2</v>
      </c>
      <c r="P1232" s="116" t="s">
        <v>83</v>
      </c>
      <c r="Q1232" s="116" t="s">
        <v>83</v>
      </c>
      <c r="R1232" s="119">
        <v>0</v>
      </c>
      <c r="S1232" s="119">
        <v>7.63358778625954E-3</v>
      </c>
      <c r="T1232" s="119">
        <v>1.0638297872340399E-2</v>
      </c>
      <c r="U1232" s="119">
        <v>1.1494252873563199E-2</v>
      </c>
      <c r="V1232" s="119">
        <v>1.6949152542372899E-2</v>
      </c>
      <c r="W1232" s="6">
        <v>403</v>
      </c>
      <c r="X1232" s="40">
        <f t="shared" si="86"/>
        <v>403</v>
      </c>
      <c r="Y1232" s="40">
        <f t="shared" si="87"/>
        <v>403</v>
      </c>
      <c r="Z1232" s="59">
        <v>0.47149999999999997</v>
      </c>
      <c r="AA1232" s="59">
        <v>0.52849999999999997</v>
      </c>
      <c r="AB1232" s="61">
        <v>0</v>
      </c>
      <c r="AC1232" s="61">
        <v>4.9627791563275434E-3</v>
      </c>
      <c r="AD1232" s="61">
        <v>0.74937965260545902</v>
      </c>
      <c r="AE1232" s="61">
        <v>6.4516129032258063E-2</v>
      </c>
      <c r="AF1232" s="61">
        <v>0</v>
      </c>
      <c r="AG1232" s="61">
        <v>0.17617866004962779</v>
      </c>
      <c r="AH1232" s="61">
        <v>4.9627791563275434E-3</v>
      </c>
      <c r="AI1232" s="61">
        <v>0.82382133995037221</v>
      </c>
      <c r="AJ1232" s="59">
        <v>0.71460000000000001</v>
      </c>
      <c r="AK1232" s="59">
        <v>3.7199999999999997E-2</v>
      </c>
      <c r="AL1232" s="3">
        <v>0</v>
      </c>
      <c r="AM1232" s="3">
        <v>0</v>
      </c>
      <c r="AN1232" s="3">
        <v>4</v>
      </c>
      <c r="AO1232" s="3">
        <v>114</v>
      </c>
      <c r="AP1232" s="3">
        <v>90</v>
      </c>
      <c r="AQ1232" s="3">
        <v>83</v>
      </c>
      <c r="AR1232" s="3">
        <v>112</v>
      </c>
      <c r="AS1232" s="59">
        <v>3.3898305084745763E-2</v>
      </c>
      <c r="AT1232" s="3">
        <v>9</v>
      </c>
      <c r="AU1232" s="3">
        <v>6</v>
      </c>
      <c r="AV1232" s="49">
        <v>86.816720257234707</v>
      </c>
      <c r="AW1232" s="49">
        <v>9.6463022508038598</v>
      </c>
      <c r="AX1232" s="49">
        <v>3.21543408360129</v>
      </c>
      <c r="AY1232" s="67">
        <v>0.32154340836012901</v>
      </c>
      <c r="AZ1232" s="63">
        <v>0.37731481481481483</v>
      </c>
      <c r="BA1232" s="63">
        <v>1.1574074074074073E-2</v>
      </c>
      <c r="BB1232" s="77">
        <v>93.153967959599996</v>
      </c>
      <c r="BC1232" s="49">
        <v>48.036951501154697</v>
      </c>
      <c r="BD1232" s="49"/>
      <c r="BE1232" s="49"/>
      <c r="BF1232" s="49"/>
      <c r="BG1232" s="49"/>
      <c r="BH1232" s="49"/>
      <c r="BI1232" s="49"/>
      <c r="BJ1232" s="88">
        <v>18.5</v>
      </c>
      <c r="BK1232" s="126">
        <v>16456</v>
      </c>
      <c r="BL1232" s="126">
        <v>54492</v>
      </c>
      <c r="BM1232" s="126">
        <v>55142</v>
      </c>
      <c r="BN1232" s="126">
        <v>46687</v>
      </c>
      <c r="BO1232" s="59">
        <v>0</v>
      </c>
      <c r="BP1232" s="63">
        <v>0.38769999999999999</v>
      </c>
      <c r="BQ1232" s="63">
        <v>0.18809999999999999</v>
      </c>
      <c r="BR1232" s="63">
        <v>1.5100000000000001E-2</v>
      </c>
      <c r="BS1232" s="63">
        <v>3.0200000000000001E-2</v>
      </c>
      <c r="BT1232" s="87">
        <v>9.4</v>
      </c>
      <c r="BU1232" s="59">
        <f t="shared" si="88"/>
        <v>0.62109999999999999</v>
      </c>
      <c r="BV1232" s="59">
        <v>3.6799999999999999E-2</v>
      </c>
      <c r="BW1232" s="63">
        <v>0</v>
      </c>
      <c r="BX1232" s="63">
        <v>4.5199999999999997E-2</v>
      </c>
      <c r="BY1232" s="63">
        <v>0</v>
      </c>
      <c r="BZ1232" s="63">
        <v>0</v>
      </c>
      <c r="CA1232" s="87">
        <v>17.5</v>
      </c>
      <c r="CB1232" s="59">
        <f t="shared" si="89"/>
        <v>8.199999999999999E-2</v>
      </c>
      <c r="CC1232" s="59">
        <v>0.2586</v>
      </c>
      <c r="CD1232" s="63">
        <v>0.41760000000000003</v>
      </c>
      <c r="CE1232" s="63">
        <v>0.27860000000000001</v>
      </c>
      <c r="CF1232" s="63">
        <v>1.5100000000000001E-2</v>
      </c>
      <c r="CG1232" s="63">
        <v>3.0200000000000001E-2</v>
      </c>
      <c r="CH1232" s="87">
        <v>10.6</v>
      </c>
      <c r="CI1232" s="26" t="s">
        <v>410</v>
      </c>
      <c r="CJ1232" s="18" t="s">
        <v>505</v>
      </c>
      <c r="CK1232" s="20"/>
    </row>
    <row r="1233" spans="1:99" x14ac:dyDescent="0.25">
      <c r="A1233" s="18" t="s">
        <v>505</v>
      </c>
      <c r="B1233" s="19" t="s">
        <v>411</v>
      </c>
      <c r="C1233" s="26" t="s">
        <v>412</v>
      </c>
      <c r="D1233" s="6">
        <v>2</v>
      </c>
      <c r="E1233" s="6">
        <v>0</v>
      </c>
      <c r="F1233" s="6">
        <v>2</v>
      </c>
      <c r="N1233" s="119">
        <v>1.7094017094017099E-2</v>
      </c>
      <c r="O1233" s="119">
        <v>2.8985507246376802E-2</v>
      </c>
      <c r="P1233" s="119">
        <v>0</v>
      </c>
      <c r="Q1233" s="119">
        <v>0</v>
      </c>
      <c r="R1233" s="116" t="s">
        <v>83</v>
      </c>
      <c r="S1233" s="119">
        <v>0</v>
      </c>
      <c r="T1233" s="119">
        <v>0</v>
      </c>
      <c r="U1233" s="119">
        <v>0.05</v>
      </c>
      <c r="V1233" s="119">
        <v>8.3333333333333301E-2</v>
      </c>
      <c r="W1233" s="6">
        <v>272</v>
      </c>
      <c r="X1233" s="40">
        <f t="shared" si="86"/>
        <v>60</v>
      </c>
      <c r="Y1233" s="40">
        <f t="shared" si="87"/>
        <v>95</v>
      </c>
      <c r="Z1233" s="59">
        <v>0.47789999999999999</v>
      </c>
      <c r="AA1233" s="59">
        <v>0.52210000000000001</v>
      </c>
      <c r="AB1233" s="61">
        <v>0</v>
      </c>
      <c r="AC1233" s="61">
        <v>0</v>
      </c>
      <c r="AD1233" s="61">
        <v>0.36029411764705882</v>
      </c>
      <c r="AE1233" s="61">
        <v>2.9411764705882353E-2</v>
      </c>
      <c r="AF1233" s="61">
        <v>0</v>
      </c>
      <c r="AG1233" s="61">
        <v>0.59926470588235292</v>
      </c>
      <c r="AH1233" s="61">
        <v>1.1029411764705883E-2</v>
      </c>
      <c r="AI1233" s="61">
        <v>0.40073529411764708</v>
      </c>
      <c r="AJ1233" s="59">
        <v>0.81620000000000004</v>
      </c>
      <c r="AK1233" s="59">
        <v>1.84E-2</v>
      </c>
      <c r="AL1233" s="3">
        <v>21</v>
      </c>
      <c r="AM1233" s="3">
        <v>14</v>
      </c>
      <c r="AN1233" s="3">
        <v>0</v>
      </c>
      <c r="AO1233" s="3">
        <v>16</v>
      </c>
      <c r="AP1233" s="3">
        <v>18</v>
      </c>
      <c r="AQ1233" s="3">
        <v>15</v>
      </c>
      <c r="AR1233" s="3">
        <v>11</v>
      </c>
      <c r="AS1233" s="59">
        <v>0</v>
      </c>
      <c r="AT1233" s="3">
        <v>1</v>
      </c>
      <c r="AU1233" s="3">
        <v>6</v>
      </c>
      <c r="AV1233" s="49">
        <v>80.794701986755001</v>
      </c>
      <c r="AW1233" s="49">
        <v>19.205298013245002</v>
      </c>
      <c r="AX1233" s="49">
        <v>0</v>
      </c>
      <c r="AY1233" s="67">
        <v>0</v>
      </c>
      <c r="AZ1233" s="63">
        <v>5.8282208588957052E-2</v>
      </c>
      <c r="BA1233" s="63">
        <v>3.0674846625766872E-3</v>
      </c>
      <c r="BB1233" s="78">
        <v>93.787457312798296</v>
      </c>
      <c r="BC1233" s="49">
        <v>51.446945337620598</v>
      </c>
      <c r="BD1233" s="49"/>
      <c r="BE1233" s="49"/>
      <c r="BF1233" s="49"/>
      <c r="BG1233" s="49"/>
      <c r="BH1233" s="49"/>
      <c r="BI1233" s="49"/>
      <c r="BJ1233" s="87"/>
      <c r="BK1233" s="126">
        <v>11432</v>
      </c>
      <c r="BL1233" s="126">
        <v>47878</v>
      </c>
      <c r="BM1233" s="126">
        <v>49761</v>
      </c>
      <c r="BN1233" s="126">
        <v>37503</v>
      </c>
      <c r="BO1233" s="59">
        <v>0</v>
      </c>
      <c r="BP1233" s="63">
        <v>0.3241</v>
      </c>
      <c r="BQ1233" s="63">
        <v>0.2339</v>
      </c>
      <c r="BR1233" s="63">
        <v>0</v>
      </c>
      <c r="BS1233" s="63">
        <v>0</v>
      </c>
      <c r="BT1233" s="87">
        <v>15.7</v>
      </c>
      <c r="BU1233" s="59">
        <f t="shared" si="88"/>
        <v>0.55800000000000005</v>
      </c>
      <c r="BV1233" s="59">
        <v>2.9499999999999998E-2</v>
      </c>
      <c r="BW1233" s="63">
        <v>0</v>
      </c>
      <c r="BX1233" s="63">
        <v>2.9499999999999998E-2</v>
      </c>
      <c r="BY1233" s="63">
        <v>0</v>
      </c>
      <c r="BZ1233" s="63">
        <v>0</v>
      </c>
      <c r="CA1233" s="87">
        <v>18.5</v>
      </c>
      <c r="CB1233" s="59">
        <f t="shared" si="89"/>
        <v>5.8999999999999997E-2</v>
      </c>
      <c r="CC1233" s="59">
        <v>0.35360000000000003</v>
      </c>
      <c r="CD1233" s="63">
        <v>0.35360000000000003</v>
      </c>
      <c r="CE1233" s="63">
        <v>0.2928</v>
      </c>
      <c r="CF1233" s="63">
        <v>0</v>
      </c>
      <c r="CG1233" s="63">
        <v>0</v>
      </c>
      <c r="CH1233" s="87">
        <v>17.2</v>
      </c>
      <c r="CI1233" s="26" t="s">
        <v>412</v>
      </c>
      <c r="CJ1233" s="18" t="s">
        <v>505</v>
      </c>
      <c r="CK1233" s="20"/>
    </row>
    <row r="1234" spans="1:99" x14ac:dyDescent="0.25">
      <c r="A1234" s="18" t="s">
        <v>505</v>
      </c>
      <c r="B1234" s="19" t="s">
        <v>411</v>
      </c>
      <c r="C1234" s="26" t="s">
        <v>413</v>
      </c>
      <c r="D1234" s="6">
        <v>4</v>
      </c>
      <c r="E1234" s="6">
        <v>0</v>
      </c>
      <c r="F1234" s="6">
        <v>4</v>
      </c>
      <c r="N1234" s="119">
        <v>1.5748031496062999E-2</v>
      </c>
      <c r="O1234" s="119">
        <v>2.54777070063694E-2</v>
      </c>
      <c r="P1234" s="119">
        <v>0</v>
      </c>
      <c r="Q1234" s="119">
        <v>0</v>
      </c>
      <c r="R1234" s="116" t="s">
        <v>83</v>
      </c>
      <c r="S1234" s="119">
        <v>3.7037037037037E-2</v>
      </c>
      <c r="T1234" s="119">
        <v>0</v>
      </c>
      <c r="U1234" s="119">
        <v>2.7027027027027001E-2</v>
      </c>
      <c r="V1234" s="119">
        <v>3.3333333333333298E-2</v>
      </c>
      <c r="W1234" s="6">
        <v>557</v>
      </c>
      <c r="X1234" s="40">
        <f t="shared" si="86"/>
        <v>145</v>
      </c>
      <c r="Y1234" s="40">
        <f t="shared" si="87"/>
        <v>226</v>
      </c>
      <c r="Z1234" s="59">
        <v>0.45960000000000001</v>
      </c>
      <c r="AA1234" s="59">
        <v>0.54039999999999999</v>
      </c>
      <c r="AB1234" s="61">
        <v>1.7953321364452424E-3</v>
      </c>
      <c r="AC1234" s="61">
        <v>0</v>
      </c>
      <c r="AD1234" s="61">
        <v>0.10233393177737882</v>
      </c>
      <c r="AE1234" s="61">
        <v>5.9245960502692999E-2</v>
      </c>
      <c r="AF1234" s="61">
        <v>0</v>
      </c>
      <c r="AG1234" s="61">
        <v>0.82944344703770201</v>
      </c>
      <c r="AH1234" s="61">
        <v>7.1813285457809697E-3</v>
      </c>
      <c r="AI1234" s="61">
        <v>0.17055655296229802</v>
      </c>
      <c r="AJ1234" s="59">
        <v>0.73429999999999995</v>
      </c>
      <c r="AK1234" s="59">
        <v>1.0800000000000001E-2</v>
      </c>
      <c r="AL1234" s="3">
        <v>42</v>
      </c>
      <c r="AM1234" s="3">
        <v>39</v>
      </c>
      <c r="AN1234" s="3">
        <v>0</v>
      </c>
      <c r="AO1234" s="3">
        <v>50</v>
      </c>
      <c r="AP1234" s="3">
        <v>31</v>
      </c>
      <c r="AQ1234" s="3">
        <v>35</v>
      </c>
      <c r="AR1234" s="3">
        <v>29</v>
      </c>
      <c r="AS1234" s="59">
        <v>0</v>
      </c>
      <c r="AT1234" s="3">
        <v>1</v>
      </c>
      <c r="AU1234" s="3">
        <v>6</v>
      </c>
      <c r="AV1234" s="49">
        <v>77.508650519031093</v>
      </c>
      <c r="AW1234" s="49">
        <v>20.761245674740501</v>
      </c>
      <c r="AX1234" s="49">
        <v>1.0380622837370199</v>
      </c>
      <c r="AY1234" s="67">
        <v>0.69204152249134998</v>
      </c>
      <c r="AZ1234" s="63">
        <v>0.1098546042003231</v>
      </c>
      <c r="BA1234" s="63">
        <v>0</v>
      </c>
      <c r="BB1234" s="77">
        <v>93.771337358910699</v>
      </c>
      <c r="BC1234" s="49">
        <v>55.743243243243199</v>
      </c>
      <c r="BD1234" s="49"/>
      <c r="BE1234" s="49"/>
      <c r="BF1234" s="49"/>
      <c r="BG1234" s="49"/>
      <c r="BH1234" s="49"/>
      <c r="BI1234" s="49"/>
      <c r="BJ1234" s="88">
        <v>19.2</v>
      </c>
      <c r="BK1234" s="126">
        <v>10498</v>
      </c>
      <c r="BL1234" s="126">
        <v>48058</v>
      </c>
      <c r="BM1234" s="126">
        <v>45233</v>
      </c>
      <c r="BN1234" s="126">
        <v>34728</v>
      </c>
      <c r="BO1234" s="59">
        <v>0</v>
      </c>
      <c r="BP1234" s="63">
        <v>0.24740000000000001</v>
      </c>
      <c r="BQ1234" s="63">
        <v>0.2044</v>
      </c>
      <c r="BR1234" s="63">
        <v>0</v>
      </c>
      <c r="BS1234" s="63">
        <v>0</v>
      </c>
      <c r="BT1234" s="87">
        <v>18.399999999999999</v>
      </c>
      <c r="BU1234" s="59">
        <f t="shared" si="88"/>
        <v>0.45179999999999998</v>
      </c>
      <c r="BV1234" s="59">
        <v>2.8899999999999999E-2</v>
      </c>
      <c r="BW1234" s="63">
        <v>0</v>
      </c>
      <c r="BX1234" s="63">
        <v>2.7099999999999999E-2</v>
      </c>
      <c r="BY1234" s="63">
        <v>0</v>
      </c>
      <c r="BZ1234" s="63">
        <v>0</v>
      </c>
      <c r="CA1234" s="87">
        <v>24.9</v>
      </c>
      <c r="CB1234" s="59">
        <f t="shared" si="89"/>
        <v>5.5999999999999994E-2</v>
      </c>
      <c r="CC1234" s="59">
        <v>0.4486</v>
      </c>
      <c r="CD1234" s="63">
        <v>0.29089999999999999</v>
      </c>
      <c r="CE1234" s="63">
        <v>0.26050000000000001</v>
      </c>
      <c r="CF1234" s="63">
        <v>0</v>
      </c>
      <c r="CG1234" s="63">
        <v>0</v>
      </c>
      <c r="CH1234" s="87">
        <v>16.399999999999999</v>
      </c>
      <c r="CI1234" s="26" t="s">
        <v>413</v>
      </c>
      <c r="CJ1234" s="18" t="s">
        <v>505</v>
      </c>
      <c r="CK1234" s="20"/>
    </row>
    <row r="1235" spans="1:99" x14ac:dyDescent="0.25">
      <c r="A1235" s="18" t="s">
        <v>505</v>
      </c>
      <c r="B1235" s="19" t="s">
        <v>411</v>
      </c>
      <c r="C1235" s="26" t="s">
        <v>414</v>
      </c>
      <c r="D1235" s="6">
        <v>1</v>
      </c>
      <c r="E1235" s="6">
        <v>0</v>
      </c>
      <c r="F1235" s="6">
        <v>1</v>
      </c>
      <c r="N1235" s="119">
        <v>6.5359477124183E-3</v>
      </c>
      <c r="O1235" s="119">
        <v>1.0416666666666701E-2</v>
      </c>
      <c r="P1235" s="119">
        <v>0</v>
      </c>
      <c r="Q1235" s="119">
        <v>0</v>
      </c>
      <c r="R1235" s="116" t="s">
        <v>83</v>
      </c>
      <c r="S1235" s="119">
        <v>0</v>
      </c>
      <c r="T1235" s="119">
        <v>3.7037037037037E-2</v>
      </c>
      <c r="U1235" s="119">
        <v>0</v>
      </c>
      <c r="V1235" s="119">
        <v>0</v>
      </c>
      <c r="W1235" s="6">
        <v>321</v>
      </c>
      <c r="X1235" s="40">
        <f t="shared" si="86"/>
        <v>84</v>
      </c>
      <c r="Y1235" s="40">
        <f t="shared" si="87"/>
        <v>132</v>
      </c>
      <c r="Z1235" s="59">
        <v>0.47039999999999998</v>
      </c>
      <c r="AA1235" s="59">
        <v>0.52959999999999996</v>
      </c>
      <c r="AB1235" s="61">
        <v>9.3457943925233638E-3</v>
      </c>
      <c r="AC1235" s="61">
        <v>0</v>
      </c>
      <c r="AD1235" s="61">
        <v>0.12149532710280374</v>
      </c>
      <c r="AE1235" s="61">
        <v>1.5576323987538941E-2</v>
      </c>
      <c r="AF1235" s="61">
        <v>0</v>
      </c>
      <c r="AG1235" s="61">
        <v>0.81931464174454827</v>
      </c>
      <c r="AH1235" s="61">
        <v>3.4267912772585667E-2</v>
      </c>
      <c r="AI1235" s="61">
        <v>0.18068535825545171</v>
      </c>
      <c r="AJ1235" s="59">
        <v>0.67910000000000004</v>
      </c>
      <c r="AK1235" s="59">
        <v>9.2999999999999992E-3</v>
      </c>
      <c r="AL1235" s="3">
        <v>21</v>
      </c>
      <c r="AM1235" s="3">
        <v>27</v>
      </c>
      <c r="AN1235" s="3">
        <v>0</v>
      </c>
      <c r="AO1235" s="3">
        <v>23</v>
      </c>
      <c r="AP1235" s="3">
        <v>22</v>
      </c>
      <c r="AQ1235" s="3">
        <v>23</v>
      </c>
      <c r="AR1235" s="3">
        <v>16</v>
      </c>
      <c r="AS1235" s="59">
        <v>0</v>
      </c>
      <c r="AT1235" s="3">
        <v>1</v>
      </c>
      <c r="AU1235" s="3">
        <v>6</v>
      </c>
      <c r="AV1235" s="49">
        <v>84.049079754601195</v>
      </c>
      <c r="AW1235" s="49">
        <v>12.8834355828221</v>
      </c>
      <c r="AX1235" s="49">
        <v>3.0674846625766898</v>
      </c>
      <c r="AY1235" s="67">
        <v>0</v>
      </c>
      <c r="AZ1235" s="63">
        <v>3.888888888888889E-2</v>
      </c>
      <c r="BA1235" s="63">
        <v>4.4444444444444446E-2</v>
      </c>
      <c r="BB1235" s="78">
        <v>93.929150220224898</v>
      </c>
      <c r="BC1235" s="49">
        <v>56.213017751479299</v>
      </c>
      <c r="BD1235" s="49"/>
      <c r="BE1235" s="49"/>
      <c r="BF1235" s="49"/>
      <c r="BG1235" s="49"/>
      <c r="BH1235" s="49"/>
      <c r="BI1235" s="49"/>
      <c r="BJ1235" s="88">
        <v>18.899999999999999</v>
      </c>
      <c r="BK1235" s="126">
        <v>11562</v>
      </c>
      <c r="BL1235" s="126">
        <v>46543</v>
      </c>
      <c r="BM1235" s="126">
        <v>25107</v>
      </c>
      <c r="BN1235" s="126">
        <v>36904</v>
      </c>
      <c r="BO1235" s="59">
        <v>0</v>
      </c>
      <c r="BP1235" s="63">
        <v>0.33729999999999999</v>
      </c>
      <c r="BQ1235" s="63">
        <v>0.23680000000000001</v>
      </c>
      <c r="BR1235" s="63">
        <v>0</v>
      </c>
      <c r="BS1235" s="63">
        <v>0</v>
      </c>
      <c r="BT1235" s="87">
        <v>14.2</v>
      </c>
      <c r="BU1235" s="59">
        <f t="shared" si="88"/>
        <v>0.57410000000000005</v>
      </c>
      <c r="BV1235" s="59">
        <v>2.41E-2</v>
      </c>
      <c r="BW1235" s="63">
        <v>0</v>
      </c>
      <c r="BX1235" s="63">
        <v>2.8299999999999999E-2</v>
      </c>
      <c r="BY1235" s="63">
        <v>0</v>
      </c>
      <c r="BZ1235" s="63">
        <v>0</v>
      </c>
      <c r="CA1235" s="87">
        <v>19.100000000000001</v>
      </c>
      <c r="CB1235" s="59">
        <f t="shared" si="89"/>
        <v>5.2400000000000002E-2</v>
      </c>
      <c r="CC1235" s="59">
        <v>0.34939999999999999</v>
      </c>
      <c r="CD1235" s="63">
        <v>0.38550000000000001</v>
      </c>
      <c r="CE1235" s="63">
        <v>0.2651</v>
      </c>
      <c r="CF1235" s="63">
        <v>0</v>
      </c>
      <c r="CG1235" s="63">
        <v>0</v>
      </c>
      <c r="CH1235" s="87">
        <v>14.5</v>
      </c>
      <c r="CI1235" s="26" t="s">
        <v>414</v>
      </c>
      <c r="CJ1235" s="18" t="s">
        <v>505</v>
      </c>
      <c r="CK1235" s="20"/>
    </row>
    <row r="1236" spans="1:99" x14ac:dyDescent="0.25">
      <c r="A1236" s="18" t="s">
        <v>505</v>
      </c>
      <c r="B1236" s="19" t="s">
        <v>411</v>
      </c>
      <c r="C1236" s="26" t="s">
        <v>415</v>
      </c>
      <c r="D1236" s="6">
        <v>5</v>
      </c>
      <c r="E1236" s="6">
        <v>2</v>
      </c>
      <c r="F1236" s="6">
        <v>3</v>
      </c>
      <c r="N1236" s="119">
        <v>1.1337868480725599E-2</v>
      </c>
      <c r="O1236" s="119">
        <v>1.09489051094891E-2</v>
      </c>
      <c r="P1236" s="119">
        <v>0</v>
      </c>
      <c r="Q1236" s="119">
        <v>2.5641025641025599E-2</v>
      </c>
      <c r="R1236" s="116" t="s">
        <v>83</v>
      </c>
      <c r="S1236" s="119">
        <v>0</v>
      </c>
      <c r="T1236" s="119">
        <v>0</v>
      </c>
      <c r="U1236" s="119">
        <v>3.0769230769230799E-2</v>
      </c>
      <c r="V1236" s="119">
        <v>2.2222222222222199E-2</v>
      </c>
      <c r="W1236" s="6">
        <v>493</v>
      </c>
      <c r="X1236" s="40">
        <f t="shared" si="86"/>
        <v>253</v>
      </c>
      <c r="Y1236" s="40">
        <f t="shared" si="87"/>
        <v>409</v>
      </c>
      <c r="Z1236" s="59">
        <v>0.4909</v>
      </c>
      <c r="AA1236" s="59">
        <v>0.5091</v>
      </c>
      <c r="AB1236" s="61">
        <v>2.0283975659229209E-3</v>
      </c>
      <c r="AC1236" s="61">
        <v>8.1135902636916835E-3</v>
      </c>
      <c r="AD1236" s="61">
        <v>0.18052738336713997</v>
      </c>
      <c r="AE1236" s="61">
        <v>2.0283975659229209E-2</v>
      </c>
      <c r="AF1236" s="61">
        <v>0</v>
      </c>
      <c r="AG1236" s="61">
        <v>0.78296146044624748</v>
      </c>
      <c r="AH1236" s="61">
        <v>6.0851926977687626E-3</v>
      </c>
      <c r="AI1236" s="61">
        <v>0.21703853955375255</v>
      </c>
      <c r="AJ1236" s="59">
        <v>0.70389999999999997</v>
      </c>
      <c r="AK1236" s="59">
        <v>4.1000000000000003E-3</v>
      </c>
      <c r="AL1236" s="3">
        <v>81</v>
      </c>
      <c r="AM1236" s="3">
        <v>75</v>
      </c>
      <c r="AN1236" s="3">
        <v>0</v>
      </c>
      <c r="AO1236" s="3">
        <v>81</v>
      </c>
      <c r="AP1236" s="3">
        <v>73</v>
      </c>
      <c r="AQ1236" s="3">
        <v>57</v>
      </c>
      <c r="AR1236" s="3">
        <v>42</v>
      </c>
      <c r="AS1236" s="59">
        <v>0</v>
      </c>
      <c r="AT1236" s="3">
        <v>6</v>
      </c>
      <c r="AU1236" s="3">
        <v>6</v>
      </c>
      <c r="AV1236" s="49">
        <v>63.346613545816702</v>
      </c>
      <c r="AW1236" s="49">
        <v>15.5378486055777</v>
      </c>
      <c r="AX1236" s="49">
        <v>17.928286852589601</v>
      </c>
      <c r="AY1236" s="67">
        <v>3.1872509960159396</v>
      </c>
      <c r="AZ1236" s="63">
        <v>0.20415879017013233</v>
      </c>
      <c r="BA1236" s="63">
        <v>3.780718336483932E-3</v>
      </c>
      <c r="BB1236" s="77">
        <v>94.154059069606504</v>
      </c>
      <c r="BC1236" s="49">
        <v>58.536585365853703</v>
      </c>
      <c r="BD1236" s="49"/>
      <c r="BE1236" s="49"/>
      <c r="BF1236" s="49"/>
      <c r="BG1236" s="49"/>
      <c r="BH1236" s="49"/>
      <c r="BI1236" s="49"/>
      <c r="BJ1236" s="88">
        <v>19.5</v>
      </c>
      <c r="BK1236" s="126">
        <v>9491</v>
      </c>
      <c r="BL1236" s="126">
        <v>49273</v>
      </c>
      <c r="BM1236" s="126">
        <v>44096</v>
      </c>
      <c r="BN1236" s="126">
        <v>37869</v>
      </c>
      <c r="BO1236" s="59">
        <v>0</v>
      </c>
      <c r="BP1236" s="63">
        <v>0.44900000000000001</v>
      </c>
      <c r="BQ1236" s="63">
        <v>0.1056</v>
      </c>
      <c r="BR1236" s="63">
        <v>0</v>
      </c>
      <c r="BS1236" s="63">
        <v>0</v>
      </c>
      <c r="BT1236" s="87">
        <v>14</v>
      </c>
      <c r="BU1236" s="59">
        <f t="shared" si="88"/>
        <v>0.55459999999999998</v>
      </c>
      <c r="BV1236" s="59">
        <v>4.0800000000000003E-2</v>
      </c>
      <c r="BW1236" s="63">
        <v>0</v>
      </c>
      <c r="BX1236" s="63">
        <v>3.73E-2</v>
      </c>
      <c r="BY1236" s="63">
        <v>0</v>
      </c>
      <c r="BZ1236" s="63">
        <v>0</v>
      </c>
      <c r="CA1236" s="87">
        <v>25.1</v>
      </c>
      <c r="CB1236" s="59">
        <f t="shared" si="89"/>
        <v>7.8100000000000003E-2</v>
      </c>
      <c r="CC1236" s="59">
        <v>0.40820000000000001</v>
      </c>
      <c r="CD1236" s="63">
        <v>0.44900000000000001</v>
      </c>
      <c r="CE1236" s="63">
        <v>0.1429</v>
      </c>
      <c r="CF1236" s="63">
        <v>0</v>
      </c>
      <c r="CG1236" s="63">
        <v>0</v>
      </c>
      <c r="CH1236" s="87">
        <v>13.8</v>
      </c>
      <c r="CI1236" s="26" t="s">
        <v>415</v>
      </c>
      <c r="CJ1236" s="18" t="s">
        <v>505</v>
      </c>
      <c r="CK1236" s="20"/>
    </row>
    <row r="1237" spans="1:99" x14ac:dyDescent="0.25">
      <c r="A1237" s="18" t="s">
        <v>505</v>
      </c>
      <c r="B1237" s="19" t="s">
        <v>416</v>
      </c>
      <c r="C1237" s="26" t="s">
        <v>417</v>
      </c>
      <c r="D1237" s="6">
        <v>5</v>
      </c>
      <c r="E1237" s="40" t="s">
        <v>83</v>
      </c>
      <c r="F1237" s="6">
        <v>5</v>
      </c>
      <c r="N1237" s="119">
        <v>7.8492935635792807E-3</v>
      </c>
      <c r="O1237" s="119">
        <v>7.8492935635792807E-3</v>
      </c>
      <c r="P1237" s="116" t="s">
        <v>83</v>
      </c>
      <c r="Q1237" s="116" t="s">
        <v>83</v>
      </c>
      <c r="R1237" s="116" t="s">
        <v>83</v>
      </c>
      <c r="S1237" s="119">
        <v>0</v>
      </c>
      <c r="T1237" s="119">
        <v>7.09219858156028E-3</v>
      </c>
      <c r="U1237" s="119">
        <v>0</v>
      </c>
      <c r="V1237" s="119">
        <v>2.1857923497267801E-2</v>
      </c>
      <c r="W1237" s="6">
        <v>616</v>
      </c>
      <c r="X1237" s="40">
        <f t="shared" si="86"/>
        <v>616</v>
      </c>
      <c r="Y1237" s="40">
        <f t="shared" si="87"/>
        <v>616</v>
      </c>
      <c r="Z1237" s="59">
        <v>0.4854</v>
      </c>
      <c r="AA1237" s="59">
        <v>0.51459999999999995</v>
      </c>
      <c r="AB1237" s="61">
        <v>0</v>
      </c>
      <c r="AC1237" s="61">
        <v>8.1168831168831161E-3</v>
      </c>
      <c r="AD1237" s="61">
        <v>0.41883116883116883</v>
      </c>
      <c r="AE1237" s="61">
        <v>1.461038961038961E-2</v>
      </c>
      <c r="AF1237" s="61">
        <v>0</v>
      </c>
      <c r="AG1237" s="61">
        <v>0.5535714285714286</v>
      </c>
      <c r="AH1237" s="61">
        <v>4.87012987012987E-3</v>
      </c>
      <c r="AI1237" s="61">
        <v>0.44642857142857145</v>
      </c>
      <c r="AJ1237" s="59">
        <v>0.46589999999999998</v>
      </c>
      <c r="AK1237" s="59">
        <v>6.4999999999999997E-3</v>
      </c>
      <c r="AL1237" s="3">
        <v>0</v>
      </c>
      <c r="AM1237" s="3">
        <v>0</v>
      </c>
      <c r="AN1237" s="3">
        <v>0</v>
      </c>
      <c r="AO1237" s="3">
        <v>149</v>
      </c>
      <c r="AP1237" s="3">
        <v>136</v>
      </c>
      <c r="AQ1237" s="3">
        <v>153</v>
      </c>
      <c r="AR1237" s="3">
        <v>178</v>
      </c>
      <c r="AS1237" s="59">
        <v>0</v>
      </c>
      <c r="AT1237" s="3">
        <v>9</v>
      </c>
      <c r="AU1237" s="3">
        <v>6</v>
      </c>
      <c r="AV1237" s="49">
        <v>76.33136094674559</v>
      </c>
      <c r="AW1237" s="49">
        <v>21.0059171597633</v>
      </c>
      <c r="AX1237" s="49">
        <v>2.6627218934911201</v>
      </c>
      <c r="AY1237" s="67">
        <v>0</v>
      </c>
      <c r="AZ1237" s="63">
        <v>6.9510268562401265E-2</v>
      </c>
      <c r="BA1237" s="63">
        <v>0.22274881516587677</v>
      </c>
      <c r="BB1237" s="78">
        <v>93.166910322009798</v>
      </c>
      <c r="BC1237" s="49">
        <v>22.590837282780399</v>
      </c>
      <c r="BD1237" s="49"/>
      <c r="BE1237" s="49"/>
      <c r="BF1237" s="49"/>
      <c r="BG1237" s="49"/>
      <c r="BH1237" s="49"/>
      <c r="BI1237" s="49"/>
      <c r="BJ1237" s="88">
        <v>20.7</v>
      </c>
      <c r="BK1237" s="126">
        <v>14571</v>
      </c>
      <c r="BL1237" s="126">
        <v>55775</v>
      </c>
      <c r="BM1237" s="126">
        <v>55708</v>
      </c>
      <c r="BN1237" s="126">
        <v>47797</v>
      </c>
      <c r="BO1237" s="59">
        <v>0</v>
      </c>
      <c r="BP1237" s="63">
        <v>0.32900000000000001</v>
      </c>
      <c r="BQ1237" s="63">
        <v>0.18110000000000001</v>
      </c>
      <c r="BR1237" s="63">
        <v>0</v>
      </c>
      <c r="BS1237" s="63">
        <v>1.0200000000000001E-2</v>
      </c>
      <c r="BT1237" s="87">
        <v>11.7</v>
      </c>
      <c r="BU1237" s="59">
        <f t="shared" si="88"/>
        <v>0.52029999999999998</v>
      </c>
      <c r="BV1237" s="59">
        <v>2.3999999999999998E-3</v>
      </c>
      <c r="BW1237" s="63">
        <v>2.0400000000000001E-2</v>
      </c>
      <c r="BX1237" s="63">
        <v>5.8799999999999998E-2</v>
      </c>
      <c r="BY1237" s="63">
        <v>0</v>
      </c>
      <c r="BZ1237" s="63">
        <v>0</v>
      </c>
      <c r="CA1237" s="87">
        <v>12.5</v>
      </c>
      <c r="CB1237" s="59">
        <f t="shared" si="89"/>
        <v>8.1600000000000006E-2</v>
      </c>
      <c r="CC1237" s="59">
        <v>0.2621</v>
      </c>
      <c r="CD1237" s="63">
        <v>0.41010000000000002</v>
      </c>
      <c r="CE1237" s="63">
        <v>0.31759999999999999</v>
      </c>
      <c r="CF1237" s="63">
        <v>0</v>
      </c>
      <c r="CG1237" s="63">
        <v>1.0200000000000001E-2</v>
      </c>
      <c r="CH1237" s="87">
        <v>12.4</v>
      </c>
      <c r="CI1237" s="26" t="s">
        <v>417</v>
      </c>
      <c r="CJ1237" s="18" t="s">
        <v>505</v>
      </c>
      <c r="CK1237" s="20"/>
    </row>
    <row r="1238" spans="1:99" x14ac:dyDescent="0.25">
      <c r="A1238" s="18" t="s">
        <v>505</v>
      </c>
      <c r="B1238" s="19" t="s">
        <v>418</v>
      </c>
      <c r="C1238" s="26" t="s">
        <v>419</v>
      </c>
      <c r="D1238" s="6">
        <v>3</v>
      </c>
      <c r="E1238" s="6">
        <v>1</v>
      </c>
      <c r="F1238" s="6">
        <v>2</v>
      </c>
      <c r="N1238" s="119">
        <v>2.6548672566371698E-2</v>
      </c>
      <c r="O1238" s="119">
        <v>2.8985507246376802E-2</v>
      </c>
      <c r="P1238" s="119">
        <v>3.8461538461538498E-2</v>
      </c>
      <c r="Q1238" s="119">
        <v>0</v>
      </c>
      <c r="R1238" s="119">
        <v>0</v>
      </c>
      <c r="S1238" s="119">
        <v>6.6666666666666693E-2</v>
      </c>
      <c r="T1238" s="119">
        <v>0</v>
      </c>
      <c r="U1238" s="119">
        <v>6.25E-2</v>
      </c>
      <c r="V1238" s="119">
        <v>0</v>
      </c>
      <c r="W1238" s="6">
        <v>253</v>
      </c>
      <c r="X1238" s="40">
        <f t="shared" si="86"/>
        <v>66</v>
      </c>
      <c r="Y1238" s="40">
        <f t="shared" si="87"/>
        <v>107</v>
      </c>
      <c r="Z1238" s="59">
        <v>0.49409999999999998</v>
      </c>
      <c r="AA1238" s="59">
        <v>0.50590000000000002</v>
      </c>
      <c r="AB1238" s="61">
        <v>3.952569169960474E-3</v>
      </c>
      <c r="AC1238" s="61">
        <v>0</v>
      </c>
      <c r="AD1238" s="61">
        <v>0.46245059288537549</v>
      </c>
      <c r="AE1238" s="61">
        <v>3.1620553359683792E-2</v>
      </c>
      <c r="AF1238" s="61">
        <v>0</v>
      </c>
      <c r="AG1238" s="61">
        <v>0.49011857707509882</v>
      </c>
      <c r="AH1238" s="61">
        <v>1.1857707509881422E-2</v>
      </c>
      <c r="AI1238" s="61">
        <v>0.50988142292490124</v>
      </c>
      <c r="AJ1238" s="59">
        <v>0.82210000000000005</v>
      </c>
      <c r="AK1238" s="59">
        <v>0</v>
      </c>
      <c r="AL1238" s="3">
        <v>24</v>
      </c>
      <c r="AM1238" s="3">
        <v>17</v>
      </c>
      <c r="AN1238" s="3">
        <v>1</v>
      </c>
      <c r="AO1238" s="3">
        <v>13</v>
      </c>
      <c r="AP1238" s="3">
        <v>17</v>
      </c>
      <c r="AQ1238" s="3">
        <v>16</v>
      </c>
      <c r="AR1238" s="3">
        <v>19</v>
      </c>
      <c r="AS1238" s="59">
        <v>7.1428571428571425E-2</v>
      </c>
      <c r="AT1238" s="3">
        <v>1</v>
      </c>
      <c r="AU1238" s="3">
        <v>6</v>
      </c>
      <c r="AV1238" s="49">
        <v>88.082901554404103</v>
      </c>
      <c r="AW1238" s="49">
        <v>11.3989637305699</v>
      </c>
      <c r="AX1238" s="49">
        <v>0.51813471502590702</v>
      </c>
      <c r="AY1238" s="67">
        <v>0</v>
      </c>
      <c r="AZ1238" s="63">
        <v>1.4652014652014652E-2</v>
      </c>
      <c r="BA1238" s="63">
        <v>5.128205128205128E-2</v>
      </c>
      <c r="BB1238" s="77">
        <v>93.328354493402998</v>
      </c>
      <c r="BC1238" s="49">
        <v>55.905511811023601</v>
      </c>
      <c r="BD1238" s="49"/>
      <c r="BE1238" s="49"/>
      <c r="BF1238" s="49"/>
      <c r="BG1238" s="49"/>
      <c r="BH1238" s="49"/>
      <c r="BI1238" s="49"/>
      <c r="BJ1238" s="88">
        <v>18.399999999999999</v>
      </c>
      <c r="BK1238" s="126">
        <v>12545</v>
      </c>
      <c r="BL1238" s="126">
        <v>46144</v>
      </c>
      <c r="BM1238" s="126">
        <v>45638</v>
      </c>
      <c r="BN1238" s="126">
        <v>32440</v>
      </c>
      <c r="BO1238" s="59">
        <v>0</v>
      </c>
      <c r="BP1238" s="63">
        <v>0.30669999999999997</v>
      </c>
      <c r="BQ1238" s="63">
        <v>0.11799999999999999</v>
      </c>
      <c r="BR1238" s="63">
        <v>0</v>
      </c>
      <c r="BS1238" s="63">
        <v>0</v>
      </c>
      <c r="BT1238" s="87">
        <v>14.8</v>
      </c>
      <c r="BU1238" s="59">
        <f t="shared" si="88"/>
        <v>0.42469999999999997</v>
      </c>
      <c r="BV1238" s="59">
        <v>2.3599999999999999E-2</v>
      </c>
      <c r="BW1238" s="63">
        <v>2.3599999999999999E-2</v>
      </c>
      <c r="BX1238" s="63">
        <v>2.3599999999999999E-2</v>
      </c>
      <c r="BY1238" s="63">
        <v>0</v>
      </c>
      <c r="BZ1238" s="63">
        <v>0</v>
      </c>
      <c r="CA1238" s="87">
        <v>18</v>
      </c>
      <c r="CB1238" s="59">
        <f t="shared" si="89"/>
        <v>7.0800000000000002E-2</v>
      </c>
      <c r="CC1238" s="59">
        <v>0.48099999999999998</v>
      </c>
      <c r="CD1238" s="63">
        <v>0.35389999999999999</v>
      </c>
      <c r="CE1238" s="63">
        <v>0.16520000000000001</v>
      </c>
      <c r="CF1238" s="63">
        <v>0</v>
      </c>
      <c r="CG1238" s="63">
        <v>0</v>
      </c>
      <c r="CH1238" s="87">
        <v>15.2</v>
      </c>
      <c r="CI1238" s="26" t="s">
        <v>419</v>
      </c>
      <c r="CJ1238" s="18" t="s">
        <v>505</v>
      </c>
      <c r="CK1238" s="20"/>
    </row>
    <row r="1239" spans="1:99" x14ac:dyDescent="0.25">
      <c r="A1239" s="18" t="s">
        <v>505</v>
      </c>
      <c r="B1239" s="19" t="s">
        <v>418</v>
      </c>
      <c r="C1239" s="26" t="s">
        <v>420</v>
      </c>
      <c r="D1239" s="6">
        <v>0</v>
      </c>
      <c r="E1239" s="6">
        <v>0</v>
      </c>
      <c r="F1239" s="6">
        <v>0</v>
      </c>
      <c r="N1239" s="119">
        <v>0</v>
      </c>
      <c r="O1239" s="119">
        <v>0</v>
      </c>
      <c r="P1239" s="119">
        <v>0</v>
      </c>
      <c r="Q1239" s="119">
        <v>0</v>
      </c>
      <c r="R1239" s="116" t="s">
        <v>83</v>
      </c>
      <c r="S1239" s="119">
        <v>0</v>
      </c>
      <c r="T1239" s="119">
        <v>0</v>
      </c>
      <c r="U1239" s="119">
        <v>0</v>
      </c>
      <c r="V1239" s="119">
        <v>0</v>
      </c>
      <c r="W1239" s="6">
        <v>299</v>
      </c>
      <c r="X1239" s="40">
        <f t="shared" si="86"/>
        <v>92</v>
      </c>
      <c r="Y1239" s="40">
        <f t="shared" si="87"/>
        <v>142</v>
      </c>
      <c r="Z1239" s="59">
        <v>0.495</v>
      </c>
      <c r="AA1239" s="59">
        <v>0.505</v>
      </c>
      <c r="AB1239" s="61">
        <v>0</v>
      </c>
      <c r="AC1239" s="61">
        <v>0</v>
      </c>
      <c r="AD1239" s="61">
        <v>0.14381270903010032</v>
      </c>
      <c r="AE1239" s="61">
        <v>2.6755852842809364E-2</v>
      </c>
      <c r="AF1239" s="61">
        <v>0</v>
      </c>
      <c r="AG1239" s="61">
        <v>0.81270903010033446</v>
      </c>
      <c r="AH1239" s="61">
        <v>1.6722408026755852E-2</v>
      </c>
      <c r="AI1239" s="61">
        <v>0.18729096989966554</v>
      </c>
      <c r="AJ1239" s="59">
        <v>0.64549999999999996</v>
      </c>
      <c r="AK1239" s="59">
        <v>0</v>
      </c>
      <c r="AL1239" s="3">
        <v>27</v>
      </c>
      <c r="AM1239" s="3">
        <v>23</v>
      </c>
      <c r="AN1239" s="3">
        <v>0</v>
      </c>
      <c r="AO1239" s="3">
        <v>26</v>
      </c>
      <c r="AP1239" s="3">
        <v>22</v>
      </c>
      <c r="AQ1239" s="3">
        <v>21</v>
      </c>
      <c r="AR1239" s="3">
        <v>23</v>
      </c>
      <c r="AS1239" s="59">
        <v>0</v>
      </c>
      <c r="AT1239" s="3">
        <v>1</v>
      </c>
      <c r="AU1239" s="3">
        <v>6</v>
      </c>
      <c r="AV1239" s="49">
        <v>67.808219178082197</v>
      </c>
      <c r="AW1239" s="49">
        <v>28.082191780821901</v>
      </c>
      <c r="AX1239" s="49">
        <v>4.10958904109589</v>
      </c>
      <c r="AY1239" s="67">
        <v>0</v>
      </c>
      <c r="AZ1239" s="63">
        <v>3.1746031746031746E-3</v>
      </c>
      <c r="BA1239" s="63">
        <v>5.7142857142857141E-2</v>
      </c>
      <c r="BB1239" s="78">
        <v>91.306540940067094</v>
      </c>
      <c r="BC1239" s="49">
        <v>69.1275167785235</v>
      </c>
      <c r="BD1239" s="49"/>
      <c r="BE1239" s="49"/>
      <c r="BF1239" s="49"/>
      <c r="BG1239" s="49"/>
      <c r="BH1239" s="49"/>
      <c r="BI1239" s="49"/>
      <c r="BJ1239" s="88">
        <v>19.5</v>
      </c>
      <c r="BK1239" s="126">
        <v>10975</v>
      </c>
      <c r="BL1239" s="126">
        <v>46255</v>
      </c>
      <c r="BM1239" s="126">
        <v>51601</v>
      </c>
      <c r="BN1239" s="126">
        <v>33831</v>
      </c>
      <c r="BO1239" s="59">
        <v>0</v>
      </c>
      <c r="BP1239" s="63">
        <v>0.37040000000000001</v>
      </c>
      <c r="BQ1239" s="63">
        <v>7.4099999999999999E-2</v>
      </c>
      <c r="BR1239" s="63">
        <v>0</v>
      </c>
      <c r="BS1239" s="63">
        <v>0</v>
      </c>
      <c r="BT1239" s="87">
        <v>11.6</v>
      </c>
      <c r="BU1239" s="59">
        <f t="shared" si="88"/>
        <v>0.44450000000000001</v>
      </c>
      <c r="BV1239" s="59">
        <v>2.47E-2</v>
      </c>
      <c r="BW1239" s="63">
        <v>0</v>
      </c>
      <c r="BX1239" s="63">
        <v>2.47E-2</v>
      </c>
      <c r="BY1239" s="63">
        <v>2.47E-2</v>
      </c>
      <c r="BZ1239" s="63">
        <v>0</v>
      </c>
      <c r="CA1239" s="87">
        <v>18.3</v>
      </c>
      <c r="CB1239" s="59">
        <f t="shared" si="89"/>
        <v>7.4099999999999999E-2</v>
      </c>
      <c r="CC1239" s="59">
        <v>0.45679999999999998</v>
      </c>
      <c r="CD1239" s="63">
        <v>0.39510000000000001</v>
      </c>
      <c r="CE1239" s="63">
        <v>0.1235</v>
      </c>
      <c r="CF1239" s="63">
        <v>2.47E-2</v>
      </c>
      <c r="CG1239" s="63">
        <v>0</v>
      </c>
      <c r="CH1239" s="87">
        <v>13</v>
      </c>
      <c r="CI1239" s="26" t="s">
        <v>420</v>
      </c>
      <c r="CJ1239" s="18" t="s">
        <v>505</v>
      </c>
      <c r="CK1239" s="20"/>
    </row>
    <row r="1240" spans="1:99" x14ac:dyDescent="0.25">
      <c r="A1240" s="18" t="s">
        <v>505</v>
      </c>
      <c r="B1240" s="19" t="s">
        <v>418</v>
      </c>
      <c r="C1240" s="26" t="s">
        <v>421</v>
      </c>
      <c r="D1240" s="6">
        <v>3</v>
      </c>
      <c r="E1240" s="6">
        <v>0</v>
      </c>
      <c r="F1240" s="6">
        <v>3</v>
      </c>
      <c r="N1240" s="119">
        <v>1.74418604651163E-2</v>
      </c>
      <c r="O1240" s="119">
        <v>2.6315789473684199E-2</v>
      </c>
      <c r="P1240" s="119">
        <v>0</v>
      </c>
      <c r="Q1240" s="119">
        <v>0</v>
      </c>
      <c r="R1240" s="116" t="s">
        <v>83</v>
      </c>
      <c r="S1240" s="119">
        <v>0</v>
      </c>
      <c r="T1240" s="119">
        <v>0</v>
      </c>
      <c r="U1240" s="119">
        <v>3.125E-2</v>
      </c>
      <c r="V1240" s="119">
        <v>0.08</v>
      </c>
      <c r="W1240" s="6">
        <v>350</v>
      </c>
      <c r="X1240" s="40">
        <f t="shared" si="86"/>
        <v>101</v>
      </c>
      <c r="Y1240" s="40">
        <f t="shared" si="87"/>
        <v>154</v>
      </c>
      <c r="Z1240" s="59">
        <v>0.51139999999999997</v>
      </c>
      <c r="AA1240" s="59">
        <v>0.48859999999999998</v>
      </c>
      <c r="AB1240" s="61">
        <v>2.8571428571428571E-3</v>
      </c>
      <c r="AC1240" s="61">
        <v>0</v>
      </c>
      <c r="AD1240" s="61">
        <v>5.1428571428571428E-2</v>
      </c>
      <c r="AE1240" s="61">
        <v>2.2857142857142857E-2</v>
      </c>
      <c r="AF1240" s="61">
        <v>0</v>
      </c>
      <c r="AG1240" s="61">
        <v>0.9</v>
      </c>
      <c r="AH1240" s="61">
        <v>2.2857142857142857E-2</v>
      </c>
      <c r="AI1240" s="61">
        <v>0.1</v>
      </c>
      <c r="AJ1240" s="59">
        <v>0.73429999999999995</v>
      </c>
      <c r="AK1240" s="59">
        <v>8.6E-3</v>
      </c>
      <c r="AL1240" s="3">
        <v>25</v>
      </c>
      <c r="AM1240" s="3">
        <v>28</v>
      </c>
      <c r="AN1240" s="3">
        <v>0</v>
      </c>
      <c r="AO1240" s="3">
        <v>24</v>
      </c>
      <c r="AP1240" s="3">
        <v>24</v>
      </c>
      <c r="AQ1240" s="3">
        <v>28</v>
      </c>
      <c r="AR1240" s="3">
        <v>25</v>
      </c>
      <c r="AS1240" s="59">
        <v>0</v>
      </c>
      <c r="AT1240" s="3">
        <v>1</v>
      </c>
      <c r="AU1240" s="3">
        <v>6</v>
      </c>
      <c r="AV1240" s="49">
        <v>67.052023121387307</v>
      </c>
      <c r="AW1240" s="49">
        <v>20.8092485549133</v>
      </c>
      <c r="AX1240" s="49">
        <v>12.1387283236994</v>
      </c>
      <c r="AY1240" s="67">
        <v>0</v>
      </c>
      <c r="AZ1240" s="63">
        <v>0.25255102040816324</v>
      </c>
      <c r="BA1240" s="63">
        <v>0.10459183673469388</v>
      </c>
      <c r="BB1240" s="77">
        <v>91.275521479693296</v>
      </c>
      <c r="BC1240" s="49">
        <v>69.576719576719597</v>
      </c>
      <c r="BD1240" s="49"/>
      <c r="BE1240" s="49"/>
      <c r="BF1240" s="49"/>
      <c r="BG1240" s="49"/>
      <c r="BH1240" s="49"/>
      <c r="BI1240" s="49"/>
      <c r="BJ1240" s="88">
        <v>19.899999999999999</v>
      </c>
      <c r="BK1240" s="126">
        <v>10576</v>
      </c>
      <c r="BL1240" s="126">
        <v>45071</v>
      </c>
      <c r="BM1240" s="126">
        <v>37615</v>
      </c>
      <c r="BN1240" s="126">
        <v>30914</v>
      </c>
      <c r="BO1240" s="59">
        <v>0</v>
      </c>
      <c r="BP1240" s="63">
        <v>0.35260000000000002</v>
      </c>
      <c r="BQ1240" s="63">
        <v>6.1699999999999998E-2</v>
      </c>
      <c r="BR1240" s="63">
        <v>0</v>
      </c>
      <c r="BS1240" s="63">
        <v>0</v>
      </c>
      <c r="BT1240" s="87">
        <v>12.6</v>
      </c>
      <c r="BU1240" s="59">
        <f t="shared" si="88"/>
        <v>0.4143</v>
      </c>
      <c r="BV1240" s="59">
        <v>2.06E-2</v>
      </c>
      <c r="BW1240" s="63">
        <v>0</v>
      </c>
      <c r="BX1240" s="63">
        <v>4.1099999999999998E-2</v>
      </c>
      <c r="BY1240" s="63">
        <v>0</v>
      </c>
      <c r="BZ1240" s="63">
        <v>0</v>
      </c>
      <c r="CA1240" s="87">
        <v>21</v>
      </c>
      <c r="CB1240" s="59">
        <f t="shared" si="89"/>
        <v>6.1699999999999998E-2</v>
      </c>
      <c r="CC1240" s="59">
        <v>0.48299999999999998</v>
      </c>
      <c r="CD1240" s="63">
        <v>0.37319999999999998</v>
      </c>
      <c r="CE1240" s="63">
        <v>0.1439</v>
      </c>
      <c r="CF1240" s="63">
        <v>0</v>
      </c>
      <c r="CG1240" s="63">
        <v>0</v>
      </c>
      <c r="CH1240" s="87">
        <v>12.6</v>
      </c>
      <c r="CI1240" s="26" t="s">
        <v>421</v>
      </c>
      <c r="CJ1240" s="18" t="s">
        <v>505</v>
      </c>
      <c r="CK1240" s="20"/>
    </row>
    <row r="1241" spans="1:99" x14ac:dyDescent="0.25">
      <c r="A1241" s="18" t="s">
        <v>505</v>
      </c>
      <c r="B1241" s="19" t="s">
        <v>418</v>
      </c>
      <c r="C1241" s="26" t="s">
        <v>422</v>
      </c>
      <c r="D1241" s="6">
        <v>11</v>
      </c>
      <c r="E1241" s="40" t="s">
        <v>83</v>
      </c>
      <c r="F1241" s="6">
        <v>11</v>
      </c>
      <c r="N1241" s="119">
        <v>2.60663507109005E-2</v>
      </c>
      <c r="O1241" s="119">
        <v>2.60663507109005E-2</v>
      </c>
      <c r="P1241" s="116" t="s">
        <v>83</v>
      </c>
      <c r="Q1241" s="116" t="s">
        <v>83</v>
      </c>
      <c r="R1241" s="119">
        <v>0</v>
      </c>
      <c r="S1241" s="119">
        <v>4.6511627906976702E-2</v>
      </c>
      <c r="T1241" s="119">
        <v>1.9607843137254902E-2</v>
      </c>
      <c r="U1241" s="119">
        <v>5.2083333333333301E-2</v>
      </c>
      <c r="V1241" s="119">
        <v>0</v>
      </c>
      <c r="W1241" s="6">
        <v>387</v>
      </c>
      <c r="X1241" s="40">
        <f t="shared" si="86"/>
        <v>387</v>
      </c>
      <c r="Y1241" s="40">
        <f t="shared" si="87"/>
        <v>387</v>
      </c>
      <c r="Z1241" s="59">
        <v>0.51160000000000005</v>
      </c>
      <c r="AA1241" s="59">
        <v>0.4884</v>
      </c>
      <c r="AB1241" s="61">
        <v>0</v>
      </c>
      <c r="AC1241" s="61">
        <v>1.0335917312661499E-2</v>
      </c>
      <c r="AD1241" s="61">
        <v>0.44186046511627908</v>
      </c>
      <c r="AE1241" s="61">
        <v>1.5503875968992248E-2</v>
      </c>
      <c r="AF1241" s="61">
        <v>0</v>
      </c>
      <c r="AG1241" s="61">
        <v>0.53229974160206717</v>
      </c>
      <c r="AH1241" s="61">
        <v>0</v>
      </c>
      <c r="AI1241" s="61">
        <v>0.46770025839793283</v>
      </c>
      <c r="AJ1241" s="59">
        <v>0.68989999999999996</v>
      </c>
      <c r="AK1241" s="59">
        <v>2.5999999999999999E-3</v>
      </c>
      <c r="AL1241" s="3">
        <v>0</v>
      </c>
      <c r="AM1241" s="3">
        <v>0</v>
      </c>
      <c r="AN1241" s="3">
        <v>46</v>
      </c>
      <c r="AO1241" s="3">
        <v>70</v>
      </c>
      <c r="AP1241" s="3">
        <v>93</v>
      </c>
      <c r="AQ1241" s="3">
        <v>91</v>
      </c>
      <c r="AR1241" s="3">
        <v>87</v>
      </c>
      <c r="AS1241" s="59">
        <v>0.39655172413793105</v>
      </c>
      <c r="AT1241" s="3">
        <v>9</v>
      </c>
      <c r="AU1241" s="3">
        <v>6</v>
      </c>
      <c r="AV1241" s="49">
        <v>73.366834170854304</v>
      </c>
      <c r="AW1241" s="49">
        <v>12.0603015075377</v>
      </c>
      <c r="AX1241" s="49">
        <v>12.562814070351799</v>
      </c>
      <c r="AY1241" s="67">
        <v>2.0100502512562799</v>
      </c>
      <c r="AZ1241" s="63">
        <v>0.21241050119331742</v>
      </c>
      <c r="BA1241" s="63">
        <v>0.10739856801909307</v>
      </c>
      <c r="BB1241" s="78">
        <v>90.515459036315704</v>
      </c>
      <c r="BC1241" s="49">
        <v>55.791962174940899</v>
      </c>
      <c r="BD1241" s="49"/>
      <c r="BE1241" s="49"/>
      <c r="BF1241" s="49"/>
      <c r="BG1241" s="49"/>
      <c r="BH1241" s="49"/>
      <c r="BI1241" s="49"/>
      <c r="BJ1241" s="88">
        <v>19.3</v>
      </c>
      <c r="BK1241" s="126">
        <v>12280</v>
      </c>
      <c r="BL1241" s="126">
        <v>44649</v>
      </c>
      <c r="BM1241" s="126">
        <v>39998</v>
      </c>
      <c r="BN1241" s="126">
        <v>36925</v>
      </c>
      <c r="BO1241" s="59">
        <v>0</v>
      </c>
      <c r="BP1241" s="63">
        <v>0.42980000000000002</v>
      </c>
      <c r="BQ1241" s="63">
        <v>0.1842</v>
      </c>
      <c r="BR1241" s="63">
        <v>0</v>
      </c>
      <c r="BS1241" s="63">
        <v>0</v>
      </c>
      <c r="BT1241" s="87">
        <v>14.2</v>
      </c>
      <c r="BU1241" s="59">
        <f t="shared" si="88"/>
        <v>0.61399999999999999</v>
      </c>
      <c r="BV1241" s="59">
        <v>4.0899999999999999E-2</v>
      </c>
      <c r="BW1241" s="63">
        <v>0</v>
      </c>
      <c r="BX1241" s="63">
        <v>4.0899999999999999E-2</v>
      </c>
      <c r="BY1241" s="63">
        <v>0</v>
      </c>
      <c r="BZ1241" s="63">
        <v>2.0500000000000001E-2</v>
      </c>
      <c r="CA1241" s="87">
        <v>27.4</v>
      </c>
      <c r="CB1241" s="59">
        <f t="shared" si="89"/>
        <v>0.1023</v>
      </c>
      <c r="CC1241" s="59">
        <v>0.27039999999999997</v>
      </c>
      <c r="CD1241" s="63">
        <v>0.46350000000000002</v>
      </c>
      <c r="CE1241" s="63">
        <v>0.22509999999999999</v>
      </c>
      <c r="CF1241" s="63">
        <v>0</v>
      </c>
      <c r="CG1241" s="63">
        <v>4.0899999999999999E-2</v>
      </c>
      <c r="CH1241" s="87">
        <v>14.6</v>
      </c>
      <c r="CI1241" s="26" t="s">
        <v>422</v>
      </c>
      <c r="CJ1241" s="18" t="s">
        <v>505</v>
      </c>
      <c r="CK1241" s="20"/>
    </row>
    <row r="1242" spans="1:99" s="1" customFormat="1" ht="21" customHeight="1" x14ac:dyDescent="0.25">
      <c r="A1242" s="21" t="s">
        <v>0</v>
      </c>
      <c r="B1242" s="22" t="s">
        <v>1</v>
      </c>
      <c r="C1242" s="22" t="s">
        <v>2</v>
      </c>
      <c r="D1242" s="9" t="s">
        <v>3</v>
      </c>
      <c r="E1242" s="9" t="s">
        <v>4</v>
      </c>
      <c r="F1242" s="9" t="s">
        <v>5</v>
      </c>
      <c r="G1242" s="167"/>
      <c r="H1242" s="168"/>
      <c r="I1242" s="168"/>
      <c r="J1242" s="168"/>
      <c r="K1242" s="168"/>
      <c r="L1242" s="168"/>
      <c r="M1242" s="168"/>
      <c r="N1242" s="120" t="s">
        <v>6</v>
      </c>
      <c r="O1242" s="120" t="s">
        <v>7</v>
      </c>
      <c r="P1242" s="120" t="s">
        <v>8</v>
      </c>
      <c r="Q1242" s="120" t="s">
        <v>9</v>
      </c>
      <c r="R1242" s="120" t="s">
        <v>10</v>
      </c>
      <c r="S1242" s="120" t="s">
        <v>11</v>
      </c>
      <c r="T1242" s="120" t="s">
        <v>12</v>
      </c>
      <c r="U1242" s="120" t="s">
        <v>13</v>
      </c>
      <c r="V1242" s="120" t="s">
        <v>14</v>
      </c>
      <c r="W1242" s="41" t="s">
        <v>15</v>
      </c>
      <c r="X1242" s="41" t="s">
        <v>16</v>
      </c>
      <c r="Y1242" s="41" t="s">
        <v>17</v>
      </c>
      <c r="Z1242" s="107" t="s">
        <v>18</v>
      </c>
      <c r="AA1242" s="107" t="s">
        <v>19</v>
      </c>
      <c r="AB1242" s="95" t="s">
        <v>20</v>
      </c>
      <c r="AC1242" s="95" t="s">
        <v>21</v>
      </c>
      <c r="AD1242" s="95" t="s">
        <v>22</v>
      </c>
      <c r="AE1242" s="95" t="s">
        <v>23</v>
      </c>
      <c r="AF1242" s="95" t="s">
        <v>24</v>
      </c>
      <c r="AG1242" s="95" t="s">
        <v>25</v>
      </c>
      <c r="AH1242" s="95" t="s">
        <v>26</v>
      </c>
      <c r="AI1242" s="95" t="s">
        <v>27</v>
      </c>
      <c r="AJ1242" s="95" t="s">
        <v>28</v>
      </c>
      <c r="AK1242" s="107" t="s">
        <v>29</v>
      </c>
      <c r="AL1242" s="42" t="s">
        <v>30</v>
      </c>
      <c r="AM1242" s="42" t="s">
        <v>31</v>
      </c>
      <c r="AN1242" s="42" t="s">
        <v>32</v>
      </c>
      <c r="AO1242" s="42" t="s">
        <v>33</v>
      </c>
      <c r="AP1242" s="42" t="s">
        <v>34</v>
      </c>
      <c r="AQ1242" s="42" t="s">
        <v>35</v>
      </c>
      <c r="AR1242" s="42" t="s">
        <v>36</v>
      </c>
      <c r="AS1242" s="100" t="s">
        <v>37</v>
      </c>
      <c r="AT1242" s="41" t="s">
        <v>38</v>
      </c>
      <c r="AU1242" s="23" t="s">
        <v>39</v>
      </c>
      <c r="AV1242" s="51" t="s">
        <v>40</v>
      </c>
      <c r="AW1242" s="51" t="s">
        <v>41</v>
      </c>
      <c r="AX1242" s="51" t="s">
        <v>42</v>
      </c>
      <c r="AY1242" s="66" t="s">
        <v>43</v>
      </c>
      <c r="AZ1242" s="58" t="s">
        <v>44</v>
      </c>
      <c r="BA1242" s="58" t="s">
        <v>45</v>
      </c>
      <c r="BB1242" s="75" t="s">
        <v>46</v>
      </c>
      <c r="BC1242" s="83" t="s">
        <v>47</v>
      </c>
      <c r="BD1242" s="89" t="s">
        <v>48</v>
      </c>
      <c r="BE1242" s="89" t="s">
        <v>49</v>
      </c>
      <c r="BF1242" s="89" t="s">
        <v>50</v>
      </c>
      <c r="BG1242" s="89" t="s">
        <v>51</v>
      </c>
      <c r="BH1242" s="89" t="s">
        <v>52</v>
      </c>
      <c r="BI1242" s="89" t="s">
        <v>53</v>
      </c>
      <c r="BJ1242" s="86" t="s">
        <v>54</v>
      </c>
      <c r="BK1242" s="123" t="s">
        <v>55</v>
      </c>
      <c r="BL1242" s="123" t="s">
        <v>56</v>
      </c>
      <c r="BM1242" s="123" t="s">
        <v>57</v>
      </c>
      <c r="BN1242" s="123" t="s">
        <v>58</v>
      </c>
      <c r="BO1242" s="131" t="s">
        <v>59</v>
      </c>
      <c r="BP1242" s="131" t="s">
        <v>60</v>
      </c>
      <c r="BQ1242" s="131" t="s">
        <v>61</v>
      </c>
      <c r="BR1242" s="131" t="s">
        <v>62</v>
      </c>
      <c r="BS1242" s="131" t="s">
        <v>63</v>
      </c>
      <c r="BT1242" s="131" t="s">
        <v>64</v>
      </c>
      <c r="BU1242" s="131" t="s">
        <v>65</v>
      </c>
      <c r="BV1242" s="132" t="s">
        <v>66</v>
      </c>
      <c r="BW1242" s="132" t="s">
        <v>67</v>
      </c>
      <c r="BX1242" s="132" t="s">
        <v>68</v>
      </c>
      <c r="BY1242" s="132" t="s">
        <v>69</v>
      </c>
      <c r="BZ1242" s="132" t="s">
        <v>70</v>
      </c>
      <c r="CA1242" s="132" t="s">
        <v>71</v>
      </c>
      <c r="CB1242" s="132" t="s">
        <v>72</v>
      </c>
      <c r="CC1242" s="123" t="s">
        <v>73</v>
      </c>
      <c r="CD1242" s="123" t="s">
        <v>74</v>
      </c>
      <c r="CE1242" s="123" t="s">
        <v>75</v>
      </c>
      <c r="CF1242" s="123" t="s">
        <v>76</v>
      </c>
      <c r="CG1242" s="123" t="s">
        <v>77</v>
      </c>
      <c r="CH1242" s="123" t="s">
        <v>78</v>
      </c>
      <c r="CI1242" s="22" t="s">
        <v>2</v>
      </c>
      <c r="CJ1242" s="21" t="s">
        <v>0</v>
      </c>
      <c r="CK1242" s="24" t="s">
        <v>79</v>
      </c>
      <c r="CL1242"/>
      <c r="CM1242"/>
      <c r="CN1242"/>
      <c r="CO1242"/>
      <c r="CP1242"/>
      <c r="CQ1242"/>
      <c r="CR1242"/>
      <c r="CS1242"/>
      <c r="CT1242"/>
      <c r="CU1242"/>
    </row>
    <row r="1243" spans="1:99" x14ac:dyDescent="0.25">
      <c r="A1243" s="18" t="s">
        <v>505</v>
      </c>
      <c r="B1243" s="19" t="s">
        <v>483</v>
      </c>
      <c r="C1243" s="26" t="s">
        <v>424</v>
      </c>
      <c r="D1243" s="6">
        <v>15</v>
      </c>
      <c r="E1243" s="40" t="s">
        <v>83</v>
      </c>
      <c r="F1243" s="6">
        <v>15</v>
      </c>
      <c r="N1243" s="119">
        <v>2.4271844660194199E-2</v>
      </c>
      <c r="O1243" s="119">
        <v>2.4271844660194199E-2</v>
      </c>
      <c r="P1243" s="116" t="s">
        <v>83</v>
      </c>
      <c r="Q1243" s="116" t="s">
        <v>83</v>
      </c>
      <c r="R1243" s="119">
        <v>0</v>
      </c>
      <c r="S1243" s="119">
        <v>1.9801980198019799E-2</v>
      </c>
      <c r="T1243" s="119">
        <v>2.54777070063694E-2</v>
      </c>
      <c r="U1243" s="119">
        <v>3.5398230088495602E-2</v>
      </c>
      <c r="V1243" s="119">
        <v>3.09278350515464E-2</v>
      </c>
      <c r="W1243" s="6">
        <v>538</v>
      </c>
      <c r="X1243" s="40">
        <f t="shared" si="86"/>
        <v>538</v>
      </c>
      <c r="Y1243" s="40">
        <f t="shared" si="87"/>
        <v>538</v>
      </c>
      <c r="Z1243" s="59">
        <v>0.52229999999999999</v>
      </c>
      <c r="AA1243" s="59">
        <v>0.47770000000000001</v>
      </c>
      <c r="AB1243" s="61">
        <v>0</v>
      </c>
      <c r="AC1243" s="61">
        <v>0</v>
      </c>
      <c r="AD1243" s="61">
        <v>0.98513011152416352</v>
      </c>
      <c r="AE1243" s="61">
        <v>3.7174721189591076E-3</v>
      </c>
      <c r="AF1243" s="61">
        <v>0</v>
      </c>
      <c r="AG1243" s="61">
        <v>5.5762081784386614E-3</v>
      </c>
      <c r="AH1243" s="61">
        <v>5.5762081784386614E-3</v>
      </c>
      <c r="AI1243" s="61">
        <v>0.99442379182156138</v>
      </c>
      <c r="AJ1243" s="59">
        <v>0.92569999999999997</v>
      </c>
      <c r="AK1243" s="59">
        <v>0</v>
      </c>
      <c r="AL1243" s="3">
        <v>0</v>
      </c>
      <c r="AM1243" s="3">
        <v>0</v>
      </c>
      <c r="AN1243" s="3">
        <v>49</v>
      </c>
      <c r="AO1243" s="3">
        <v>165</v>
      </c>
      <c r="AP1243" s="3">
        <v>137</v>
      </c>
      <c r="AQ1243" s="3">
        <v>103</v>
      </c>
      <c r="AR1243" s="3">
        <v>84</v>
      </c>
      <c r="AS1243" s="59">
        <v>0.22897196261682243</v>
      </c>
      <c r="AT1243" s="3">
        <v>9</v>
      </c>
      <c r="AU1243" s="3">
        <v>6</v>
      </c>
      <c r="AV1243" s="49">
        <v>61.003861003861005</v>
      </c>
      <c r="AW1243" s="49">
        <v>20.4633204633205</v>
      </c>
      <c r="AX1243" s="49">
        <v>16.2162162162162</v>
      </c>
      <c r="AY1243" s="67">
        <v>2.31660231660232</v>
      </c>
      <c r="AZ1243" s="63">
        <v>4.8780487804878049E-3</v>
      </c>
      <c r="BA1243" s="63">
        <v>7.642276422764227E-2</v>
      </c>
      <c r="BB1243" s="77">
        <v>91.748532100714399</v>
      </c>
      <c r="BC1243" s="49">
        <v>57.835218093699503</v>
      </c>
      <c r="BD1243" s="49"/>
      <c r="BE1243" s="49"/>
      <c r="BF1243" s="49"/>
      <c r="BG1243" s="49"/>
      <c r="BH1243" s="49"/>
      <c r="BI1243" s="49"/>
      <c r="BJ1243" s="88">
        <v>16.5</v>
      </c>
      <c r="BK1243" s="126">
        <v>14158</v>
      </c>
      <c r="BL1243" s="126">
        <v>54939</v>
      </c>
      <c r="BM1243" s="126">
        <v>57103</v>
      </c>
      <c r="BN1243" s="126">
        <v>43218</v>
      </c>
      <c r="BO1243" s="59">
        <v>0</v>
      </c>
      <c r="BP1243" s="63">
        <v>0.24099999999999999</v>
      </c>
      <c r="BQ1243" s="63">
        <v>0.24479999999999999</v>
      </c>
      <c r="BR1243" s="63">
        <v>0</v>
      </c>
      <c r="BS1243" s="63">
        <v>1.2699999999999999E-2</v>
      </c>
      <c r="BT1243" s="87">
        <v>13.2</v>
      </c>
      <c r="BU1243" s="59">
        <f t="shared" si="88"/>
        <v>0.4985</v>
      </c>
      <c r="BV1243" s="59">
        <v>2.41E-2</v>
      </c>
      <c r="BW1243" s="63">
        <v>2.3599999999999999E-2</v>
      </c>
      <c r="BX1243" s="63">
        <v>2.3900000000000001E-2</v>
      </c>
      <c r="BY1243" s="63">
        <v>0</v>
      </c>
      <c r="BZ1243" s="63">
        <v>1.2699999999999999E-2</v>
      </c>
      <c r="CA1243" s="87">
        <v>12.2</v>
      </c>
      <c r="CB1243" s="59">
        <f t="shared" si="89"/>
        <v>8.43E-2</v>
      </c>
      <c r="CC1243" s="59">
        <v>0.29330000000000001</v>
      </c>
      <c r="CD1243" s="63">
        <v>0.33350000000000002</v>
      </c>
      <c r="CE1243" s="63">
        <v>0.33500000000000002</v>
      </c>
      <c r="CF1243" s="63">
        <v>1.2699999999999999E-2</v>
      </c>
      <c r="CG1243" s="63">
        <v>2.5399999999999999E-2</v>
      </c>
      <c r="CH1243" s="87">
        <v>13.1</v>
      </c>
      <c r="CI1243" s="26" t="s">
        <v>424</v>
      </c>
      <c r="CJ1243" s="18" t="s">
        <v>505</v>
      </c>
      <c r="CK1243" s="20"/>
    </row>
    <row r="1244" spans="1:99" x14ac:dyDescent="0.25">
      <c r="A1244" s="18" t="s">
        <v>505</v>
      </c>
      <c r="B1244" s="19" t="s">
        <v>483</v>
      </c>
      <c r="C1244" s="26" t="s">
        <v>425</v>
      </c>
      <c r="D1244" s="6">
        <v>10</v>
      </c>
      <c r="E1244" s="40" t="s">
        <v>83</v>
      </c>
      <c r="F1244" s="6">
        <v>10</v>
      </c>
      <c r="N1244" s="119">
        <v>9.765625E-3</v>
      </c>
      <c r="O1244" s="119">
        <v>9.765625E-3</v>
      </c>
      <c r="P1244" s="116" t="s">
        <v>83</v>
      </c>
      <c r="Q1244" s="116" t="s">
        <v>83</v>
      </c>
      <c r="R1244" s="119">
        <v>0</v>
      </c>
      <c r="S1244" s="119">
        <v>1.6E-2</v>
      </c>
      <c r="T1244" s="119">
        <v>8.6206896551724102E-3</v>
      </c>
      <c r="U1244" s="119">
        <v>3.8461538461538498E-3</v>
      </c>
      <c r="V1244" s="119">
        <v>1.1811023622047201E-2</v>
      </c>
      <c r="W1244" s="6">
        <v>969</v>
      </c>
      <c r="X1244" s="40">
        <f t="shared" si="86"/>
        <v>969</v>
      </c>
      <c r="Y1244" s="40">
        <f t="shared" si="87"/>
        <v>969</v>
      </c>
      <c r="Z1244" s="59">
        <v>0.49640000000000001</v>
      </c>
      <c r="AA1244" s="59">
        <v>0.50360000000000005</v>
      </c>
      <c r="AB1244" s="61">
        <v>0</v>
      </c>
      <c r="AC1244" s="61">
        <v>1.6511867905056758E-2</v>
      </c>
      <c r="AD1244" s="61">
        <v>0.58926728586171306</v>
      </c>
      <c r="AE1244" s="61">
        <v>2.1671826625386997E-2</v>
      </c>
      <c r="AF1244" s="61">
        <v>2.0639834881320948E-3</v>
      </c>
      <c r="AG1244" s="61">
        <v>0.36738906088751289</v>
      </c>
      <c r="AH1244" s="61">
        <v>3.0959752321981426E-3</v>
      </c>
      <c r="AI1244" s="61">
        <v>0.63261093911248711</v>
      </c>
      <c r="AJ1244" s="59">
        <v>0.54900000000000004</v>
      </c>
      <c r="AK1244" s="59">
        <v>2.0999999999999999E-3</v>
      </c>
      <c r="AL1244" s="3">
        <v>0</v>
      </c>
      <c r="AM1244" s="3">
        <v>0</v>
      </c>
      <c r="AN1244" s="3">
        <v>31</v>
      </c>
      <c r="AO1244" s="3">
        <v>236</v>
      </c>
      <c r="AP1244" s="3">
        <v>211</v>
      </c>
      <c r="AQ1244" s="3">
        <v>240</v>
      </c>
      <c r="AR1244" s="3">
        <v>251</v>
      </c>
      <c r="AS1244" s="59">
        <v>0.11610486891385768</v>
      </c>
      <c r="AT1244" s="3">
        <v>9</v>
      </c>
      <c r="AU1244" s="3">
        <v>6</v>
      </c>
      <c r="AV1244" s="49">
        <v>70.873786407767</v>
      </c>
      <c r="AW1244" s="49">
        <v>22.524271844660202</v>
      </c>
      <c r="AX1244" s="49">
        <v>6.4077669902912593</v>
      </c>
      <c r="AY1244" s="67">
        <v>0.19417475728155301</v>
      </c>
      <c r="AZ1244" s="63">
        <v>0</v>
      </c>
      <c r="BA1244" s="63">
        <v>0.10588235294117647</v>
      </c>
      <c r="BB1244" s="78">
        <v>94.447802087110702</v>
      </c>
      <c r="BC1244" s="49">
        <v>50.48828125</v>
      </c>
      <c r="BD1244" s="49"/>
      <c r="BE1244" s="49"/>
      <c r="BF1244" s="49"/>
      <c r="BG1244" s="49"/>
      <c r="BH1244" s="49"/>
      <c r="BI1244" s="49"/>
      <c r="BJ1244" s="88">
        <v>21.4</v>
      </c>
      <c r="BK1244" s="126">
        <v>11460</v>
      </c>
      <c r="BL1244" s="126">
        <v>53908</v>
      </c>
      <c r="BM1244" s="126">
        <v>50308</v>
      </c>
      <c r="BN1244" s="126">
        <v>45205</v>
      </c>
      <c r="BO1244" s="59">
        <v>8.9999999999999993E-3</v>
      </c>
      <c r="BP1244" s="63">
        <v>0.26269999999999999</v>
      </c>
      <c r="BQ1244" s="63">
        <v>0.30649999999999999</v>
      </c>
      <c r="BR1244" s="63">
        <v>0</v>
      </c>
      <c r="BS1244" s="63">
        <v>8.9999999999999993E-3</v>
      </c>
      <c r="BT1244" s="87">
        <v>15</v>
      </c>
      <c r="BU1244" s="59">
        <f t="shared" si="88"/>
        <v>0.58720000000000006</v>
      </c>
      <c r="BV1244" s="59">
        <v>3.2099999999999997E-2</v>
      </c>
      <c r="BW1244" s="63">
        <v>1.5299999999999999E-2</v>
      </c>
      <c r="BX1244" s="63">
        <v>1.7899999999999999E-2</v>
      </c>
      <c r="BY1244" s="63">
        <v>0</v>
      </c>
      <c r="BZ1244" s="63">
        <v>8.9999999999999993E-3</v>
      </c>
      <c r="CA1244" s="87">
        <v>21.1</v>
      </c>
      <c r="CB1244" s="59">
        <f t="shared" si="89"/>
        <v>7.4299999999999991E-2</v>
      </c>
      <c r="CC1244" s="59">
        <v>0.24970000000000001</v>
      </c>
      <c r="CD1244" s="63">
        <v>0.33939999999999998</v>
      </c>
      <c r="CE1244" s="63">
        <v>0.39300000000000002</v>
      </c>
      <c r="CF1244" s="63">
        <v>0</v>
      </c>
      <c r="CG1244" s="63">
        <v>1.7899999999999999E-2</v>
      </c>
      <c r="CH1244" s="87">
        <v>14.6</v>
      </c>
      <c r="CI1244" s="26" t="s">
        <v>425</v>
      </c>
      <c r="CJ1244" s="18" t="s">
        <v>505</v>
      </c>
      <c r="CK1244" s="20"/>
    </row>
    <row r="1245" spans="1:99" x14ac:dyDescent="0.25">
      <c r="A1245" s="18" t="s">
        <v>505</v>
      </c>
      <c r="B1245" s="19" t="s">
        <v>483</v>
      </c>
      <c r="C1245" s="26" t="s">
        <v>426</v>
      </c>
      <c r="D1245" s="6">
        <v>3</v>
      </c>
      <c r="E1245" s="40" t="s">
        <v>83</v>
      </c>
      <c r="F1245" s="6">
        <v>3</v>
      </c>
      <c r="N1245" s="119">
        <v>4.2372881355932203E-3</v>
      </c>
      <c r="O1245" s="119">
        <v>4.2372881355932203E-3</v>
      </c>
      <c r="P1245" s="116" t="s">
        <v>83</v>
      </c>
      <c r="Q1245" s="116" t="s">
        <v>83</v>
      </c>
      <c r="R1245" s="119">
        <v>0</v>
      </c>
      <c r="S1245" s="119">
        <v>4.7619047619047597E-3</v>
      </c>
      <c r="T1245" s="119">
        <v>0</v>
      </c>
      <c r="U1245" s="119">
        <v>0</v>
      </c>
      <c r="V1245" s="119">
        <v>1.41843971631206E-2</v>
      </c>
      <c r="W1245" s="6">
        <v>626</v>
      </c>
      <c r="X1245" s="40">
        <f t="shared" si="86"/>
        <v>626</v>
      </c>
      <c r="Y1245" s="40">
        <f t="shared" si="87"/>
        <v>626</v>
      </c>
      <c r="Z1245" s="59">
        <v>0.52880000000000005</v>
      </c>
      <c r="AA1245" s="59">
        <v>0.47120000000000001</v>
      </c>
      <c r="AB1245" s="61">
        <v>0</v>
      </c>
      <c r="AC1245" s="61">
        <v>1.5974440894568689E-3</v>
      </c>
      <c r="AD1245" s="61">
        <v>0.98402555910543132</v>
      </c>
      <c r="AE1245" s="61">
        <v>3.1948881789137379E-3</v>
      </c>
      <c r="AF1245" s="61">
        <v>0</v>
      </c>
      <c r="AG1245" s="61">
        <v>9.5846645367412137E-3</v>
      </c>
      <c r="AH1245" s="61">
        <v>1.5974440894568689E-3</v>
      </c>
      <c r="AI1245" s="61">
        <v>0.99041533546325877</v>
      </c>
      <c r="AJ1245" s="59">
        <v>0.9042</v>
      </c>
      <c r="AK1245" s="59">
        <v>0</v>
      </c>
      <c r="AL1245" s="3">
        <v>0</v>
      </c>
      <c r="AM1245" s="3">
        <v>0</v>
      </c>
      <c r="AN1245" s="3">
        <v>14</v>
      </c>
      <c r="AO1245" s="3">
        <v>176</v>
      </c>
      <c r="AP1245" s="3">
        <v>172</v>
      </c>
      <c r="AQ1245" s="3">
        <v>131</v>
      </c>
      <c r="AR1245" s="3">
        <v>133</v>
      </c>
      <c r="AS1245" s="59">
        <v>7.3684210526315783E-2</v>
      </c>
      <c r="AT1245" s="3">
        <v>9</v>
      </c>
      <c r="AU1245" s="3">
        <v>6</v>
      </c>
      <c r="AV1245" s="49">
        <v>77.2959183673469</v>
      </c>
      <c r="AW1245" s="49">
        <v>15.3061224489796</v>
      </c>
      <c r="AX1245" s="49">
        <v>7.1428571428571397</v>
      </c>
      <c r="AY1245" s="67">
        <v>0.25510204081632698</v>
      </c>
      <c r="AZ1245" s="63">
        <v>0.15460992907801419</v>
      </c>
      <c r="BA1245" s="63">
        <v>0.30496453900709219</v>
      </c>
      <c r="BB1245" s="77">
        <v>90.090133723380006</v>
      </c>
      <c r="BC1245" s="49">
        <v>67.872044506258703</v>
      </c>
      <c r="BD1245" s="49"/>
      <c r="BE1245" s="49"/>
      <c r="BF1245" s="49"/>
      <c r="BG1245" s="49"/>
      <c r="BH1245" s="49"/>
      <c r="BI1245" s="49"/>
      <c r="BJ1245" s="88">
        <v>16.899999999999999</v>
      </c>
      <c r="BK1245" s="126">
        <v>13232</v>
      </c>
      <c r="BL1245" s="126">
        <v>54626</v>
      </c>
      <c r="BM1245" s="126">
        <v>62212</v>
      </c>
      <c r="BN1245" s="126">
        <v>42742</v>
      </c>
      <c r="BO1245" s="59">
        <v>1.09E-2</v>
      </c>
      <c r="BP1245" s="63">
        <v>0.19420000000000001</v>
      </c>
      <c r="BQ1245" s="63">
        <v>0.2903</v>
      </c>
      <c r="BR1245" s="63">
        <v>0</v>
      </c>
      <c r="BS1245" s="63">
        <v>0</v>
      </c>
      <c r="BT1245" s="87">
        <v>15.5</v>
      </c>
      <c r="BU1245" s="59">
        <f t="shared" si="88"/>
        <v>0.49540000000000001</v>
      </c>
      <c r="BV1245" s="59">
        <v>2.07E-2</v>
      </c>
      <c r="BW1245" s="63">
        <v>9.1999999999999998E-3</v>
      </c>
      <c r="BX1245" s="63">
        <v>2.0799999999999999E-2</v>
      </c>
      <c r="BY1245" s="63">
        <v>0</v>
      </c>
      <c r="BZ1245" s="63">
        <v>1.09E-2</v>
      </c>
      <c r="CA1245" s="87">
        <v>18.899999999999999</v>
      </c>
      <c r="CB1245" s="59">
        <f t="shared" si="89"/>
        <v>6.1599999999999995E-2</v>
      </c>
      <c r="CC1245" s="59">
        <v>0.33960000000000001</v>
      </c>
      <c r="CD1245" s="63">
        <v>0.3014</v>
      </c>
      <c r="CE1245" s="63">
        <v>0.33729999999999999</v>
      </c>
      <c r="CF1245" s="63">
        <v>1.0800000000000001E-2</v>
      </c>
      <c r="CG1245" s="63">
        <v>1.09E-2</v>
      </c>
      <c r="CH1245" s="87">
        <v>14.6</v>
      </c>
      <c r="CI1245" s="26" t="s">
        <v>426</v>
      </c>
      <c r="CJ1245" s="18" t="s">
        <v>505</v>
      </c>
      <c r="CK1245" s="20"/>
    </row>
    <row r="1246" spans="1:99" x14ac:dyDescent="0.25">
      <c r="A1246" s="18" t="s">
        <v>505</v>
      </c>
      <c r="B1246" s="19" t="s">
        <v>484</v>
      </c>
      <c r="C1246" s="26" t="s">
        <v>428</v>
      </c>
      <c r="D1246" s="6">
        <v>34</v>
      </c>
      <c r="E1246" s="6">
        <v>2</v>
      </c>
      <c r="F1246" s="6">
        <v>32</v>
      </c>
      <c r="N1246" s="119">
        <v>4.9062049062049098E-2</v>
      </c>
      <c r="O1246" s="119">
        <v>6.5708418891170406E-2</v>
      </c>
      <c r="P1246" s="119">
        <v>0</v>
      </c>
      <c r="Q1246" s="119">
        <v>2.04081632653061E-2</v>
      </c>
      <c r="R1246" s="119">
        <v>0</v>
      </c>
      <c r="S1246" s="119">
        <v>5.0420168067226899E-2</v>
      </c>
      <c r="T1246" s="119">
        <v>9.7744360902255606E-2</v>
      </c>
      <c r="U1246" s="119">
        <v>4.7619047619047603E-2</v>
      </c>
      <c r="V1246" s="119">
        <v>6.8376068376068397E-2</v>
      </c>
      <c r="W1246" s="6">
        <v>696</v>
      </c>
      <c r="X1246" s="40">
        <f t="shared" si="86"/>
        <v>412</v>
      </c>
      <c r="Y1246" s="40">
        <f t="shared" si="87"/>
        <v>591</v>
      </c>
      <c r="Z1246" s="59">
        <v>0.50570000000000004</v>
      </c>
      <c r="AA1246" s="59">
        <v>0.49430000000000002</v>
      </c>
      <c r="AB1246" s="61">
        <v>0</v>
      </c>
      <c r="AC1246" s="61">
        <v>5.7471264367816091E-3</v>
      </c>
      <c r="AD1246" s="61">
        <v>0.80747126436781613</v>
      </c>
      <c r="AE1246" s="61">
        <v>2.8735632183908046E-2</v>
      </c>
      <c r="AF1246" s="61">
        <v>0</v>
      </c>
      <c r="AG1246" s="61">
        <v>0.14655172413793102</v>
      </c>
      <c r="AH1246" s="61">
        <v>1.1494252873563218E-2</v>
      </c>
      <c r="AI1246" s="61">
        <v>0.85344827586206895</v>
      </c>
      <c r="AJ1246" s="59">
        <v>0.85489999999999999</v>
      </c>
      <c r="AK1246" s="59">
        <v>8.6E-3</v>
      </c>
      <c r="AL1246" s="3">
        <v>93</v>
      </c>
      <c r="AM1246" s="3">
        <v>86</v>
      </c>
      <c r="AN1246" s="3">
        <v>14</v>
      </c>
      <c r="AO1246" s="3">
        <v>98</v>
      </c>
      <c r="AP1246" s="3">
        <v>106</v>
      </c>
      <c r="AQ1246" s="3">
        <v>92</v>
      </c>
      <c r="AR1246" s="3">
        <v>102</v>
      </c>
      <c r="AS1246" s="59">
        <v>0.125</v>
      </c>
      <c r="AT1246" s="3">
        <v>6</v>
      </c>
      <c r="AU1246" s="3">
        <v>6</v>
      </c>
      <c r="AV1246" s="49">
        <v>61.967213114754102</v>
      </c>
      <c r="AW1246" s="49">
        <v>19.016393442622999</v>
      </c>
      <c r="AX1246" s="49">
        <v>19.016393442622999</v>
      </c>
      <c r="AY1246" s="67">
        <v>0</v>
      </c>
      <c r="AZ1246" s="63">
        <v>0.37229987293519695</v>
      </c>
      <c r="BA1246" s="63">
        <v>0.13214739517153748</v>
      </c>
      <c r="BB1246" s="77">
        <v>92.062273017195395</v>
      </c>
      <c r="BC1246" s="49">
        <v>62.25</v>
      </c>
      <c r="BD1246" s="49"/>
      <c r="BE1246" s="49"/>
      <c r="BF1246" s="49"/>
      <c r="BG1246" s="49"/>
      <c r="BH1246" s="49"/>
      <c r="BI1246" s="49"/>
      <c r="BJ1246" s="88">
        <v>16.5</v>
      </c>
      <c r="BK1246" s="126">
        <v>15338</v>
      </c>
      <c r="BL1246" s="126">
        <v>53721</v>
      </c>
      <c r="BM1246" s="126">
        <v>62193</v>
      </c>
      <c r="BN1246" s="126">
        <v>50506</v>
      </c>
      <c r="BO1246" s="59">
        <v>2.3E-2</v>
      </c>
      <c r="BP1246" s="63">
        <v>0.309</v>
      </c>
      <c r="BQ1246" s="63">
        <v>0.23910000000000001</v>
      </c>
      <c r="BR1246" s="63">
        <v>0</v>
      </c>
      <c r="BS1246" s="63">
        <v>0</v>
      </c>
      <c r="BT1246" s="87">
        <v>14.5</v>
      </c>
      <c r="BU1246" s="59">
        <f t="shared" si="88"/>
        <v>0.57110000000000005</v>
      </c>
      <c r="BV1246" s="59">
        <v>2.29E-2</v>
      </c>
      <c r="BW1246" s="63">
        <v>0</v>
      </c>
      <c r="BX1246" s="63">
        <v>4.8500000000000001E-2</v>
      </c>
      <c r="BY1246" s="63">
        <v>0</v>
      </c>
      <c r="BZ1246" s="63">
        <v>0</v>
      </c>
      <c r="CA1246" s="87">
        <v>14.1</v>
      </c>
      <c r="CB1246" s="59">
        <f t="shared" si="89"/>
        <v>7.1400000000000005E-2</v>
      </c>
      <c r="CC1246" s="59">
        <v>0.2374</v>
      </c>
      <c r="CD1246" s="63">
        <v>0.36709999999999998</v>
      </c>
      <c r="CE1246" s="63">
        <v>0.39550000000000002</v>
      </c>
      <c r="CF1246" s="63">
        <v>0</v>
      </c>
      <c r="CG1246" s="63">
        <v>0</v>
      </c>
      <c r="CH1246" s="87">
        <v>15.1</v>
      </c>
      <c r="CI1246" s="26" t="s">
        <v>428</v>
      </c>
      <c r="CJ1246" s="18" t="s">
        <v>505</v>
      </c>
      <c r="CK1246" s="20"/>
    </row>
    <row r="1247" spans="1:99" x14ac:dyDescent="0.25">
      <c r="A1247" s="18" t="s">
        <v>505</v>
      </c>
      <c r="B1247" s="19" t="s">
        <v>484</v>
      </c>
      <c r="C1247" s="26" t="s">
        <v>474</v>
      </c>
      <c r="D1247" s="6">
        <v>10</v>
      </c>
      <c r="E1247" s="6">
        <v>1</v>
      </c>
      <c r="F1247" s="6">
        <v>9</v>
      </c>
      <c r="N1247" s="119">
        <v>4.4052863436123399E-2</v>
      </c>
      <c r="O1247" s="119">
        <v>8.1081081081081099E-2</v>
      </c>
      <c r="P1247" s="119">
        <v>0</v>
      </c>
      <c r="Q1247" s="119">
        <v>2.0833333333333301E-2</v>
      </c>
      <c r="R1247" s="119">
        <v>0</v>
      </c>
      <c r="S1247" s="119">
        <v>0.11764705882352899</v>
      </c>
      <c r="T1247" s="119">
        <v>9.375E-2</v>
      </c>
      <c r="U1247" s="119">
        <v>0.08</v>
      </c>
      <c r="V1247" s="119">
        <v>0</v>
      </c>
      <c r="W1247" s="6">
        <v>617</v>
      </c>
      <c r="X1247" s="40">
        <f t="shared" si="86"/>
        <v>82</v>
      </c>
      <c r="Y1247" s="40">
        <f t="shared" si="87"/>
        <v>184</v>
      </c>
      <c r="Z1247" s="59">
        <v>0.47649999999999998</v>
      </c>
      <c r="AA1247" s="59">
        <v>0.52349999999999997</v>
      </c>
      <c r="AB1247" s="61">
        <v>4.8622366288492711E-3</v>
      </c>
      <c r="AC1247" s="61">
        <v>4.8622366288492711E-3</v>
      </c>
      <c r="AD1247" s="61">
        <v>0.39384116693679094</v>
      </c>
      <c r="AE1247" s="61">
        <v>2.7552674230145867E-2</v>
      </c>
      <c r="AF1247" s="61">
        <v>0</v>
      </c>
      <c r="AG1247" s="61">
        <v>0.52836304700162073</v>
      </c>
      <c r="AH1247" s="61">
        <v>4.0518638573743923E-2</v>
      </c>
      <c r="AI1247" s="61">
        <v>0.47163695299837927</v>
      </c>
      <c r="AJ1247" s="59">
        <v>0.76339999999999997</v>
      </c>
      <c r="AK1247" s="59">
        <v>3.2000000000000002E-3</v>
      </c>
      <c r="AL1247" s="3">
        <v>58</v>
      </c>
      <c r="AM1247" s="3">
        <v>44</v>
      </c>
      <c r="AN1247" s="3">
        <v>1</v>
      </c>
      <c r="AO1247" s="3">
        <v>26</v>
      </c>
      <c r="AP1247" s="3">
        <v>18</v>
      </c>
      <c r="AQ1247" s="3">
        <v>19</v>
      </c>
      <c r="AR1247" s="3">
        <v>18</v>
      </c>
      <c r="AS1247" s="59">
        <v>3.7037037037037035E-2</v>
      </c>
      <c r="AT1247" s="3">
        <v>1</v>
      </c>
      <c r="AU1247" s="3">
        <v>1</v>
      </c>
      <c r="AV1247" s="49">
        <v>34.703196347031998</v>
      </c>
      <c r="AW1247" s="49">
        <v>37.899543378995396</v>
      </c>
      <c r="AX1247" s="49">
        <v>6.8493150684931505</v>
      </c>
      <c r="AY1247" s="67">
        <v>20.5479452054795</v>
      </c>
      <c r="AZ1247" s="63">
        <v>0.23513513513513515</v>
      </c>
      <c r="BA1247" s="63">
        <v>1.891891891891892E-2</v>
      </c>
      <c r="BB1247" s="78">
        <v>91.725225594552001</v>
      </c>
      <c r="BC1247" s="49">
        <v>58.698539176626802</v>
      </c>
      <c r="BD1247" s="49"/>
      <c r="BE1247" s="49"/>
      <c r="BF1247" s="49"/>
      <c r="BG1247" s="49"/>
      <c r="BH1247" s="49"/>
      <c r="BI1247" s="49"/>
      <c r="BJ1247" s="88">
        <v>15.2</v>
      </c>
      <c r="BK1247" s="126">
        <v>14238</v>
      </c>
      <c r="BL1247" s="126">
        <v>46013</v>
      </c>
      <c r="BM1247" s="126">
        <v>54167</v>
      </c>
      <c r="BN1247" s="126">
        <v>39428</v>
      </c>
      <c r="BO1247" s="59">
        <v>0</v>
      </c>
      <c r="BP1247" s="63">
        <v>0.24210000000000001</v>
      </c>
      <c r="BQ1247" s="63">
        <v>0.12529999999999999</v>
      </c>
      <c r="BR1247" s="63">
        <v>0</v>
      </c>
      <c r="BS1247" s="63">
        <v>1.0500000000000001E-2</v>
      </c>
      <c r="BT1247" s="87">
        <v>10.3</v>
      </c>
      <c r="BU1247" s="59">
        <f t="shared" si="88"/>
        <v>0.37790000000000001</v>
      </c>
      <c r="BV1247" s="63">
        <v>3.1600000000000003E-2</v>
      </c>
      <c r="BW1247" s="63">
        <v>0</v>
      </c>
      <c r="BX1247" s="63">
        <v>3.1600000000000003E-2</v>
      </c>
      <c r="BY1247" s="63">
        <v>0</v>
      </c>
      <c r="BZ1247" s="63">
        <v>0</v>
      </c>
      <c r="CA1247" s="87">
        <v>2.2999999999999998</v>
      </c>
      <c r="CB1247" s="59">
        <f t="shared" si="89"/>
        <v>6.3200000000000006E-2</v>
      </c>
      <c r="CC1247" s="59">
        <v>0.3901</v>
      </c>
      <c r="CD1247" s="63">
        <v>0.34760000000000002</v>
      </c>
      <c r="CE1247" s="63">
        <v>0.24129999999999999</v>
      </c>
      <c r="CF1247" s="63">
        <v>0</v>
      </c>
      <c r="CG1247" s="63">
        <v>2.1100000000000001E-2</v>
      </c>
      <c r="CH1247" s="87">
        <v>6</v>
      </c>
      <c r="CI1247" s="26" t="s">
        <v>474</v>
      </c>
      <c r="CJ1247" s="18" t="s">
        <v>505</v>
      </c>
      <c r="CK1247" s="20" t="s">
        <v>517</v>
      </c>
    </row>
    <row r="1248" spans="1:99" x14ac:dyDescent="0.25">
      <c r="A1248" s="18" t="s">
        <v>505</v>
      </c>
      <c r="B1248" s="19" t="s">
        <v>485</v>
      </c>
      <c r="C1248" s="26" t="s">
        <v>430</v>
      </c>
      <c r="D1248" s="6">
        <v>14</v>
      </c>
      <c r="E1248" s="40" t="s">
        <v>83</v>
      </c>
      <c r="F1248" s="6">
        <v>14</v>
      </c>
      <c r="N1248" s="119">
        <v>8.4388185654008397E-3</v>
      </c>
      <c r="O1248" s="119">
        <v>8.4388185654008397E-3</v>
      </c>
      <c r="P1248" s="116" t="s">
        <v>83</v>
      </c>
      <c r="Q1248" s="116" t="s">
        <v>83</v>
      </c>
      <c r="R1248" s="119">
        <v>0</v>
      </c>
      <c r="S1248" s="119">
        <v>4.5146726862302497E-3</v>
      </c>
      <c r="T1248" s="119">
        <v>7.1770334928229701E-3</v>
      </c>
      <c r="U1248" s="119">
        <v>1.0443864229764999E-2</v>
      </c>
      <c r="V1248" s="119">
        <v>1.3089005235602099E-2</v>
      </c>
      <c r="W1248" s="6">
        <v>1586</v>
      </c>
      <c r="X1248" s="40">
        <f t="shared" si="86"/>
        <v>1586</v>
      </c>
      <c r="Y1248" s="40">
        <f t="shared" si="87"/>
        <v>1586</v>
      </c>
      <c r="Z1248" s="59">
        <v>0.4975</v>
      </c>
      <c r="AA1248" s="59">
        <v>0.50249999999999995</v>
      </c>
      <c r="AB1248" s="61">
        <v>6.3051702395964691E-4</v>
      </c>
      <c r="AC1248" s="61">
        <v>8.8272383354350576E-3</v>
      </c>
      <c r="AD1248" s="61">
        <v>0.53026481715006302</v>
      </c>
      <c r="AE1248" s="61">
        <v>1.3240857503152586E-2</v>
      </c>
      <c r="AF1248" s="61">
        <v>1.2610340479192938E-3</v>
      </c>
      <c r="AG1248" s="61">
        <v>0.43127364438839849</v>
      </c>
      <c r="AH1248" s="61">
        <v>1.4501891551071878E-2</v>
      </c>
      <c r="AI1248" s="61">
        <v>0.56872635561160156</v>
      </c>
      <c r="AJ1248" s="59">
        <v>0.40860000000000002</v>
      </c>
      <c r="AK1248" s="59">
        <v>5.0000000000000001E-3</v>
      </c>
      <c r="AL1248" s="3">
        <v>0</v>
      </c>
      <c r="AM1248" s="3">
        <v>0</v>
      </c>
      <c r="AN1248" s="3">
        <v>38</v>
      </c>
      <c r="AO1248" s="3">
        <v>418</v>
      </c>
      <c r="AP1248" s="3">
        <v>415</v>
      </c>
      <c r="AQ1248" s="3">
        <v>355</v>
      </c>
      <c r="AR1248" s="3">
        <v>360</v>
      </c>
      <c r="AS1248" s="59">
        <v>8.3333333333333329E-2</v>
      </c>
      <c r="AT1248" s="3">
        <v>9</v>
      </c>
      <c r="AU1248" s="3">
        <v>6</v>
      </c>
      <c r="AV1248" s="49">
        <v>56.421356421356393</v>
      </c>
      <c r="AW1248" s="49">
        <v>22.9437229437229</v>
      </c>
      <c r="AX1248" s="49">
        <v>20.0577200577201</v>
      </c>
      <c r="AY1248" s="67">
        <v>0.57720057720057705</v>
      </c>
      <c r="AZ1248" s="63">
        <v>0.11786148238153099</v>
      </c>
      <c r="BA1248" s="63">
        <v>0</v>
      </c>
      <c r="BB1248" s="77">
        <v>95.628631461195098</v>
      </c>
      <c r="BC1248" s="49">
        <v>51.390568319226098</v>
      </c>
      <c r="BD1248" s="49"/>
      <c r="BE1248" s="49"/>
      <c r="BF1248" s="49"/>
      <c r="BG1248" s="49"/>
      <c r="BH1248" s="49"/>
      <c r="BI1248" s="49"/>
      <c r="BJ1248" s="88">
        <v>21.9</v>
      </c>
      <c r="BK1248" s="126">
        <v>10616</v>
      </c>
      <c r="BL1248" s="126">
        <v>54862</v>
      </c>
      <c r="BM1248" s="126">
        <v>54610</v>
      </c>
      <c r="BN1248" s="126">
        <v>50055</v>
      </c>
      <c r="BO1248" s="59">
        <v>6.8999999999999999E-3</v>
      </c>
      <c r="BP1248" s="63">
        <v>0.46600000000000003</v>
      </c>
      <c r="BQ1248" s="63">
        <v>0.2077</v>
      </c>
      <c r="BR1248" s="63">
        <v>0</v>
      </c>
      <c r="BS1248" s="63">
        <v>6.8999999999999999E-3</v>
      </c>
      <c r="BT1248" s="87">
        <v>12.9</v>
      </c>
      <c r="BU1248" s="59">
        <f t="shared" si="88"/>
        <v>0.68750000000000011</v>
      </c>
      <c r="BV1248" s="59">
        <v>3.3099999999999997E-2</v>
      </c>
      <c r="BW1248" s="63">
        <v>1.38E-2</v>
      </c>
      <c r="BX1248" s="63">
        <v>3.6700000000000003E-2</v>
      </c>
      <c r="BY1248" s="63">
        <v>0</v>
      </c>
      <c r="BZ1248" s="63">
        <v>0</v>
      </c>
      <c r="CA1248" s="87">
        <v>10.8</v>
      </c>
      <c r="CB1248" s="59">
        <f t="shared" si="89"/>
        <v>8.3600000000000008E-2</v>
      </c>
      <c r="CC1248" s="59">
        <v>0.18579999999999999</v>
      </c>
      <c r="CD1248" s="63">
        <v>0.50749999999999995</v>
      </c>
      <c r="CE1248" s="63">
        <v>0.29970000000000002</v>
      </c>
      <c r="CF1248" s="63">
        <v>0</v>
      </c>
      <c r="CG1248" s="63">
        <v>6.8999999999999999E-3</v>
      </c>
      <c r="CH1248" s="87">
        <v>11.1</v>
      </c>
      <c r="CI1248" s="26" t="s">
        <v>430</v>
      </c>
      <c r="CJ1248" s="18" t="s">
        <v>505</v>
      </c>
      <c r="CK1248" s="20"/>
    </row>
    <row r="1249" spans="1:89" x14ac:dyDescent="0.25">
      <c r="A1249" s="18" t="s">
        <v>505</v>
      </c>
      <c r="B1249" s="19" t="s">
        <v>486</v>
      </c>
      <c r="C1249" s="26" t="s">
        <v>432</v>
      </c>
      <c r="D1249" s="6">
        <v>39</v>
      </c>
      <c r="E1249" s="40" t="s">
        <v>83</v>
      </c>
      <c r="F1249" s="6">
        <v>39</v>
      </c>
      <c r="N1249" s="119">
        <v>5.7777777777777803E-2</v>
      </c>
      <c r="O1249" s="119">
        <v>5.7777777777777803E-2</v>
      </c>
      <c r="P1249" s="116" t="s">
        <v>83</v>
      </c>
      <c r="Q1249" s="116" t="s">
        <v>83</v>
      </c>
      <c r="R1249" s="119">
        <v>1.1764705882352899E-2</v>
      </c>
      <c r="S1249" s="119">
        <v>0.12844036697247699</v>
      </c>
      <c r="T1249" s="119">
        <v>7.1005917159763302E-2</v>
      </c>
      <c r="U1249" s="119">
        <v>5.0632911392405097E-2</v>
      </c>
      <c r="V1249" s="119">
        <v>2.5974025974026E-2</v>
      </c>
      <c r="W1249" s="6">
        <v>553</v>
      </c>
      <c r="X1249" s="40">
        <f t="shared" si="86"/>
        <v>553</v>
      </c>
      <c r="Y1249" s="40">
        <f t="shared" si="87"/>
        <v>553</v>
      </c>
      <c r="Z1249" s="59">
        <v>0.46289999999999998</v>
      </c>
      <c r="AA1249" s="59">
        <v>0.53710000000000002</v>
      </c>
      <c r="AB1249" s="61">
        <v>1.8083182640144665E-3</v>
      </c>
      <c r="AC1249" s="61">
        <v>0</v>
      </c>
      <c r="AD1249" s="61">
        <v>0.94575045207956598</v>
      </c>
      <c r="AE1249" s="61">
        <v>3.616636528028933E-3</v>
      </c>
      <c r="AF1249" s="61">
        <v>0</v>
      </c>
      <c r="AG1249" s="61">
        <v>4.3399638336347197E-2</v>
      </c>
      <c r="AH1249" s="61">
        <v>5.4249547920433997E-3</v>
      </c>
      <c r="AI1249" s="61">
        <v>0.95660036166365281</v>
      </c>
      <c r="AJ1249" s="59">
        <v>0.77400000000000002</v>
      </c>
      <c r="AK1249" s="59">
        <v>3.5999999999999999E-3</v>
      </c>
      <c r="AL1249" s="3">
        <v>0</v>
      </c>
      <c r="AM1249" s="3">
        <v>0</v>
      </c>
      <c r="AN1249" s="3">
        <v>0</v>
      </c>
      <c r="AO1249" s="3">
        <v>145</v>
      </c>
      <c r="AP1249" s="3">
        <v>126</v>
      </c>
      <c r="AQ1249" s="3">
        <v>140</v>
      </c>
      <c r="AR1249" s="3">
        <v>142</v>
      </c>
      <c r="AS1249" s="59">
        <v>0</v>
      </c>
      <c r="AT1249" s="3">
        <v>9</v>
      </c>
      <c r="AU1249" s="3">
        <v>6</v>
      </c>
      <c r="AV1249" s="49">
        <v>54.504504504504503</v>
      </c>
      <c r="AW1249" s="49">
        <v>25.225225225225202</v>
      </c>
      <c r="AX1249" s="49">
        <v>16.2162162162162</v>
      </c>
      <c r="AY1249" s="67">
        <v>4.0540540540540499</v>
      </c>
      <c r="AZ1249" s="63">
        <v>0.38685015290519875</v>
      </c>
      <c r="BA1249" s="63">
        <v>9.1743119266055051E-3</v>
      </c>
      <c r="BB1249" s="78">
        <v>91.149314151534796</v>
      </c>
      <c r="BC1249" s="49">
        <v>69.266055045871596</v>
      </c>
      <c r="BD1249" s="49"/>
      <c r="BE1249" s="49"/>
      <c r="BF1249" s="49"/>
      <c r="BG1249" s="49"/>
      <c r="BH1249" s="49"/>
      <c r="BI1249" s="49"/>
      <c r="BJ1249" s="88">
        <v>16.2</v>
      </c>
      <c r="BK1249" s="126">
        <v>12736</v>
      </c>
      <c r="BL1249" s="126">
        <v>48973</v>
      </c>
      <c r="BM1249" s="126">
        <v>69010</v>
      </c>
      <c r="BN1249" s="126">
        <v>43974</v>
      </c>
      <c r="BO1249" s="59">
        <v>4.0399999999999998E-2</v>
      </c>
      <c r="BP1249" s="63">
        <v>0.2243</v>
      </c>
      <c r="BQ1249" s="63">
        <v>0.25469999999999998</v>
      </c>
      <c r="BR1249" s="63">
        <v>0</v>
      </c>
      <c r="BS1249" s="63">
        <v>4.7100000000000003E-2</v>
      </c>
      <c r="BT1249" s="87">
        <v>13.1</v>
      </c>
      <c r="BU1249" s="59">
        <f t="shared" si="88"/>
        <v>0.5665</v>
      </c>
      <c r="BV1249" s="59">
        <v>2.0199999999999999E-2</v>
      </c>
      <c r="BW1249" s="63">
        <v>0</v>
      </c>
      <c r="BX1249" s="63">
        <v>6.0600000000000001E-2</v>
      </c>
      <c r="BY1249" s="63">
        <v>0</v>
      </c>
      <c r="BZ1249" s="63">
        <v>2.0199999999999999E-2</v>
      </c>
      <c r="CA1249" s="87">
        <v>24.6</v>
      </c>
      <c r="CB1249" s="59">
        <f t="shared" si="89"/>
        <v>0.10099999999999999</v>
      </c>
      <c r="CC1249" s="59">
        <v>0.2923</v>
      </c>
      <c r="CD1249" s="63">
        <v>0.2646</v>
      </c>
      <c r="CE1249" s="63">
        <v>0.37580000000000002</v>
      </c>
      <c r="CF1249" s="63">
        <v>0</v>
      </c>
      <c r="CG1249" s="63">
        <v>6.7299999999999999E-2</v>
      </c>
      <c r="CH1249" s="87">
        <v>13.6</v>
      </c>
      <c r="CI1249" s="26" t="s">
        <v>432</v>
      </c>
      <c r="CJ1249" s="18" t="s">
        <v>505</v>
      </c>
      <c r="CK1249" s="20"/>
    </row>
    <row r="1250" spans="1:89" x14ac:dyDescent="0.25">
      <c r="A1250" s="18" t="s">
        <v>505</v>
      </c>
      <c r="B1250" s="19" t="s">
        <v>487</v>
      </c>
      <c r="C1250" s="26" t="s">
        <v>160</v>
      </c>
      <c r="D1250" s="6">
        <v>39</v>
      </c>
      <c r="E1250" s="40" t="s">
        <v>83</v>
      </c>
      <c r="F1250" s="6">
        <v>39</v>
      </c>
      <c r="N1250" s="119">
        <v>2.7896995708154501E-2</v>
      </c>
      <c r="O1250" s="119">
        <v>2.7896995708154501E-2</v>
      </c>
      <c r="P1250" s="116" t="s">
        <v>83</v>
      </c>
      <c r="Q1250" s="116" t="s">
        <v>83</v>
      </c>
      <c r="R1250" s="119">
        <v>0</v>
      </c>
      <c r="S1250" s="119">
        <v>5.4200542005420098E-3</v>
      </c>
      <c r="T1250" s="119">
        <v>3.7356321839080497E-2</v>
      </c>
      <c r="U1250" s="119">
        <v>3.8348082595870199E-2</v>
      </c>
      <c r="V1250" s="119">
        <v>3.53697749196141E-2</v>
      </c>
      <c r="W1250" s="6">
        <v>1330</v>
      </c>
      <c r="X1250" s="40">
        <f t="shared" si="86"/>
        <v>1330</v>
      </c>
      <c r="Y1250" s="40">
        <f t="shared" si="87"/>
        <v>1330</v>
      </c>
      <c r="Z1250" s="59">
        <v>0.4955</v>
      </c>
      <c r="AA1250" s="59">
        <v>0.50449999999999995</v>
      </c>
      <c r="AB1250" s="61">
        <v>4.5112781954887221E-3</v>
      </c>
      <c r="AC1250" s="61">
        <v>1.5037593984962405E-2</v>
      </c>
      <c r="AD1250" s="61">
        <v>0.20451127819548873</v>
      </c>
      <c r="AE1250" s="61">
        <v>3.007518796992481E-2</v>
      </c>
      <c r="AF1250" s="61">
        <v>1.5037593984962407E-3</v>
      </c>
      <c r="AG1250" s="61">
        <v>0.73909774436090225</v>
      </c>
      <c r="AH1250" s="61">
        <v>5.263157894736842E-3</v>
      </c>
      <c r="AI1250" s="61">
        <v>0.26090225563909775</v>
      </c>
      <c r="AJ1250" s="59">
        <v>0.38350000000000001</v>
      </c>
      <c r="AK1250" s="59">
        <v>8.9999999999999993E-3</v>
      </c>
      <c r="AL1250" s="3">
        <v>0</v>
      </c>
      <c r="AM1250" s="3">
        <v>0</v>
      </c>
      <c r="AN1250" s="3">
        <v>35</v>
      </c>
      <c r="AO1250" s="3">
        <v>349</v>
      </c>
      <c r="AP1250" s="3">
        <v>319</v>
      </c>
      <c r="AQ1250" s="3">
        <v>325</v>
      </c>
      <c r="AR1250" s="3">
        <v>302</v>
      </c>
      <c r="AS1250" s="59">
        <v>9.1145833333333329E-2</v>
      </c>
      <c r="AT1250" s="3">
        <v>9</v>
      </c>
      <c r="AU1250" s="3">
        <v>6</v>
      </c>
      <c r="AV1250" s="49">
        <v>62.246489859594398</v>
      </c>
      <c r="AW1250" s="49">
        <v>20.9048361934477</v>
      </c>
      <c r="AX1250" s="49">
        <v>14.976599063962601</v>
      </c>
      <c r="AY1250" s="67">
        <v>1.87207488299532</v>
      </c>
      <c r="AZ1250" s="63">
        <v>0.10079767947788253</v>
      </c>
      <c r="BA1250" s="63">
        <v>7.0340826686004346E-2</v>
      </c>
      <c r="BB1250" s="77">
        <v>93.376381246873706</v>
      </c>
      <c r="BC1250" s="49">
        <v>60.1302460202605</v>
      </c>
      <c r="BD1250" s="49"/>
      <c r="BE1250" s="49"/>
      <c r="BF1250" s="49"/>
      <c r="BG1250" s="49"/>
      <c r="BH1250" s="49"/>
      <c r="BI1250" s="49"/>
      <c r="BJ1250" s="88">
        <v>20.9</v>
      </c>
      <c r="BK1250" s="126">
        <v>11389</v>
      </c>
      <c r="BL1250" s="126">
        <v>50589</v>
      </c>
      <c r="BM1250" s="126">
        <v>57000</v>
      </c>
      <c r="BN1250" s="126">
        <v>46915</v>
      </c>
      <c r="BO1250" s="59">
        <v>1.4200000000000001E-2</v>
      </c>
      <c r="BP1250" s="63">
        <v>0.4027</v>
      </c>
      <c r="BQ1250" s="63">
        <v>0.2621</v>
      </c>
      <c r="BR1250" s="63">
        <v>3.7000000000000002E-3</v>
      </c>
      <c r="BS1250" s="63">
        <v>4.0000000000000002E-4</v>
      </c>
      <c r="BT1250" s="87">
        <v>13.6</v>
      </c>
      <c r="BU1250" s="59">
        <f t="shared" si="88"/>
        <v>0.68310000000000004</v>
      </c>
      <c r="BV1250" s="59">
        <v>2.23E-2</v>
      </c>
      <c r="BW1250" s="63">
        <v>0</v>
      </c>
      <c r="BX1250" s="63">
        <v>2.98E-2</v>
      </c>
      <c r="BY1250" s="63">
        <v>0</v>
      </c>
      <c r="BZ1250" s="63">
        <v>0</v>
      </c>
      <c r="CA1250" s="87">
        <v>24.1</v>
      </c>
      <c r="CB1250" s="59">
        <f t="shared" si="89"/>
        <v>5.21E-2</v>
      </c>
      <c r="CC1250" s="59">
        <v>0.18540000000000001</v>
      </c>
      <c r="CD1250" s="63">
        <v>0.45479999999999998</v>
      </c>
      <c r="CE1250" s="63">
        <v>0.3498</v>
      </c>
      <c r="CF1250" s="63">
        <v>9.5999999999999992E-3</v>
      </c>
      <c r="CG1250" s="63">
        <v>4.0000000000000002E-4</v>
      </c>
      <c r="CH1250" s="87">
        <v>14.2</v>
      </c>
      <c r="CI1250" s="26" t="s">
        <v>160</v>
      </c>
      <c r="CJ1250" s="18" t="s">
        <v>505</v>
      </c>
      <c r="CK1250" s="20"/>
    </row>
    <row r="1251" spans="1:89" x14ac:dyDescent="0.25">
      <c r="A1251" s="18" t="s">
        <v>505</v>
      </c>
      <c r="B1251" s="19" t="s">
        <v>512</v>
      </c>
      <c r="C1251" s="26" t="s">
        <v>435</v>
      </c>
      <c r="D1251" s="6">
        <v>35</v>
      </c>
      <c r="E1251" s="40" t="s">
        <v>83</v>
      </c>
      <c r="F1251" s="6">
        <v>35</v>
      </c>
      <c r="N1251" s="119">
        <v>4.5103092783505203E-2</v>
      </c>
      <c r="O1251" s="119">
        <v>4.5103092783505203E-2</v>
      </c>
      <c r="P1251" s="116" t="s">
        <v>83</v>
      </c>
      <c r="Q1251" s="116" t="s">
        <v>83</v>
      </c>
      <c r="R1251" s="116" t="s">
        <v>83</v>
      </c>
      <c r="S1251" s="119">
        <v>6.0240963855421699E-3</v>
      </c>
      <c r="T1251" s="119">
        <v>3.8961038961039002E-2</v>
      </c>
      <c r="U1251" s="119">
        <v>4.7368421052631601E-2</v>
      </c>
      <c r="V1251" s="119">
        <v>8.4656084656084707E-2</v>
      </c>
      <c r="W1251" s="6">
        <v>677</v>
      </c>
      <c r="X1251" s="40">
        <f t="shared" si="86"/>
        <v>677</v>
      </c>
      <c r="Y1251" s="40">
        <f t="shared" si="87"/>
        <v>677</v>
      </c>
      <c r="Z1251" s="59">
        <v>0.48010000000000003</v>
      </c>
      <c r="AA1251" s="59">
        <v>0.51990000000000003</v>
      </c>
      <c r="AB1251" s="61">
        <v>0</v>
      </c>
      <c r="AC1251" s="61">
        <v>0</v>
      </c>
      <c r="AD1251" s="61">
        <v>0.96750369276218606</v>
      </c>
      <c r="AE1251" s="61">
        <v>2.5110782865583457E-2</v>
      </c>
      <c r="AF1251" s="61">
        <v>0</v>
      </c>
      <c r="AG1251" s="61">
        <v>7.385524372230428E-3</v>
      </c>
      <c r="AH1251" s="61">
        <v>0</v>
      </c>
      <c r="AI1251" s="61">
        <v>0.99261447562776961</v>
      </c>
      <c r="AJ1251" s="59">
        <v>0.85970000000000002</v>
      </c>
      <c r="AK1251" s="59">
        <v>2.5100000000000001E-2</v>
      </c>
      <c r="AL1251" s="3">
        <v>0</v>
      </c>
      <c r="AM1251" s="3">
        <v>0</v>
      </c>
      <c r="AN1251" s="3">
        <v>0</v>
      </c>
      <c r="AO1251" s="3">
        <v>146</v>
      </c>
      <c r="AP1251" s="3">
        <v>197</v>
      </c>
      <c r="AQ1251" s="3">
        <v>167</v>
      </c>
      <c r="AR1251" s="3">
        <v>167</v>
      </c>
      <c r="AS1251" s="59">
        <v>0</v>
      </c>
      <c r="AT1251" s="3">
        <v>9</v>
      </c>
      <c r="AU1251" s="3">
        <v>5</v>
      </c>
      <c r="AV1251" s="49">
        <v>43.533123028391202</v>
      </c>
      <c r="AW1251" s="49">
        <v>23.343848580441602</v>
      </c>
      <c r="AX1251" s="49">
        <v>26.813880126182998</v>
      </c>
      <c r="AY1251" s="67">
        <v>6.3091482649842296</v>
      </c>
      <c r="AZ1251" s="63">
        <v>0</v>
      </c>
      <c r="BA1251" s="63">
        <v>4.0376850605652759E-3</v>
      </c>
      <c r="BB1251" s="78">
        <v>96.135558761804802</v>
      </c>
      <c r="BC1251" s="49">
        <v>0.26917900403768502</v>
      </c>
      <c r="BD1251" s="49"/>
      <c r="BE1251" s="49"/>
      <c r="BF1251" s="49"/>
      <c r="BG1251" s="49"/>
      <c r="BH1251" s="49"/>
      <c r="BI1251" s="49"/>
      <c r="BJ1251" s="88">
        <v>16.7</v>
      </c>
      <c r="BK1251" s="126">
        <v>13444</v>
      </c>
      <c r="BL1251" s="126">
        <v>49923</v>
      </c>
      <c r="BM1251" s="126">
        <v>67833</v>
      </c>
      <c r="BN1251" s="126">
        <v>49243</v>
      </c>
      <c r="BO1251" s="59">
        <v>0</v>
      </c>
      <c r="BP1251" s="63">
        <v>0.40289999999999998</v>
      </c>
      <c r="BQ1251" s="63">
        <v>0.15820000000000001</v>
      </c>
      <c r="BR1251" s="63">
        <v>0</v>
      </c>
      <c r="BS1251" s="63">
        <v>3.4500000000000003E-2</v>
      </c>
      <c r="BT1251" s="87">
        <v>6.5</v>
      </c>
      <c r="BU1251" s="59">
        <f t="shared" si="88"/>
        <v>0.59559999999999991</v>
      </c>
      <c r="BV1251" s="59">
        <v>1.15E-2</v>
      </c>
      <c r="BW1251" s="63">
        <v>2.3E-2</v>
      </c>
      <c r="BX1251" s="63">
        <v>2.3E-2</v>
      </c>
      <c r="BY1251" s="63">
        <v>0</v>
      </c>
      <c r="BZ1251" s="63">
        <v>1.15E-2</v>
      </c>
      <c r="CA1251" s="87">
        <v>10.5</v>
      </c>
      <c r="CB1251" s="59">
        <f t="shared" si="89"/>
        <v>6.9000000000000006E-2</v>
      </c>
      <c r="CC1251" s="59">
        <v>0.1396</v>
      </c>
      <c r="CD1251" s="63">
        <v>0.54100000000000004</v>
      </c>
      <c r="CE1251" s="63">
        <v>0.27329999999999999</v>
      </c>
      <c r="CF1251" s="63">
        <v>0</v>
      </c>
      <c r="CG1251" s="63">
        <v>4.5999999999999999E-2</v>
      </c>
      <c r="CH1251" s="87">
        <v>6.6</v>
      </c>
      <c r="CI1251" s="26" t="s">
        <v>435</v>
      </c>
      <c r="CJ1251" s="18" t="s">
        <v>505</v>
      </c>
      <c r="CK1251" s="20" t="s">
        <v>518</v>
      </c>
    </row>
    <row r="1252" spans="1:89" x14ac:dyDescent="0.25">
      <c r="A1252" s="18" t="s">
        <v>505</v>
      </c>
      <c r="B1252" s="19" t="s">
        <v>436</v>
      </c>
      <c r="C1252" s="26" t="s">
        <v>436</v>
      </c>
      <c r="D1252" s="6">
        <v>0</v>
      </c>
      <c r="E1252" s="40" t="s">
        <v>83</v>
      </c>
      <c r="F1252" s="6">
        <v>0</v>
      </c>
      <c r="N1252" s="119">
        <v>0</v>
      </c>
      <c r="O1252" s="119">
        <v>0</v>
      </c>
      <c r="P1252" s="116" t="s">
        <v>83</v>
      </c>
      <c r="Q1252" s="116" t="s">
        <v>83</v>
      </c>
      <c r="R1252" s="116" t="s">
        <v>83</v>
      </c>
      <c r="S1252" s="116" t="s">
        <v>83</v>
      </c>
      <c r="T1252" s="119">
        <v>0</v>
      </c>
      <c r="U1252" s="119">
        <v>0</v>
      </c>
      <c r="V1252" s="119">
        <v>0</v>
      </c>
      <c r="W1252" s="6">
        <v>349</v>
      </c>
      <c r="X1252" s="40">
        <f t="shared" si="86"/>
        <v>349</v>
      </c>
      <c r="Y1252" s="40">
        <f t="shared" si="87"/>
        <v>349</v>
      </c>
      <c r="Z1252" s="59">
        <v>0.60460000000000003</v>
      </c>
      <c r="AA1252" s="59">
        <v>0.39539999999999997</v>
      </c>
      <c r="AB1252" s="61">
        <v>8.5959885386819486E-3</v>
      </c>
      <c r="AC1252" s="61">
        <v>0.10601719197707736</v>
      </c>
      <c r="AD1252" s="61">
        <v>0.12607449856733524</v>
      </c>
      <c r="AE1252" s="61">
        <v>4.2979942693409739E-2</v>
      </c>
      <c r="AF1252" s="61">
        <v>3.4383954154727794E-2</v>
      </c>
      <c r="AG1252" s="61">
        <v>0.68194842406876788</v>
      </c>
      <c r="AH1252" s="61">
        <v>0</v>
      </c>
      <c r="AI1252" s="61">
        <v>0.31805157593123207</v>
      </c>
      <c r="AJ1252" s="59">
        <v>0.23499999999999999</v>
      </c>
      <c r="AK1252" s="59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103</v>
      </c>
      <c r="AQ1252" s="3">
        <v>129</v>
      </c>
      <c r="AR1252" s="3">
        <v>117</v>
      </c>
      <c r="AS1252" s="59" t="s">
        <v>83</v>
      </c>
      <c r="AT1252" s="3">
        <v>10</v>
      </c>
      <c r="AU1252" s="3">
        <v>9</v>
      </c>
      <c r="AV1252" s="49">
        <v>98.9664082687339</v>
      </c>
      <c r="AW1252" s="49">
        <v>0.775193798449612</v>
      </c>
      <c r="AX1252" s="49">
        <v>0.258397932816537</v>
      </c>
      <c r="AY1252" s="67">
        <v>0</v>
      </c>
      <c r="AZ1252" s="63">
        <v>0</v>
      </c>
      <c r="BA1252" s="63">
        <v>0</v>
      </c>
      <c r="BB1252" s="77">
        <v>97.802369993144694</v>
      </c>
      <c r="BC1252" s="49"/>
      <c r="BD1252" s="49"/>
      <c r="BE1252" s="49"/>
      <c r="BF1252" s="49"/>
      <c r="BG1252" s="49"/>
      <c r="BH1252" s="49"/>
      <c r="BI1252" s="49"/>
      <c r="BJ1252" s="88">
        <v>29.6</v>
      </c>
      <c r="BK1252" s="126">
        <v>25260</v>
      </c>
      <c r="BL1252" s="126">
        <v>59389</v>
      </c>
      <c r="BM1252" s="126">
        <v>84089</v>
      </c>
      <c r="BN1252" s="126">
        <v>54070</v>
      </c>
      <c r="BO1252" s="59">
        <v>0</v>
      </c>
      <c r="BP1252" s="63">
        <v>0</v>
      </c>
      <c r="BQ1252" s="63">
        <v>0.1686</v>
      </c>
      <c r="BR1252" s="63">
        <v>0</v>
      </c>
      <c r="BS1252" s="63">
        <v>0.27700000000000002</v>
      </c>
      <c r="BT1252" s="87">
        <v>10.5</v>
      </c>
      <c r="BU1252" s="59">
        <f t="shared" si="88"/>
        <v>0.4456</v>
      </c>
      <c r="BV1252" s="59">
        <v>0</v>
      </c>
      <c r="BW1252" s="63">
        <v>0</v>
      </c>
      <c r="BX1252" s="63">
        <v>0</v>
      </c>
      <c r="BY1252" s="63">
        <v>0</v>
      </c>
      <c r="BZ1252" s="63">
        <v>1.2E-2</v>
      </c>
      <c r="CA1252" s="87">
        <v>2</v>
      </c>
      <c r="CB1252" s="59">
        <f t="shared" si="89"/>
        <v>1.2E-2</v>
      </c>
      <c r="CC1252" s="59">
        <v>0.15809999999999999</v>
      </c>
      <c r="CD1252" s="63">
        <v>0.2175</v>
      </c>
      <c r="CE1252" s="63">
        <v>0.33529999999999999</v>
      </c>
      <c r="CF1252" s="63">
        <v>0</v>
      </c>
      <c r="CG1252" s="63">
        <v>0.28899999999999998</v>
      </c>
      <c r="CH1252" s="87">
        <v>10.199999999999999</v>
      </c>
      <c r="CI1252" s="26" t="s">
        <v>436</v>
      </c>
      <c r="CJ1252" s="18" t="s">
        <v>505</v>
      </c>
      <c r="CK1252" s="20"/>
    </row>
    <row r="1253" spans="1:89" x14ac:dyDescent="0.25">
      <c r="A1253" s="18" t="s">
        <v>505</v>
      </c>
      <c r="B1253" s="19" t="s">
        <v>437</v>
      </c>
      <c r="C1253" s="26" t="s">
        <v>437</v>
      </c>
      <c r="D1253" s="6">
        <v>0</v>
      </c>
      <c r="E1253" s="6">
        <v>0</v>
      </c>
      <c r="F1253" s="6">
        <v>0</v>
      </c>
      <c r="N1253" s="119">
        <v>0</v>
      </c>
      <c r="O1253" s="119">
        <v>0</v>
      </c>
      <c r="P1253" s="119">
        <v>0</v>
      </c>
      <c r="Q1253" s="119">
        <v>0</v>
      </c>
      <c r="R1253" s="116" t="s">
        <v>83</v>
      </c>
      <c r="S1253" s="119">
        <v>0</v>
      </c>
      <c r="T1253" s="119">
        <v>0</v>
      </c>
      <c r="U1253" s="119">
        <v>0</v>
      </c>
      <c r="V1253" s="119">
        <v>0</v>
      </c>
      <c r="W1253" s="6">
        <v>1441</v>
      </c>
      <c r="X1253" s="40">
        <f t="shared" si="86"/>
        <v>467</v>
      </c>
      <c r="Y1253" s="40">
        <f t="shared" si="87"/>
        <v>699</v>
      </c>
      <c r="Z1253" s="59">
        <v>0.50239999999999996</v>
      </c>
      <c r="AA1253" s="59">
        <v>0.49759999999999999</v>
      </c>
      <c r="AB1253" s="61">
        <v>1.3879250520471894E-3</v>
      </c>
      <c r="AC1253" s="61">
        <v>3.9555863983344902E-2</v>
      </c>
      <c r="AD1253" s="61">
        <v>0.10825815405968078</v>
      </c>
      <c r="AE1253" s="61">
        <v>2.5676613462873005E-2</v>
      </c>
      <c r="AF1253" s="61">
        <v>0</v>
      </c>
      <c r="AG1253" s="61">
        <v>0.82026370575988894</v>
      </c>
      <c r="AH1253" s="61">
        <v>4.8577376821651629E-3</v>
      </c>
      <c r="AI1253" s="61">
        <v>0.17973629424011103</v>
      </c>
      <c r="AJ1253" s="59">
        <v>3.5400000000000001E-2</v>
      </c>
      <c r="AK1253" s="59">
        <v>0</v>
      </c>
      <c r="AL1253" s="3">
        <v>116</v>
      </c>
      <c r="AM1253" s="3">
        <v>116</v>
      </c>
      <c r="AN1253" s="3">
        <v>0</v>
      </c>
      <c r="AO1253" s="3">
        <v>118</v>
      </c>
      <c r="AP1253" s="3">
        <v>111</v>
      </c>
      <c r="AQ1253" s="3">
        <v>119</v>
      </c>
      <c r="AR1253" s="3">
        <v>119</v>
      </c>
      <c r="AS1253" s="59">
        <v>0</v>
      </c>
      <c r="AT1253" s="3">
        <v>1</v>
      </c>
      <c r="AU1253" s="3">
        <v>8</v>
      </c>
      <c r="AV1253" s="49">
        <v>28.5261489698891</v>
      </c>
      <c r="AW1253" s="49">
        <v>66.877971473850991</v>
      </c>
      <c r="AX1253" s="49">
        <v>3.3280507131537198</v>
      </c>
      <c r="AY1253" s="67">
        <v>1.2678288431061799</v>
      </c>
      <c r="AZ1253" s="63">
        <v>7.601935038009675E-3</v>
      </c>
      <c r="BA1253" s="63">
        <v>2.0732550103662751E-3</v>
      </c>
      <c r="BB1253" s="77">
        <v>96.945408620212902</v>
      </c>
      <c r="BC1253" s="49"/>
      <c r="BD1253" s="49"/>
      <c r="BE1253" s="49"/>
      <c r="BF1253" s="49"/>
      <c r="BG1253" s="49"/>
      <c r="BH1253" s="49"/>
      <c r="BI1253" s="49"/>
      <c r="BJ1253" s="88">
        <v>26.7</v>
      </c>
      <c r="BK1253" s="126">
        <v>9893</v>
      </c>
      <c r="BL1253" s="126">
        <v>64644</v>
      </c>
      <c r="BM1253" s="126">
        <v>84385</v>
      </c>
      <c r="BN1253" s="126">
        <v>63415</v>
      </c>
      <c r="BO1253" s="59">
        <v>0</v>
      </c>
      <c r="BP1253" s="63">
        <v>2.3E-2</v>
      </c>
      <c r="BQ1253" s="63">
        <v>0.5524</v>
      </c>
      <c r="BR1253" s="63">
        <v>3.8399999999999997E-2</v>
      </c>
      <c r="BS1253" s="63">
        <v>2.87E-2</v>
      </c>
      <c r="BT1253" s="87">
        <v>15.6</v>
      </c>
      <c r="BU1253" s="59">
        <f t="shared" si="88"/>
        <v>0.64249999999999996</v>
      </c>
      <c r="BV1253" s="59">
        <v>1.54E-2</v>
      </c>
      <c r="BW1253" s="63">
        <v>1.3299999999999999E-2</v>
      </c>
      <c r="BX1253" s="63">
        <v>1.9E-2</v>
      </c>
      <c r="BY1253" s="63">
        <v>0</v>
      </c>
      <c r="BZ1253" s="63">
        <v>0</v>
      </c>
      <c r="CA1253" s="87">
        <v>24.2</v>
      </c>
      <c r="CB1253" s="59">
        <f t="shared" si="89"/>
        <v>4.7699999999999999E-2</v>
      </c>
      <c r="CC1253" s="59">
        <v>5.4100000000000002E-2</v>
      </c>
      <c r="CD1253" s="63">
        <v>0.1804</v>
      </c>
      <c r="CE1253" s="63">
        <v>0.6774</v>
      </c>
      <c r="CF1253" s="63">
        <v>4.6100000000000002E-2</v>
      </c>
      <c r="CG1253" s="63">
        <v>4.2099999999999999E-2</v>
      </c>
      <c r="CH1253" s="87">
        <v>15.2</v>
      </c>
      <c r="CI1253" s="26" t="s">
        <v>437</v>
      </c>
      <c r="CJ1253" s="18" t="s">
        <v>505</v>
      </c>
      <c r="CK1253" s="20"/>
    </row>
    <row r="1254" spans="1:89" x14ac:dyDescent="0.25">
      <c r="A1254" s="18" t="s">
        <v>505</v>
      </c>
      <c r="B1254" s="19" t="s">
        <v>438</v>
      </c>
      <c r="C1254" s="26" t="s">
        <v>438</v>
      </c>
      <c r="D1254" s="6">
        <v>4</v>
      </c>
      <c r="E1254" s="6">
        <v>1</v>
      </c>
      <c r="F1254" s="6">
        <v>3</v>
      </c>
      <c r="N1254" s="119">
        <v>1.6460905349794198E-2</v>
      </c>
      <c r="O1254" s="119">
        <v>1.60427807486631E-2</v>
      </c>
      <c r="P1254" s="119">
        <v>0</v>
      </c>
      <c r="Q1254" s="119">
        <v>2.7777777777777801E-2</v>
      </c>
      <c r="R1254" s="116" t="s">
        <v>83</v>
      </c>
      <c r="S1254" s="119">
        <v>0</v>
      </c>
      <c r="T1254" s="119">
        <v>0</v>
      </c>
      <c r="U1254" s="119">
        <v>1.72413793103448E-2</v>
      </c>
      <c r="V1254" s="119">
        <v>4.08163265306122E-2</v>
      </c>
      <c r="W1254" s="6">
        <v>301</v>
      </c>
      <c r="X1254" s="40">
        <f t="shared" si="86"/>
        <v>168</v>
      </c>
      <c r="Y1254" s="40">
        <f t="shared" si="87"/>
        <v>212</v>
      </c>
      <c r="Z1254" s="59">
        <v>0.40529999999999999</v>
      </c>
      <c r="AA1254" s="59">
        <v>0.59470000000000001</v>
      </c>
      <c r="AB1254" s="61">
        <v>0</v>
      </c>
      <c r="AC1254" s="61">
        <v>3.3222591362126247E-3</v>
      </c>
      <c r="AD1254" s="61">
        <v>0.99667774086378735</v>
      </c>
      <c r="AE1254" s="61">
        <v>0</v>
      </c>
      <c r="AF1254" s="61">
        <v>0</v>
      </c>
      <c r="AG1254" s="61">
        <v>0</v>
      </c>
      <c r="AH1254" s="61">
        <v>0</v>
      </c>
      <c r="AI1254" s="61">
        <v>1</v>
      </c>
      <c r="AJ1254" s="59">
        <v>0.66110000000000002</v>
      </c>
      <c r="AK1254" s="59">
        <v>0</v>
      </c>
      <c r="AL1254" s="3">
        <v>15</v>
      </c>
      <c r="AM1254" s="3">
        <v>29</v>
      </c>
      <c r="AN1254" s="3">
        <v>0</v>
      </c>
      <c r="AO1254" s="3">
        <v>33</v>
      </c>
      <c r="AP1254" s="3">
        <v>37</v>
      </c>
      <c r="AQ1254" s="3">
        <v>53</v>
      </c>
      <c r="AR1254" s="3">
        <v>45</v>
      </c>
      <c r="AS1254" s="59">
        <v>0</v>
      </c>
      <c r="AT1254" s="3">
        <v>1</v>
      </c>
      <c r="AU1254" s="3">
        <v>8</v>
      </c>
      <c r="AV1254" s="49">
        <v>78.021978021978001</v>
      </c>
      <c r="AW1254" s="49">
        <v>14.285714285714299</v>
      </c>
      <c r="AX1254" s="49">
        <v>1.46520146520147</v>
      </c>
      <c r="AY1254" s="67">
        <v>6.2271062271062299</v>
      </c>
      <c r="AZ1254" s="63">
        <v>1.4326647564469915E-2</v>
      </c>
      <c r="BA1254" s="63">
        <v>0.10028653295128939</v>
      </c>
      <c r="BB1254" s="78">
        <v>93.118367188560995</v>
      </c>
      <c r="BC1254" s="49">
        <v>58.966565349544098</v>
      </c>
      <c r="BD1254" s="49"/>
      <c r="BE1254" s="49"/>
      <c r="BF1254" s="49"/>
      <c r="BG1254" s="49"/>
      <c r="BH1254" s="49"/>
      <c r="BI1254" s="49"/>
      <c r="BJ1254" s="88">
        <v>19.7</v>
      </c>
      <c r="BK1254" s="126">
        <v>16990</v>
      </c>
      <c r="BL1254" s="126">
        <v>51035</v>
      </c>
      <c r="BM1254" s="126">
        <v>59670</v>
      </c>
      <c r="BN1254" s="126">
        <v>47841</v>
      </c>
      <c r="BO1254" s="59">
        <v>0</v>
      </c>
      <c r="BP1254" s="63">
        <v>0.47589999999999999</v>
      </c>
      <c r="BQ1254" s="63">
        <v>0.18509999999999999</v>
      </c>
      <c r="BR1254" s="63">
        <v>2.24E-2</v>
      </c>
      <c r="BS1254" s="63">
        <v>0</v>
      </c>
      <c r="BT1254" s="87">
        <v>9</v>
      </c>
      <c r="BU1254" s="59">
        <f t="shared" si="88"/>
        <v>0.68340000000000001</v>
      </c>
      <c r="BV1254" s="59">
        <v>2.24E-2</v>
      </c>
      <c r="BW1254" s="63">
        <v>1.37E-2</v>
      </c>
      <c r="BX1254" s="63">
        <v>4.4900000000000002E-2</v>
      </c>
      <c r="BY1254" s="63">
        <v>0</v>
      </c>
      <c r="BZ1254" s="63">
        <v>0</v>
      </c>
      <c r="CA1254" s="87">
        <v>14.4</v>
      </c>
      <c r="CB1254" s="59">
        <f t="shared" si="89"/>
        <v>8.1000000000000003E-2</v>
      </c>
      <c r="CC1254" s="59">
        <v>0.11219999999999999</v>
      </c>
      <c r="CD1254" s="63">
        <v>0.61299999999999999</v>
      </c>
      <c r="CE1254" s="63">
        <v>0.25240000000000001</v>
      </c>
      <c r="CF1254" s="63">
        <v>2.24E-2</v>
      </c>
      <c r="CG1254" s="63">
        <v>0</v>
      </c>
      <c r="CH1254" s="87">
        <v>10.4</v>
      </c>
      <c r="CI1254" s="26" t="s">
        <v>438</v>
      </c>
      <c r="CJ1254" s="18" t="s">
        <v>505</v>
      </c>
      <c r="CK1254" s="20"/>
    </row>
    <row r="1255" spans="1:89" x14ac:dyDescent="0.25">
      <c r="A1255" s="18" t="s">
        <v>505</v>
      </c>
      <c r="B1255" s="19" t="s">
        <v>441</v>
      </c>
      <c r="C1255" s="26" t="s">
        <v>441</v>
      </c>
      <c r="D1255" s="6">
        <v>2</v>
      </c>
      <c r="E1255" s="6">
        <v>1</v>
      </c>
      <c r="F1255" s="6">
        <v>1</v>
      </c>
      <c r="N1255" s="119">
        <v>5.7142857142857099E-3</v>
      </c>
      <c r="O1255" s="119">
        <v>4.0322580645161298E-3</v>
      </c>
      <c r="P1255" s="119">
        <v>0</v>
      </c>
      <c r="Q1255" s="119">
        <v>2.04081632653061E-2</v>
      </c>
      <c r="R1255" s="116" t="s">
        <v>83</v>
      </c>
      <c r="S1255" s="119">
        <v>0</v>
      </c>
      <c r="T1255" s="119">
        <v>1.6129032258064498E-2</v>
      </c>
      <c r="U1255" s="119">
        <v>0</v>
      </c>
      <c r="V1255" s="119">
        <v>0</v>
      </c>
      <c r="W1255" s="6">
        <v>741</v>
      </c>
      <c r="X1255" s="40">
        <f t="shared" si="86"/>
        <v>245</v>
      </c>
      <c r="Y1255" s="40">
        <f t="shared" si="87"/>
        <v>344</v>
      </c>
      <c r="Z1255" s="59">
        <v>0.53849999999999998</v>
      </c>
      <c r="AA1255" s="59">
        <v>0.46150000000000002</v>
      </c>
      <c r="AB1255" s="61">
        <v>2.564102564102564E-2</v>
      </c>
      <c r="AC1255" s="61">
        <v>2.564102564102564E-2</v>
      </c>
      <c r="AD1255" s="61">
        <v>0.26045883940620784</v>
      </c>
      <c r="AE1255" s="61">
        <v>3.1039136302294199E-2</v>
      </c>
      <c r="AF1255" s="61">
        <v>2.6990553306342779E-3</v>
      </c>
      <c r="AG1255" s="61">
        <v>0.65047233468286103</v>
      </c>
      <c r="AH1255" s="61">
        <v>4.048582995951417E-3</v>
      </c>
      <c r="AI1255" s="61">
        <v>0.34952766531713902</v>
      </c>
      <c r="AJ1255" s="59">
        <v>0.56010000000000004</v>
      </c>
      <c r="AK1255" s="59">
        <v>0</v>
      </c>
      <c r="AL1255" s="3">
        <v>52</v>
      </c>
      <c r="AM1255" s="3">
        <v>47</v>
      </c>
      <c r="AN1255" s="3">
        <v>0</v>
      </c>
      <c r="AO1255" s="3">
        <v>66</v>
      </c>
      <c r="AP1255" s="3">
        <v>60</v>
      </c>
      <c r="AQ1255" s="3">
        <v>65</v>
      </c>
      <c r="AR1255" s="3">
        <v>54</v>
      </c>
      <c r="AS1255" s="59">
        <v>0</v>
      </c>
      <c r="AT1255" s="3">
        <v>1</v>
      </c>
      <c r="AU1255" s="3">
        <v>2</v>
      </c>
      <c r="AV1255" s="49">
        <v>52</v>
      </c>
      <c r="AW1255" s="49">
        <v>21.3333333333333</v>
      </c>
      <c r="AX1255" s="49">
        <v>26</v>
      </c>
      <c r="AY1255" s="67">
        <v>0.66666666666666696</v>
      </c>
      <c r="AZ1255" s="63">
        <v>0</v>
      </c>
      <c r="BA1255" s="63">
        <v>2.0053475935828877E-2</v>
      </c>
      <c r="BB1255" s="78">
        <v>95.3467259190475</v>
      </c>
      <c r="BC1255" s="49"/>
      <c r="BD1255" s="49"/>
      <c r="BE1255" s="49"/>
      <c r="BF1255" s="49"/>
      <c r="BG1255" s="49"/>
      <c r="BH1255" s="49"/>
      <c r="BI1255" s="49"/>
      <c r="BJ1255" s="88">
        <v>22.8</v>
      </c>
      <c r="BK1255" s="126">
        <v>7629</v>
      </c>
      <c r="BL1255" s="126">
        <v>46811</v>
      </c>
      <c r="BM1255" s="126">
        <v>62025</v>
      </c>
      <c r="BN1255" s="126">
        <v>41703</v>
      </c>
      <c r="BO1255" s="59">
        <v>0</v>
      </c>
      <c r="BP1255" s="63">
        <v>0.4199</v>
      </c>
      <c r="BQ1255" s="63">
        <v>0.17549999999999999</v>
      </c>
      <c r="BR1255" s="63">
        <v>0</v>
      </c>
      <c r="BS1255" s="63">
        <v>0</v>
      </c>
      <c r="BT1255" s="87">
        <v>13.3</v>
      </c>
      <c r="BU1255" s="59">
        <f t="shared" si="88"/>
        <v>0.59539999999999993</v>
      </c>
      <c r="BV1255" s="59">
        <v>0</v>
      </c>
      <c r="BW1255" s="63">
        <v>0</v>
      </c>
      <c r="BX1255" s="63">
        <v>3.04E-2</v>
      </c>
      <c r="BY1255" s="63">
        <v>0</v>
      </c>
      <c r="BZ1255" s="63">
        <v>0</v>
      </c>
      <c r="CA1255" s="87">
        <v>30</v>
      </c>
      <c r="CB1255" s="59">
        <f t="shared" si="89"/>
        <v>3.04E-2</v>
      </c>
      <c r="CC1255" s="59">
        <v>0.30740000000000001</v>
      </c>
      <c r="CD1255" s="63">
        <v>0.47160000000000002</v>
      </c>
      <c r="CE1255" s="63">
        <v>0.221</v>
      </c>
      <c r="CF1255" s="63">
        <v>0</v>
      </c>
      <c r="CG1255" s="63">
        <v>0</v>
      </c>
      <c r="CH1255" s="87">
        <v>13</v>
      </c>
      <c r="CI1255" s="26" t="s">
        <v>441</v>
      </c>
      <c r="CJ1255" s="18" t="s">
        <v>505</v>
      </c>
      <c r="CK1255" s="20" t="s">
        <v>519</v>
      </c>
    </row>
    <row r="1256" spans="1:89" x14ac:dyDescent="0.25">
      <c r="A1256" s="18" t="s">
        <v>505</v>
      </c>
      <c r="B1256" s="19" t="s">
        <v>442</v>
      </c>
      <c r="C1256" s="26" t="s">
        <v>442</v>
      </c>
      <c r="D1256" s="6">
        <v>0</v>
      </c>
      <c r="E1256" s="40" t="s">
        <v>83</v>
      </c>
      <c r="F1256" s="6">
        <v>0</v>
      </c>
      <c r="N1256" s="119">
        <v>0</v>
      </c>
      <c r="O1256" s="119">
        <v>0</v>
      </c>
      <c r="P1256" s="116" t="s">
        <v>83</v>
      </c>
      <c r="Q1256" s="116" t="s">
        <v>83</v>
      </c>
      <c r="R1256" s="116" t="s">
        <v>83</v>
      </c>
      <c r="S1256" s="119">
        <v>0</v>
      </c>
      <c r="T1256" s="119">
        <v>0</v>
      </c>
      <c r="U1256" s="119">
        <v>0</v>
      </c>
      <c r="V1256" s="119">
        <v>0</v>
      </c>
      <c r="W1256" s="6">
        <v>228</v>
      </c>
      <c r="X1256" s="40">
        <f t="shared" si="86"/>
        <v>228</v>
      </c>
      <c r="Y1256" s="40">
        <f t="shared" si="87"/>
        <v>228</v>
      </c>
      <c r="Z1256" s="59">
        <v>0.70179999999999998</v>
      </c>
      <c r="AA1256" s="59">
        <v>0.29820000000000002</v>
      </c>
      <c r="AB1256" s="61">
        <v>8.771929824561403E-3</v>
      </c>
      <c r="AC1256" s="61">
        <v>4.3859649122807015E-3</v>
      </c>
      <c r="AD1256" s="61">
        <v>0.26315789473684209</v>
      </c>
      <c r="AE1256" s="61">
        <v>0.10964912280701754</v>
      </c>
      <c r="AF1256" s="61">
        <v>8.771929824561403E-3</v>
      </c>
      <c r="AG1256" s="61">
        <v>0.53947368421052633</v>
      </c>
      <c r="AH1256" s="61">
        <v>6.5789473684210523E-2</v>
      </c>
      <c r="AI1256" s="61">
        <v>0.46052631578947367</v>
      </c>
      <c r="AJ1256" s="59">
        <v>0.34210000000000002</v>
      </c>
      <c r="AK1256" s="59">
        <v>0</v>
      </c>
      <c r="AL1256" s="3">
        <v>0</v>
      </c>
      <c r="AM1256" s="3">
        <v>0</v>
      </c>
      <c r="AN1256" s="3">
        <v>0</v>
      </c>
      <c r="AO1256" s="3">
        <v>65</v>
      </c>
      <c r="AP1256" s="3">
        <v>57</v>
      </c>
      <c r="AQ1256" s="3">
        <v>53</v>
      </c>
      <c r="AR1256" s="3">
        <v>53</v>
      </c>
      <c r="AS1256" s="59">
        <v>0</v>
      </c>
      <c r="AT1256" s="3">
        <v>9</v>
      </c>
      <c r="AU1256" s="3">
        <v>9</v>
      </c>
      <c r="AV1256" s="49">
        <v>65.420560747663501</v>
      </c>
      <c r="AW1256" s="49">
        <v>7.4766355140186898</v>
      </c>
      <c r="AX1256" s="49">
        <v>25.233644859813097</v>
      </c>
      <c r="AY1256" s="67">
        <v>1.86915887850467</v>
      </c>
      <c r="AZ1256" s="63">
        <v>0</v>
      </c>
      <c r="BA1256" s="63">
        <v>0</v>
      </c>
      <c r="BB1256" s="77">
        <v>98.696368745271798</v>
      </c>
      <c r="BC1256" s="49"/>
      <c r="BD1256" s="49"/>
      <c r="BE1256" s="49"/>
      <c r="BF1256" s="49"/>
      <c r="BG1256" s="49"/>
      <c r="BH1256" s="49"/>
      <c r="BI1256" s="49"/>
      <c r="BJ1256" s="88">
        <v>24.7</v>
      </c>
      <c r="BK1256" s="126">
        <v>34068</v>
      </c>
      <c r="BL1256" s="126">
        <v>52731</v>
      </c>
      <c r="BM1256" s="126">
        <v>139310</v>
      </c>
      <c r="BN1256" s="126">
        <v>55912</v>
      </c>
      <c r="BO1256" s="59">
        <v>6.7500000000000004E-2</v>
      </c>
      <c r="BP1256" s="63">
        <v>0.16719999999999999</v>
      </c>
      <c r="BQ1256" s="63">
        <v>0.34010000000000001</v>
      </c>
      <c r="BR1256" s="63">
        <v>0</v>
      </c>
      <c r="BS1256" s="63">
        <v>0.1215</v>
      </c>
      <c r="BT1256" s="87">
        <v>12.1</v>
      </c>
      <c r="BU1256" s="59">
        <f t="shared" si="88"/>
        <v>0.69629999999999992</v>
      </c>
      <c r="BV1256" s="59">
        <v>0</v>
      </c>
      <c r="BW1256" s="63">
        <v>0</v>
      </c>
      <c r="BX1256" s="63">
        <v>1.2800000000000001E-2</v>
      </c>
      <c r="BY1256" s="63">
        <v>0</v>
      </c>
      <c r="BZ1256" s="63">
        <v>0</v>
      </c>
      <c r="CA1256" s="87">
        <v>9</v>
      </c>
      <c r="CB1256" s="59">
        <f t="shared" si="89"/>
        <v>1.2800000000000001E-2</v>
      </c>
      <c r="CC1256" s="59">
        <v>0.1905</v>
      </c>
      <c r="CD1256" s="63">
        <v>0.2424</v>
      </c>
      <c r="CE1256" s="63">
        <v>0.4078</v>
      </c>
      <c r="CF1256" s="63">
        <v>1.2800000000000001E-2</v>
      </c>
      <c r="CG1256" s="63">
        <v>0.14649999999999999</v>
      </c>
      <c r="CH1256" s="87">
        <v>13</v>
      </c>
      <c r="CI1256" s="26" t="s">
        <v>442</v>
      </c>
      <c r="CJ1256" s="18" t="s">
        <v>505</v>
      </c>
      <c r="CK1256" s="20"/>
    </row>
    <row r="1257" spans="1:89" x14ac:dyDescent="0.25">
      <c r="A1257" s="18" t="s">
        <v>505</v>
      </c>
      <c r="B1257" s="19" t="s">
        <v>443</v>
      </c>
      <c r="C1257" s="26" t="s">
        <v>443</v>
      </c>
      <c r="D1257" s="6">
        <v>2</v>
      </c>
      <c r="E1257" s="6">
        <v>0</v>
      </c>
      <c r="F1257" s="6">
        <v>2</v>
      </c>
      <c r="N1257" s="119">
        <v>4.8780487804877997E-3</v>
      </c>
      <c r="O1257" s="119">
        <v>7.5471698113207496E-3</v>
      </c>
      <c r="P1257" s="119">
        <v>0</v>
      </c>
      <c r="Q1257" s="119">
        <v>0</v>
      </c>
      <c r="R1257" s="116" t="s">
        <v>83</v>
      </c>
      <c r="S1257" s="119">
        <v>1.4285714285714299E-2</v>
      </c>
      <c r="T1257" s="119">
        <v>1.4084507042253501E-2</v>
      </c>
      <c r="U1257" s="119">
        <v>0</v>
      </c>
      <c r="V1257" s="119">
        <v>0</v>
      </c>
      <c r="W1257" s="6">
        <v>887</v>
      </c>
      <c r="X1257" s="40">
        <f t="shared" si="86"/>
        <v>262</v>
      </c>
      <c r="Y1257" s="40">
        <f t="shared" si="87"/>
        <v>403</v>
      </c>
      <c r="Z1257" s="59">
        <v>0.49609999999999999</v>
      </c>
      <c r="AA1257" s="59">
        <v>0.50390000000000001</v>
      </c>
      <c r="AB1257" s="61">
        <v>1.1273957158962795E-3</v>
      </c>
      <c r="AC1257" s="61">
        <v>3.3821871476888386E-3</v>
      </c>
      <c r="AD1257" s="61">
        <v>0.37316798196166856</v>
      </c>
      <c r="AE1257" s="61">
        <v>3.6076662908680945E-2</v>
      </c>
      <c r="AF1257" s="61">
        <v>0</v>
      </c>
      <c r="AG1257" s="61">
        <v>0.57384441939120634</v>
      </c>
      <c r="AH1257" s="61">
        <v>1.2401352874859075E-2</v>
      </c>
      <c r="AI1257" s="61">
        <v>0.42615558060879366</v>
      </c>
      <c r="AJ1257" s="59">
        <v>0.69669999999999999</v>
      </c>
      <c r="AK1257" s="59">
        <v>5.5999999999999999E-3</v>
      </c>
      <c r="AL1257" s="3">
        <v>71</v>
      </c>
      <c r="AM1257" s="3">
        <v>70</v>
      </c>
      <c r="AN1257" s="3">
        <v>0</v>
      </c>
      <c r="AO1257" s="3">
        <v>69</v>
      </c>
      <c r="AP1257" s="3">
        <v>71</v>
      </c>
      <c r="AQ1257" s="3">
        <v>63</v>
      </c>
      <c r="AR1257" s="3">
        <v>59</v>
      </c>
      <c r="AS1257" s="59">
        <v>0</v>
      </c>
      <c r="AT1257" s="3">
        <v>1</v>
      </c>
      <c r="AU1257" s="3">
        <v>2</v>
      </c>
      <c r="AV1257" s="49">
        <v>33.628318584070797</v>
      </c>
      <c r="AW1257" s="49">
        <v>57.964601769911496</v>
      </c>
      <c r="AX1257" s="49">
        <v>4.4247787610619502</v>
      </c>
      <c r="AY1257" s="67">
        <v>3.98230088495575</v>
      </c>
      <c r="AZ1257" s="63">
        <v>0.10654827968923418</v>
      </c>
      <c r="BA1257" s="63">
        <v>2.9966703662597113E-2</v>
      </c>
      <c r="BB1257" s="78">
        <v>94.369241746941199</v>
      </c>
      <c r="BC1257" s="49">
        <v>59.822419533851303</v>
      </c>
      <c r="BD1257" s="49"/>
      <c r="BE1257" s="49"/>
      <c r="BF1257" s="49"/>
      <c r="BG1257" s="49"/>
      <c r="BH1257" s="49"/>
      <c r="BI1257" s="49"/>
      <c r="BJ1257" s="88">
        <v>19</v>
      </c>
      <c r="BK1257" s="126">
        <v>9276</v>
      </c>
      <c r="BL1257" s="126">
        <v>58242</v>
      </c>
      <c r="BM1257" s="126">
        <v>89977</v>
      </c>
      <c r="BN1257" s="126">
        <v>41157</v>
      </c>
      <c r="BO1257" s="59">
        <v>0</v>
      </c>
      <c r="BP1257" s="63">
        <v>0.27729999999999999</v>
      </c>
      <c r="BQ1257" s="63">
        <v>0.16980000000000001</v>
      </c>
      <c r="BR1257" s="63">
        <v>0</v>
      </c>
      <c r="BS1257" s="63">
        <v>0</v>
      </c>
      <c r="BT1257" s="87">
        <v>11.6</v>
      </c>
      <c r="BU1257" s="59">
        <f t="shared" si="88"/>
        <v>0.4471</v>
      </c>
      <c r="BV1257" s="59">
        <v>3.8999999999999998E-3</v>
      </c>
      <c r="BW1257" s="63">
        <v>7.6E-3</v>
      </c>
      <c r="BX1257" s="63">
        <v>2.01E-2</v>
      </c>
      <c r="BY1257" s="63">
        <v>0</v>
      </c>
      <c r="BZ1257" s="63">
        <v>0</v>
      </c>
      <c r="CA1257" s="87">
        <v>21.6</v>
      </c>
      <c r="CB1257" s="59">
        <f t="shared" si="89"/>
        <v>3.1600000000000003E-2</v>
      </c>
      <c r="CC1257" s="59">
        <v>0.47560000000000002</v>
      </c>
      <c r="CD1257" s="63">
        <v>0.32279999999999998</v>
      </c>
      <c r="CE1257" s="63">
        <v>0.20150000000000001</v>
      </c>
      <c r="CF1257" s="63">
        <v>0</v>
      </c>
      <c r="CG1257" s="63">
        <v>0</v>
      </c>
      <c r="CH1257" s="87">
        <v>10</v>
      </c>
      <c r="CI1257" s="26" t="s">
        <v>443</v>
      </c>
      <c r="CJ1257" s="18" t="s">
        <v>505</v>
      </c>
      <c r="CK1257" s="20" t="s">
        <v>443</v>
      </c>
    </row>
    <row r="1258" spans="1:89" x14ac:dyDescent="0.25">
      <c r="A1258" s="18" t="s">
        <v>505</v>
      </c>
      <c r="B1258" s="19" t="s">
        <v>444</v>
      </c>
      <c r="C1258" s="26" t="s">
        <v>444</v>
      </c>
      <c r="D1258" s="6">
        <v>1</v>
      </c>
      <c r="E1258" s="6">
        <v>0</v>
      </c>
      <c r="F1258" s="6">
        <v>1</v>
      </c>
      <c r="N1258" s="119">
        <v>2.34192037470726E-3</v>
      </c>
      <c r="O1258" s="119">
        <v>3.81679389312977E-3</v>
      </c>
      <c r="P1258" s="119">
        <v>0</v>
      </c>
      <c r="Q1258" s="119">
        <v>0</v>
      </c>
      <c r="R1258" s="116" t="s">
        <v>83</v>
      </c>
      <c r="S1258" s="119">
        <v>0</v>
      </c>
      <c r="T1258" s="119">
        <v>0</v>
      </c>
      <c r="U1258" s="119">
        <v>0</v>
      </c>
      <c r="V1258" s="119">
        <v>1.6949152542372899E-2</v>
      </c>
      <c r="W1258" s="6">
        <v>966</v>
      </c>
      <c r="X1258" s="40">
        <f t="shared" si="86"/>
        <v>252</v>
      </c>
      <c r="Y1258" s="40">
        <f t="shared" si="87"/>
        <v>413</v>
      </c>
      <c r="Z1258" s="59">
        <v>0.49590000000000001</v>
      </c>
      <c r="AA1258" s="59">
        <v>0.50409999999999999</v>
      </c>
      <c r="AB1258" s="61">
        <v>9.316770186335404E-3</v>
      </c>
      <c r="AC1258" s="61">
        <v>7.246376811594203E-3</v>
      </c>
      <c r="AD1258" s="61">
        <v>5.7971014492753624E-2</v>
      </c>
      <c r="AE1258" s="61">
        <v>0.10041407867494824</v>
      </c>
      <c r="AF1258" s="61">
        <v>3.105590062111801E-3</v>
      </c>
      <c r="AG1258" s="61">
        <v>0.79192546583850931</v>
      </c>
      <c r="AH1258" s="61">
        <v>3.0020703933747412E-2</v>
      </c>
      <c r="AI1258" s="61">
        <v>0.20807453416149069</v>
      </c>
      <c r="AJ1258" s="59">
        <v>0.54869999999999997</v>
      </c>
      <c r="AK1258" s="59">
        <v>4.7600000000000003E-2</v>
      </c>
      <c r="AL1258" s="3">
        <v>80</v>
      </c>
      <c r="AM1258" s="3">
        <v>81</v>
      </c>
      <c r="AN1258" s="3">
        <v>0</v>
      </c>
      <c r="AO1258" s="3">
        <v>72</v>
      </c>
      <c r="AP1258" s="3">
        <v>67</v>
      </c>
      <c r="AQ1258" s="3">
        <v>55</v>
      </c>
      <c r="AR1258" s="3">
        <v>58</v>
      </c>
      <c r="AS1258" s="59">
        <v>0</v>
      </c>
      <c r="AT1258" s="3">
        <v>1</v>
      </c>
      <c r="AU1258" s="3">
        <v>2</v>
      </c>
      <c r="AV1258" s="49">
        <v>39.5017793594306</v>
      </c>
      <c r="AW1258" s="49">
        <v>36.654804270462598</v>
      </c>
      <c r="AX1258" s="49">
        <v>23.131672597864799</v>
      </c>
      <c r="AY1258" s="67">
        <v>0.71174377224199303</v>
      </c>
      <c r="AZ1258" s="63">
        <v>2.0283975659229209E-3</v>
      </c>
      <c r="BA1258" s="63">
        <v>8.1135902636916835E-3</v>
      </c>
      <c r="BB1258" s="77">
        <v>95.612562642923194</v>
      </c>
      <c r="BC1258" s="49">
        <v>53.144016227180501</v>
      </c>
      <c r="BD1258" s="49"/>
      <c r="BE1258" s="49"/>
      <c r="BF1258" s="49"/>
      <c r="BG1258" s="49"/>
      <c r="BH1258" s="49"/>
      <c r="BI1258" s="49"/>
      <c r="BJ1258" s="88">
        <v>19</v>
      </c>
      <c r="BK1258" s="126">
        <v>8654</v>
      </c>
      <c r="BL1258" s="126">
        <v>47838</v>
      </c>
      <c r="BM1258" s="126">
        <v>42153</v>
      </c>
      <c r="BN1258" s="126">
        <v>39993</v>
      </c>
      <c r="BO1258" s="59">
        <v>0</v>
      </c>
      <c r="BP1258" s="63">
        <v>0.371</v>
      </c>
      <c r="BQ1258" s="63">
        <v>0.19900000000000001</v>
      </c>
      <c r="BR1258" s="63">
        <v>0</v>
      </c>
      <c r="BS1258" s="63">
        <v>0</v>
      </c>
      <c r="BT1258" s="87">
        <v>10.9</v>
      </c>
      <c r="BU1258" s="59">
        <f t="shared" si="88"/>
        <v>0.57000000000000006</v>
      </c>
      <c r="BV1258" s="59">
        <v>2.1499999999999998E-2</v>
      </c>
      <c r="BW1258" s="63">
        <v>0</v>
      </c>
      <c r="BX1258" s="63">
        <v>1.52E-2</v>
      </c>
      <c r="BY1258" s="63">
        <v>0</v>
      </c>
      <c r="BZ1258" s="63">
        <v>0</v>
      </c>
      <c r="CA1258" s="87">
        <v>5.7</v>
      </c>
      <c r="CB1258" s="59">
        <f t="shared" si="89"/>
        <v>3.6699999999999997E-2</v>
      </c>
      <c r="CC1258" s="59">
        <v>0.2918</v>
      </c>
      <c r="CD1258" s="63">
        <v>0.46210000000000001</v>
      </c>
      <c r="CE1258" s="63">
        <v>0.24610000000000001</v>
      </c>
      <c r="CF1258" s="63">
        <v>0</v>
      </c>
      <c r="CG1258" s="63">
        <v>0</v>
      </c>
      <c r="CH1258" s="87">
        <v>8.6999999999999993</v>
      </c>
      <c r="CI1258" s="26" t="s">
        <v>444</v>
      </c>
      <c r="CJ1258" s="18" t="s">
        <v>505</v>
      </c>
      <c r="CK1258" s="20" t="s">
        <v>520</v>
      </c>
    </row>
    <row r="1259" spans="1:89" x14ac:dyDescent="0.25">
      <c r="A1259" s="18" t="s">
        <v>505</v>
      </c>
      <c r="B1259" s="19" t="s">
        <v>446</v>
      </c>
      <c r="C1259" s="26" t="s">
        <v>446</v>
      </c>
      <c r="D1259" s="6">
        <v>5</v>
      </c>
      <c r="E1259" s="40" t="s">
        <v>83</v>
      </c>
      <c r="F1259" s="6">
        <v>5</v>
      </c>
      <c r="N1259" s="119">
        <v>8.4459459459459499E-3</v>
      </c>
      <c r="O1259" s="119">
        <v>8.4459459459459499E-3</v>
      </c>
      <c r="P1259" s="116" t="s">
        <v>83</v>
      </c>
      <c r="Q1259" s="116" t="s">
        <v>83</v>
      </c>
      <c r="R1259" s="119">
        <v>0</v>
      </c>
      <c r="S1259" s="119">
        <v>0</v>
      </c>
      <c r="T1259" s="119">
        <v>1.3986013986014E-2</v>
      </c>
      <c r="U1259" s="119">
        <v>6.9444444444444397E-3</v>
      </c>
      <c r="V1259" s="119">
        <v>1.35135135135135E-2</v>
      </c>
      <c r="W1259" s="6">
        <v>576</v>
      </c>
      <c r="X1259" s="40">
        <f t="shared" si="86"/>
        <v>576</v>
      </c>
      <c r="Y1259" s="40">
        <f t="shared" si="87"/>
        <v>576</v>
      </c>
      <c r="Z1259" s="59">
        <v>0.49830000000000002</v>
      </c>
      <c r="AA1259" s="59">
        <v>0.50170000000000003</v>
      </c>
      <c r="AB1259" s="61">
        <v>0</v>
      </c>
      <c r="AC1259" s="61">
        <v>1.736111111111111E-3</v>
      </c>
      <c r="AD1259" s="61">
        <v>0.99652777777777779</v>
      </c>
      <c r="AE1259" s="61">
        <v>1.736111111111111E-3</v>
      </c>
      <c r="AF1259" s="61">
        <v>0</v>
      </c>
      <c r="AG1259" s="61">
        <v>0</v>
      </c>
      <c r="AH1259" s="61">
        <v>0</v>
      </c>
      <c r="AI1259" s="61">
        <v>1</v>
      </c>
      <c r="AJ1259" s="59">
        <v>0.73960000000000004</v>
      </c>
      <c r="AK1259" s="59">
        <v>0</v>
      </c>
      <c r="AL1259" s="3">
        <v>0</v>
      </c>
      <c r="AM1259" s="3">
        <v>0</v>
      </c>
      <c r="AN1259" s="3">
        <v>4</v>
      </c>
      <c r="AO1259" s="3">
        <v>149</v>
      </c>
      <c r="AP1259" s="3">
        <v>133</v>
      </c>
      <c r="AQ1259" s="3">
        <v>146</v>
      </c>
      <c r="AR1259" s="3">
        <v>144</v>
      </c>
      <c r="AS1259" s="59">
        <v>2.6143790849673203E-2</v>
      </c>
      <c r="AT1259" s="3">
        <v>9</v>
      </c>
      <c r="AU1259" s="3">
        <v>2</v>
      </c>
      <c r="AV1259" s="49">
        <v>31.182795698924696</v>
      </c>
      <c r="AW1259" s="49">
        <v>32.258064516128997</v>
      </c>
      <c r="AX1259" s="49">
        <v>36.021505376344095</v>
      </c>
      <c r="AY1259" s="67">
        <v>0.53763440860215106</v>
      </c>
      <c r="AZ1259" s="63">
        <v>0</v>
      </c>
      <c r="BA1259" s="63">
        <v>0</v>
      </c>
      <c r="BB1259" s="78">
        <v>96.177187244064797</v>
      </c>
      <c r="BC1259" s="49">
        <v>18.950930626057499</v>
      </c>
      <c r="BD1259" s="49"/>
      <c r="BE1259" s="49"/>
      <c r="BF1259" s="49"/>
      <c r="BG1259" s="49"/>
      <c r="BH1259" s="49"/>
      <c r="BI1259" s="49"/>
      <c r="BJ1259" s="88">
        <v>18</v>
      </c>
      <c r="BK1259" s="126">
        <v>8638</v>
      </c>
      <c r="BL1259" s="126">
        <v>54023</v>
      </c>
      <c r="BM1259" s="126">
        <v>84203</v>
      </c>
      <c r="BN1259" s="126">
        <v>54817</v>
      </c>
      <c r="BO1259" s="59">
        <v>2.1299999999999999E-2</v>
      </c>
      <c r="BP1259" s="63">
        <v>0.4728</v>
      </c>
      <c r="BQ1259" s="63">
        <v>0.1489</v>
      </c>
      <c r="BR1259" s="63">
        <v>0</v>
      </c>
      <c r="BS1259" s="63">
        <v>2.1299999999999999E-2</v>
      </c>
      <c r="BT1259" s="87">
        <v>10.9</v>
      </c>
      <c r="BU1259" s="59">
        <f t="shared" si="88"/>
        <v>0.6643</v>
      </c>
      <c r="BV1259" s="59">
        <v>2.1299999999999999E-2</v>
      </c>
      <c r="BW1259" s="63">
        <v>2.1399999999999999E-2</v>
      </c>
      <c r="BX1259" s="63">
        <v>3.2500000000000001E-2</v>
      </c>
      <c r="BY1259" s="63">
        <v>0</v>
      </c>
      <c r="BZ1259" s="63">
        <v>0</v>
      </c>
      <c r="CA1259" s="87">
        <v>16.899999999999999</v>
      </c>
      <c r="CB1259" s="59">
        <f t="shared" si="89"/>
        <v>7.5200000000000003E-2</v>
      </c>
      <c r="CC1259" s="59">
        <v>0.14899999999999999</v>
      </c>
      <c r="CD1259" s="63">
        <v>0.52749999999999997</v>
      </c>
      <c r="CE1259" s="63">
        <v>0.28079999999999999</v>
      </c>
      <c r="CF1259" s="63">
        <v>0</v>
      </c>
      <c r="CG1259" s="63">
        <v>4.2700000000000002E-2</v>
      </c>
      <c r="CH1259" s="87">
        <v>11.2</v>
      </c>
      <c r="CI1259" s="26" t="s">
        <v>446</v>
      </c>
      <c r="CJ1259" s="18" t="s">
        <v>505</v>
      </c>
      <c r="CK1259" s="20" t="s">
        <v>488</v>
      </c>
    </row>
    <row r="1260" spans="1:89" x14ac:dyDescent="0.25">
      <c r="A1260" s="18" t="s">
        <v>505</v>
      </c>
      <c r="B1260" s="19" t="s">
        <v>448</v>
      </c>
      <c r="C1260" s="26" t="s">
        <v>448</v>
      </c>
      <c r="D1260" s="6">
        <v>42</v>
      </c>
      <c r="E1260" s="40" t="s">
        <v>83</v>
      </c>
      <c r="F1260" s="6">
        <v>42</v>
      </c>
      <c r="N1260" s="119">
        <v>6.1493411420205001E-2</v>
      </c>
      <c r="O1260" s="119">
        <v>6.1493411420205001E-2</v>
      </c>
      <c r="P1260" s="116" t="s">
        <v>83</v>
      </c>
      <c r="Q1260" s="116" t="s">
        <v>83</v>
      </c>
      <c r="R1260" s="119">
        <v>0</v>
      </c>
      <c r="S1260" s="119">
        <v>6.2015503875968998E-2</v>
      </c>
      <c r="T1260" s="119">
        <v>7.5581395348837205E-2</v>
      </c>
      <c r="U1260" s="119">
        <v>7.2222222222222202E-2</v>
      </c>
      <c r="V1260" s="119">
        <v>5.0632911392405097E-2</v>
      </c>
      <c r="W1260" s="6">
        <v>558</v>
      </c>
      <c r="X1260" s="40">
        <f t="shared" si="86"/>
        <v>558</v>
      </c>
      <c r="Y1260" s="40">
        <f t="shared" si="87"/>
        <v>558</v>
      </c>
      <c r="Z1260" s="59">
        <v>0.55559999999999998</v>
      </c>
      <c r="AA1260" s="59">
        <v>0.44440000000000002</v>
      </c>
      <c r="AB1260" s="61">
        <v>0</v>
      </c>
      <c r="AC1260" s="61">
        <v>5.7347670250896057E-2</v>
      </c>
      <c r="AD1260" s="61">
        <v>0.63978494623655913</v>
      </c>
      <c r="AE1260" s="61">
        <v>0.21505376344086022</v>
      </c>
      <c r="AF1260" s="61">
        <v>0</v>
      </c>
      <c r="AG1260" s="61">
        <v>6.6308243727598568E-2</v>
      </c>
      <c r="AH1260" s="61">
        <v>2.1505376344086023E-2</v>
      </c>
      <c r="AI1260" s="61">
        <v>0.93369175627240142</v>
      </c>
      <c r="AJ1260" s="59">
        <v>0.7581</v>
      </c>
      <c r="AK1260" s="59">
        <v>0.1004</v>
      </c>
      <c r="AL1260" s="3">
        <v>0</v>
      </c>
      <c r="AM1260" s="3">
        <v>0</v>
      </c>
      <c r="AN1260" s="3">
        <v>49</v>
      </c>
      <c r="AO1260" s="3">
        <v>81</v>
      </c>
      <c r="AP1260" s="3">
        <v>135</v>
      </c>
      <c r="AQ1260" s="3">
        <v>146</v>
      </c>
      <c r="AR1260" s="3">
        <v>147</v>
      </c>
      <c r="AS1260" s="59">
        <v>0.37692307692307692</v>
      </c>
      <c r="AT1260" s="3">
        <v>9</v>
      </c>
      <c r="AU1260" s="3">
        <v>2</v>
      </c>
      <c r="AV1260" s="49">
        <v>59.636363636363598</v>
      </c>
      <c r="AW1260" s="49">
        <v>28.363636363636402</v>
      </c>
      <c r="AX1260" s="49">
        <v>11.636363636363601</v>
      </c>
      <c r="AY1260" s="67">
        <v>0.36363636363636398</v>
      </c>
      <c r="AZ1260" s="63">
        <v>3.5398230088495575E-2</v>
      </c>
      <c r="BA1260" s="63">
        <v>0.14011799410029499</v>
      </c>
      <c r="BB1260" s="77">
        <v>92.564200033789504</v>
      </c>
      <c r="BC1260" s="49">
        <v>68.3284457478006</v>
      </c>
      <c r="BD1260" s="49"/>
      <c r="BE1260" s="49"/>
      <c r="BF1260" s="49"/>
      <c r="BG1260" s="49"/>
      <c r="BH1260" s="49"/>
      <c r="BI1260" s="49"/>
      <c r="BJ1260" s="88">
        <v>17.2</v>
      </c>
      <c r="BK1260" s="126">
        <v>12076</v>
      </c>
      <c r="BL1260" s="126">
        <v>46127</v>
      </c>
      <c r="BM1260" s="126">
        <v>89792</v>
      </c>
      <c r="BN1260" s="126">
        <v>46699</v>
      </c>
      <c r="BO1260" s="59">
        <v>1.4E-2</v>
      </c>
      <c r="BP1260" s="63">
        <v>0.26900000000000002</v>
      </c>
      <c r="BQ1260" s="63">
        <v>0.186</v>
      </c>
      <c r="BR1260" s="63">
        <v>9.7000000000000003E-3</v>
      </c>
      <c r="BS1260" s="63">
        <v>3.4099999999999998E-2</v>
      </c>
      <c r="BT1260" s="87">
        <v>6.5</v>
      </c>
      <c r="BU1260" s="59">
        <f t="shared" si="88"/>
        <v>0.51280000000000003</v>
      </c>
      <c r="BV1260" s="59">
        <v>0</v>
      </c>
      <c r="BW1260" s="63">
        <v>4.2099999999999999E-2</v>
      </c>
      <c r="BX1260" s="63">
        <v>3.0700000000000002E-2</v>
      </c>
      <c r="BY1260" s="63">
        <v>0</v>
      </c>
      <c r="BZ1260" s="63">
        <v>0</v>
      </c>
      <c r="CA1260" s="87">
        <v>11</v>
      </c>
      <c r="CB1260" s="59">
        <f t="shared" si="89"/>
        <v>7.2800000000000004E-2</v>
      </c>
      <c r="CC1260" s="59">
        <v>0.25779999999999997</v>
      </c>
      <c r="CD1260" s="63">
        <v>0.38169999999999998</v>
      </c>
      <c r="CE1260" s="63">
        <v>0.31669999999999998</v>
      </c>
      <c r="CF1260" s="63">
        <v>9.7000000000000003E-3</v>
      </c>
      <c r="CG1260" s="63">
        <v>3.4099999999999998E-2</v>
      </c>
      <c r="CH1260" s="87">
        <v>7.9</v>
      </c>
      <c r="CI1260" s="26" t="s">
        <v>448</v>
      </c>
      <c r="CJ1260" s="18" t="s">
        <v>505</v>
      </c>
      <c r="CK1260" s="20" t="s">
        <v>521</v>
      </c>
    </row>
    <row r="1261" spans="1:89" x14ac:dyDescent="0.25">
      <c r="A1261" s="18" t="s">
        <v>505</v>
      </c>
      <c r="B1261" s="19" t="s">
        <v>499</v>
      </c>
      <c r="C1261" s="26" t="s">
        <v>499</v>
      </c>
      <c r="D1261" s="6">
        <v>16</v>
      </c>
      <c r="E1261" s="40" t="s">
        <v>83</v>
      </c>
      <c r="F1261" s="6">
        <v>16</v>
      </c>
      <c r="N1261" s="119">
        <v>0.02</v>
      </c>
      <c r="O1261" s="119">
        <v>0.02</v>
      </c>
      <c r="P1261" s="116" t="s">
        <v>83</v>
      </c>
      <c r="Q1261" s="116" t="s">
        <v>83</v>
      </c>
      <c r="R1261" s="119">
        <v>0</v>
      </c>
      <c r="S1261" s="119">
        <v>1.3333333333333299E-2</v>
      </c>
      <c r="T1261" s="119">
        <v>3.3018867924528301E-2</v>
      </c>
      <c r="U1261" s="119">
        <v>2.1052631578947399E-2</v>
      </c>
      <c r="V1261" s="119">
        <v>1.20481927710843E-2</v>
      </c>
      <c r="W1261" s="6">
        <v>763</v>
      </c>
      <c r="X1261" s="40">
        <f t="shared" si="86"/>
        <v>763</v>
      </c>
      <c r="Y1261" s="40">
        <f t="shared" si="87"/>
        <v>763</v>
      </c>
      <c r="Z1261" s="59">
        <v>0.36299999999999999</v>
      </c>
      <c r="AA1261" s="59">
        <v>0.63700000000000001</v>
      </c>
      <c r="AB1261" s="61">
        <v>9.1743119266055051E-3</v>
      </c>
      <c r="AC1261" s="61">
        <v>1.834862385321101E-2</v>
      </c>
      <c r="AD1261" s="61">
        <v>0.44692005242463956</v>
      </c>
      <c r="AE1261" s="61">
        <v>0.20183486238532111</v>
      </c>
      <c r="AF1261" s="61">
        <v>0</v>
      </c>
      <c r="AG1261" s="61">
        <v>0.29357798165137616</v>
      </c>
      <c r="AH1261" s="61">
        <v>3.0144167758846659E-2</v>
      </c>
      <c r="AI1261" s="61">
        <v>0.70642201834862384</v>
      </c>
      <c r="AJ1261" s="59">
        <v>0.65269999999999995</v>
      </c>
      <c r="AK1261" s="59">
        <v>4.9799999999999997E-2</v>
      </c>
      <c r="AL1261" s="3">
        <v>0</v>
      </c>
      <c r="AM1261" s="3">
        <v>0</v>
      </c>
      <c r="AN1261" s="3">
        <v>10</v>
      </c>
      <c r="AO1261" s="3">
        <v>207</v>
      </c>
      <c r="AP1261" s="3">
        <v>195</v>
      </c>
      <c r="AQ1261" s="3">
        <v>187</v>
      </c>
      <c r="AR1261" s="3">
        <v>164</v>
      </c>
      <c r="AS1261" s="59">
        <v>4.6082949308755762E-2</v>
      </c>
      <c r="AT1261" s="3">
        <v>9</v>
      </c>
      <c r="AU1261" s="3">
        <v>2</v>
      </c>
      <c r="AV1261" s="49">
        <v>42.452830188679201</v>
      </c>
      <c r="AW1261" s="49">
        <v>46.855345911949698</v>
      </c>
      <c r="AX1261" s="49">
        <v>10.062893081761001</v>
      </c>
      <c r="AY1261" s="67">
        <v>0.62893081761006298</v>
      </c>
      <c r="AZ1261" s="63">
        <v>0.25602027883396705</v>
      </c>
      <c r="BA1261" s="63">
        <v>0.11913814955640051</v>
      </c>
      <c r="BB1261" s="77">
        <v>94.362478332728699</v>
      </c>
      <c r="BC1261" s="49">
        <v>65.006226650062302</v>
      </c>
      <c r="BD1261" s="49"/>
      <c r="BE1261" s="49"/>
      <c r="BF1261" s="49"/>
      <c r="BG1261" s="49"/>
      <c r="BH1261" s="49"/>
      <c r="BI1261" s="49"/>
      <c r="BJ1261" s="88">
        <v>19.3</v>
      </c>
      <c r="BK1261" s="126">
        <v>11852</v>
      </c>
      <c r="BL1261" s="126">
        <v>53947</v>
      </c>
      <c r="BM1261" s="126">
        <v>67729</v>
      </c>
      <c r="BN1261" s="126">
        <v>56999</v>
      </c>
      <c r="BO1261" s="59">
        <v>3.8699999999999998E-2</v>
      </c>
      <c r="BP1261" s="63">
        <v>0.29680000000000001</v>
      </c>
      <c r="BQ1261" s="63">
        <v>0.34189999999999998</v>
      </c>
      <c r="BR1261" s="63">
        <v>0</v>
      </c>
      <c r="BS1261" s="63">
        <v>3.8699999999999998E-2</v>
      </c>
      <c r="BT1261" s="87">
        <v>10.7</v>
      </c>
      <c r="BU1261" s="59">
        <f t="shared" si="88"/>
        <v>0.71609999999999996</v>
      </c>
      <c r="BV1261" s="59">
        <v>6.4500000000000002E-2</v>
      </c>
      <c r="BW1261" s="63">
        <v>2.58E-2</v>
      </c>
      <c r="BX1261" s="63">
        <v>2.58E-2</v>
      </c>
      <c r="BY1261" s="63">
        <v>0</v>
      </c>
      <c r="BZ1261" s="63">
        <v>1.29E-2</v>
      </c>
      <c r="CA1261" s="87">
        <v>7.4</v>
      </c>
      <c r="CB1261" s="59">
        <f t="shared" si="89"/>
        <v>0.129</v>
      </c>
      <c r="CC1261" s="59">
        <v>0.1419</v>
      </c>
      <c r="CD1261" s="63">
        <v>0.34839999999999999</v>
      </c>
      <c r="CE1261" s="63">
        <v>0.45810000000000001</v>
      </c>
      <c r="CF1261" s="63">
        <v>0</v>
      </c>
      <c r="CG1261" s="63">
        <v>5.16E-2</v>
      </c>
      <c r="CH1261" s="87">
        <v>9.9</v>
      </c>
      <c r="CI1261" s="26" t="s">
        <v>499</v>
      </c>
      <c r="CJ1261" s="18" t="s">
        <v>505</v>
      </c>
      <c r="CK1261" s="20" t="s">
        <v>522</v>
      </c>
    </row>
    <row r="1262" spans="1:89" x14ac:dyDescent="0.25">
      <c r="A1262" s="18" t="s">
        <v>505</v>
      </c>
      <c r="B1262" s="29" t="s">
        <v>512</v>
      </c>
      <c r="C1262" s="29" t="s">
        <v>523</v>
      </c>
      <c r="D1262" s="6">
        <v>6</v>
      </c>
      <c r="E1262" s="6">
        <v>6</v>
      </c>
      <c r="F1262" s="6" t="s">
        <v>515</v>
      </c>
      <c r="N1262" s="119">
        <v>2.3346303501945501E-2</v>
      </c>
      <c r="O1262" s="119">
        <v>0</v>
      </c>
      <c r="P1262" s="119">
        <v>3.4883720930232599E-2</v>
      </c>
      <c r="Q1262" s="119">
        <v>3.4883720930232599E-2</v>
      </c>
      <c r="R1262" s="119">
        <v>0</v>
      </c>
      <c r="S1262" s="119">
        <v>0</v>
      </c>
      <c r="T1262" s="116" t="s">
        <v>83</v>
      </c>
      <c r="U1262" s="116" t="s">
        <v>83</v>
      </c>
      <c r="V1262" s="116" t="s">
        <v>83</v>
      </c>
      <c r="W1262" s="6">
        <v>891</v>
      </c>
      <c r="X1262" s="40">
        <f>SUM(AN1262:AR1262)</f>
        <v>80</v>
      </c>
      <c r="Y1262" s="40">
        <f>SUM(AL1262:AR1262)</f>
        <v>240</v>
      </c>
      <c r="Z1262" s="59">
        <v>0.45117845117845118</v>
      </c>
      <c r="AA1262" s="59">
        <v>0.54882154882154888</v>
      </c>
      <c r="AB1262" s="61">
        <v>0</v>
      </c>
      <c r="AC1262" s="61">
        <f>5/891</f>
        <v>5.6116722783389446E-3</v>
      </c>
      <c r="AD1262" s="61">
        <f>469/891</f>
        <v>0.52637485970819309</v>
      </c>
      <c r="AE1262" s="61">
        <f>123/891</f>
        <v>0.13804713804713806</v>
      </c>
      <c r="AF1262" s="61">
        <v>0</v>
      </c>
      <c r="AG1262" s="61">
        <f>258/891</f>
        <v>0.28956228956228958</v>
      </c>
      <c r="AH1262" s="61">
        <f>36/891</f>
        <v>4.0404040404040407E-2</v>
      </c>
      <c r="AI1262" s="61">
        <f>633/891</f>
        <v>0.71043771043771042</v>
      </c>
      <c r="AJ1262" s="59">
        <v>0.632996632996633</v>
      </c>
      <c r="AK1262" s="59">
        <v>5.0505050505050504E-2</v>
      </c>
      <c r="AL1262" s="3">
        <v>80</v>
      </c>
      <c r="AM1262" s="3">
        <v>80</v>
      </c>
      <c r="AN1262" s="3">
        <v>1</v>
      </c>
      <c r="AO1262" s="3">
        <v>79</v>
      </c>
      <c r="AP1262" s="3">
        <v>0</v>
      </c>
      <c r="AQ1262" s="3">
        <v>0</v>
      </c>
      <c r="AR1262" s="3">
        <v>0</v>
      </c>
      <c r="AS1262" s="59">
        <v>1.2500000000000001E-2</v>
      </c>
      <c r="AT1262" s="3">
        <v>1</v>
      </c>
      <c r="AU1262" s="3">
        <v>5</v>
      </c>
      <c r="AV1262" s="49">
        <v>22.5</v>
      </c>
      <c r="AW1262" s="49">
        <v>23.75</v>
      </c>
      <c r="AX1262" s="49">
        <v>53.75</v>
      </c>
      <c r="AY1262" s="67">
        <v>0</v>
      </c>
      <c r="AZ1262" s="63">
        <v>8.2146768893756841E-2</v>
      </c>
      <c r="BA1262" s="63">
        <v>7.0098576122672507E-2</v>
      </c>
      <c r="BB1262" s="77">
        <v>94.731015498773303</v>
      </c>
      <c r="BC1262" s="49">
        <v>66.026410564225699</v>
      </c>
      <c r="BD1262" s="49"/>
      <c r="BE1262" s="49"/>
      <c r="BF1262" s="49"/>
      <c r="BG1262" s="49"/>
      <c r="BH1262" s="49"/>
      <c r="BI1262" s="49"/>
      <c r="BJ1262" s="49"/>
      <c r="BK1262" s="126">
        <v>11491</v>
      </c>
      <c r="BL1262" s="126">
        <v>51041</v>
      </c>
      <c r="BM1262" s="126">
        <v>76199</v>
      </c>
      <c r="BN1262" s="126">
        <v>50307</v>
      </c>
      <c r="BO1262" s="59">
        <v>0</v>
      </c>
      <c r="BP1262" s="59">
        <v>0.29139999999999999</v>
      </c>
      <c r="BQ1262" s="59">
        <v>0.2278</v>
      </c>
      <c r="BR1262" s="59">
        <v>0</v>
      </c>
      <c r="BS1262" s="59">
        <v>2.9100000000000001E-2</v>
      </c>
      <c r="BT1262" s="49">
        <v>8.1</v>
      </c>
      <c r="BU1262" s="59">
        <f t="shared" si="88"/>
        <v>0.54830000000000001</v>
      </c>
      <c r="BV1262" s="59">
        <v>9.7000000000000003E-3</v>
      </c>
      <c r="BW1262" s="59">
        <v>9.7000000000000003E-3</v>
      </c>
      <c r="BX1262" s="59">
        <v>1.0800000000000001E-2</v>
      </c>
      <c r="BY1262" s="59">
        <v>0</v>
      </c>
      <c r="BZ1262" s="59">
        <v>0</v>
      </c>
      <c r="CA1262" s="49">
        <v>19.5</v>
      </c>
      <c r="CB1262" s="59">
        <f t="shared" si="89"/>
        <v>3.0200000000000001E-2</v>
      </c>
      <c r="CC1262" s="59">
        <v>0.15509999999999999</v>
      </c>
      <c r="CD1262" s="59">
        <v>0.41810000000000003</v>
      </c>
      <c r="CE1262" s="59">
        <v>0.3977</v>
      </c>
      <c r="CF1262" s="59">
        <v>0</v>
      </c>
      <c r="CG1262" s="59">
        <v>2.9100000000000001E-2</v>
      </c>
      <c r="CH1262" s="87">
        <v>9.9</v>
      </c>
      <c r="CI1262" s="29" t="s">
        <v>523</v>
      </c>
      <c r="CJ1262" s="18" t="s">
        <v>505</v>
      </c>
      <c r="CK1262" s="28" t="s">
        <v>523</v>
      </c>
    </row>
    <row r="1263" spans="1:89" x14ac:dyDescent="0.25">
      <c r="A1263" s="18" t="s">
        <v>505</v>
      </c>
      <c r="B1263" s="19" t="s">
        <v>512</v>
      </c>
      <c r="C1263" s="26" t="s">
        <v>524</v>
      </c>
      <c r="D1263" s="6">
        <v>26</v>
      </c>
      <c r="E1263" s="40" t="s">
        <v>83</v>
      </c>
      <c r="F1263" s="6">
        <v>26</v>
      </c>
      <c r="N1263" s="119">
        <v>4.2139384116693698E-2</v>
      </c>
      <c r="O1263" s="119">
        <v>4.2139384116693698E-2</v>
      </c>
      <c r="P1263" s="116" t="s">
        <v>83</v>
      </c>
      <c r="Q1263" s="116" t="s">
        <v>83</v>
      </c>
      <c r="R1263" s="119">
        <v>4.3478260869565202E-2</v>
      </c>
      <c r="S1263" s="119">
        <v>5.16129032258065E-2</v>
      </c>
      <c r="T1263" s="119">
        <v>1.79640718562874E-2</v>
      </c>
      <c r="U1263" s="119">
        <v>5.9259259259259303E-2</v>
      </c>
      <c r="V1263" s="119">
        <v>4.3795620437956199E-2</v>
      </c>
      <c r="W1263" s="6">
        <v>591</v>
      </c>
      <c r="X1263" s="40">
        <f t="shared" si="86"/>
        <v>591</v>
      </c>
      <c r="Y1263" s="40">
        <f t="shared" si="87"/>
        <v>591</v>
      </c>
      <c r="Z1263" s="59">
        <v>0.45850000000000002</v>
      </c>
      <c r="AA1263" s="59">
        <v>0.54149999999999998</v>
      </c>
      <c r="AB1263" s="61">
        <v>1.6920473773265651E-3</v>
      </c>
      <c r="AC1263" s="61">
        <v>6.0913705583756347E-2</v>
      </c>
      <c r="AD1263" s="61">
        <v>0.8883248730964467</v>
      </c>
      <c r="AE1263" s="61">
        <v>1.5228426395939087E-2</v>
      </c>
      <c r="AF1263" s="61">
        <v>6.7681895093062603E-3</v>
      </c>
      <c r="AG1263" s="61">
        <v>1.5228426395939087E-2</v>
      </c>
      <c r="AH1263" s="61">
        <v>1.1844331641285956E-2</v>
      </c>
      <c r="AI1263" s="61">
        <v>0.98477157360406087</v>
      </c>
      <c r="AJ1263" s="59">
        <v>0.90359999999999996</v>
      </c>
      <c r="AK1263" s="59">
        <v>0.1066</v>
      </c>
      <c r="AL1263" s="3">
        <v>0</v>
      </c>
      <c r="AM1263" s="3">
        <v>0</v>
      </c>
      <c r="AN1263" s="3">
        <v>23</v>
      </c>
      <c r="AO1263" s="3">
        <v>152</v>
      </c>
      <c r="AP1263" s="3">
        <v>156</v>
      </c>
      <c r="AQ1263" s="3">
        <v>126</v>
      </c>
      <c r="AR1263" s="3">
        <v>134</v>
      </c>
      <c r="AS1263" s="59">
        <v>0.13142857142857142</v>
      </c>
      <c r="AT1263" s="3">
        <v>9</v>
      </c>
      <c r="AU1263" s="3">
        <v>5</v>
      </c>
      <c r="AV1263" s="49">
        <v>48.2625482625483</v>
      </c>
      <c r="AW1263" s="49">
        <v>28.957528957529</v>
      </c>
      <c r="AX1263" s="49">
        <v>20.849420849420799</v>
      </c>
      <c r="AY1263" s="67">
        <v>1.9305019305019302</v>
      </c>
      <c r="AZ1263" s="63">
        <v>0.28547854785478549</v>
      </c>
      <c r="BA1263" s="63">
        <v>0.19141914191419143</v>
      </c>
      <c r="BB1263" s="77">
        <v>94.228438533853094</v>
      </c>
      <c r="BC1263" s="49">
        <v>2.8052805280528101</v>
      </c>
      <c r="BD1263" s="49"/>
      <c r="BE1263" s="49"/>
      <c r="BF1263" s="49"/>
      <c r="BG1263" s="49"/>
      <c r="BH1263" s="49"/>
      <c r="BI1263" s="49"/>
      <c r="BJ1263" s="88">
        <v>18.2</v>
      </c>
      <c r="BK1263" s="126">
        <v>14826</v>
      </c>
      <c r="BL1263" s="126">
        <v>51203</v>
      </c>
      <c r="BM1263" s="126">
        <v>58269</v>
      </c>
      <c r="BN1263" s="126">
        <v>47276</v>
      </c>
      <c r="BO1263" s="59">
        <v>0</v>
      </c>
      <c r="BP1263" s="63">
        <v>0.31280000000000002</v>
      </c>
      <c r="BQ1263" s="63">
        <v>0.1875</v>
      </c>
      <c r="BR1263" s="63">
        <v>0</v>
      </c>
      <c r="BS1263" s="63">
        <v>0</v>
      </c>
      <c r="BT1263" s="87">
        <v>4.5999999999999996</v>
      </c>
      <c r="BU1263" s="59">
        <f t="shared" si="88"/>
        <v>0.50029999999999997</v>
      </c>
      <c r="BV1263" s="59">
        <v>2.3800000000000002E-2</v>
      </c>
      <c r="BW1263" s="63">
        <v>2.3900000000000001E-2</v>
      </c>
      <c r="BX1263" s="63">
        <v>2.9899999999999999E-2</v>
      </c>
      <c r="BY1263" s="63">
        <v>0</v>
      </c>
      <c r="BZ1263" s="63">
        <v>0</v>
      </c>
      <c r="CA1263" s="87">
        <v>8.6999999999999993</v>
      </c>
      <c r="CB1263" s="59">
        <f t="shared" si="89"/>
        <v>7.7600000000000002E-2</v>
      </c>
      <c r="CC1263" s="59">
        <v>0.21440000000000001</v>
      </c>
      <c r="CD1263" s="63">
        <v>0.47889999999999999</v>
      </c>
      <c r="CE1263" s="63">
        <v>0.30370000000000003</v>
      </c>
      <c r="CF1263" s="63">
        <v>0</v>
      </c>
      <c r="CG1263" s="63">
        <v>3.0000000000000001E-3</v>
      </c>
      <c r="CH1263" s="87">
        <v>4.7</v>
      </c>
      <c r="CI1263" s="26" t="s">
        <v>524</v>
      </c>
      <c r="CJ1263" s="18" t="s">
        <v>505</v>
      </c>
      <c r="CK1263" s="20" t="s">
        <v>525</v>
      </c>
    </row>
    <row r="1264" spans="1:89" x14ac:dyDescent="0.25">
      <c r="A1264" s="18" t="s">
        <v>505</v>
      </c>
      <c r="B1264" s="19" t="s">
        <v>512</v>
      </c>
      <c r="C1264" s="26" t="s">
        <v>526</v>
      </c>
      <c r="D1264" s="6">
        <v>48</v>
      </c>
      <c r="E1264" s="40" t="s">
        <v>83</v>
      </c>
      <c r="F1264" s="6">
        <v>48</v>
      </c>
      <c r="N1264" s="119">
        <v>5.2921719955898602E-2</v>
      </c>
      <c r="O1264" s="119">
        <v>5.2921719955898602E-2</v>
      </c>
      <c r="P1264" s="116" t="s">
        <v>83</v>
      </c>
      <c r="Q1264" s="116" t="s">
        <v>83</v>
      </c>
      <c r="R1264" s="119">
        <v>2.6315789473684199E-2</v>
      </c>
      <c r="S1264" s="119">
        <v>2.6455026455026499E-2</v>
      </c>
      <c r="T1264" s="119">
        <v>5.2884615384615398E-2</v>
      </c>
      <c r="U1264" s="119">
        <v>5.97609561752988E-2</v>
      </c>
      <c r="V1264" s="119">
        <v>7.2398190045248903E-2</v>
      </c>
      <c r="W1264" s="6">
        <v>820</v>
      </c>
      <c r="X1264" s="40">
        <f t="shared" si="86"/>
        <v>820</v>
      </c>
      <c r="Y1264" s="40">
        <f t="shared" si="87"/>
        <v>820</v>
      </c>
      <c r="Z1264" s="59">
        <v>0.45240000000000002</v>
      </c>
      <c r="AA1264" s="59">
        <v>0.54759999999999998</v>
      </c>
      <c r="AB1264" s="61">
        <v>1.2195121951219512E-3</v>
      </c>
      <c r="AC1264" s="61">
        <v>1.3414634146341463E-2</v>
      </c>
      <c r="AD1264" s="61">
        <v>0.88414634146341464</v>
      </c>
      <c r="AE1264" s="61">
        <v>9.2682926829268292E-2</v>
      </c>
      <c r="AF1264" s="61">
        <v>0</v>
      </c>
      <c r="AG1264" s="61">
        <v>8.5365853658536592E-3</v>
      </c>
      <c r="AH1264" s="61">
        <v>0</v>
      </c>
      <c r="AI1264" s="61">
        <v>0.99146341463414633</v>
      </c>
      <c r="AJ1264" s="59">
        <v>0.90849999999999997</v>
      </c>
      <c r="AK1264" s="59">
        <v>0.1</v>
      </c>
      <c r="AL1264" s="3">
        <v>0</v>
      </c>
      <c r="AM1264" s="3">
        <v>0</v>
      </c>
      <c r="AN1264" s="3">
        <v>42</v>
      </c>
      <c r="AO1264" s="3">
        <v>157</v>
      </c>
      <c r="AP1264" s="3">
        <v>194</v>
      </c>
      <c r="AQ1264" s="3">
        <v>226</v>
      </c>
      <c r="AR1264" s="3">
        <v>201</v>
      </c>
      <c r="AS1264" s="59">
        <v>0.21105527638190955</v>
      </c>
      <c r="AT1264" s="3">
        <v>9</v>
      </c>
      <c r="AU1264" s="3">
        <v>5</v>
      </c>
      <c r="AV1264" s="49">
        <v>44.8763250883392</v>
      </c>
      <c r="AW1264" s="49">
        <v>20.848056537102501</v>
      </c>
      <c r="AX1264" s="49">
        <v>32.508833922261502</v>
      </c>
      <c r="AY1264" s="67">
        <v>1.7667844522968199</v>
      </c>
      <c r="AZ1264" s="63">
        <v>0</v>
      </c>
      <c r="BA1264" s="63">
        <v>0.21242937853107344</v>
      </c>
      <c r="BB1264" s="78">
        <v>84.853744874059103</v>
      </c>
      <c r="BC1264" s="49">
        <v>3.6158192090395498</v>
      </c>
      <c r="BD1264" s="49"/>
      <c r="BE1264" s="49"/>
      <c r="BF1264" s="49"/>
      <c r="BG1264" s="49"/>
      <c r="BH1264" s="49"/>
      <c r="BI1264" s="49"/>
      <c r="BJ1264" s="88">
        <v>16.5</v>
      </c>
      <c r="BK1264" s="126">
        <v>13877</v>
      </c>
      <c r="BL1264" s="126">
        <v>53889</v>
      </c>
      <c r="BM1264" s="126">
        <v>66891</v>
      </c>
      <c r="BN1264" s="126">
        <v>48046</v>
      </c>
      <c r="BO1264" s="59">
        <v>1E-3</v>
      </c>
      <c r="BP1264" s="63">
        <v>0.37880000000000003</v>
      </c>
      <c r="BQ1264" s="63">
        <v>3.1899999999999998E-2</v>
      </c>
      <c r="BR1264" s="63">
        <v>0</v>
      </c>
      <c r="BS1264" s="63">
        <v>0</v>
      </c>
      <c r="BT1264" s="87">
        <v>4</v>
      </c>
      <c r="BU1264" s="59">
        <f t="shared" si="88"/>
        <v>0.41170000000000001</v>
      </c>
      <c r="BV1264" s="59">
        <v>7.6E-3</v>
      </c>
      <c r="BW1264" s="63">
        <v>2.7799999999999998E-2</v>
      </c>
      <c r="BX1264" s="63">
        <v>0</v>
      </c>
      <c r="BY1264" s="63">
        <v>0</v>
      </c>
      <c r="BZ1264" s="63">
        <v>0</v>
      </c>
      <c r="CA1264" s="87">
        <v>6.7</v>
      </c>
      <c r="CB1264" s="59">
        <f t="shared" si="89"/>
        <v>3.5400000000000001E-2</v>
      </c>
      <c r="CC1264" s="59">
        <v>0.1991</v>
      </c>
      <c r="CD1264" s="63">
        <v>0.65980000000000005</v>
      </c>
      <c r="CE1264" s="63">
        <v>0.12759999999999999</v>
      </c>
      <c r="CF1264" s="63">
        <v>0</v>
      </c>
      <c r="CG1264" s="63">
        <v>1.35E-2</v>
      </c>
      <c r="CH1264" s="87">
        <v>4.5999999999999996</v>
      </c>
      <c r="CI1264" s="26" t="s">
        <v>526</v>
      </c>
      <c r="CJ1264" s="18" t="s">
        <v>505</v>
      </c>
      <c r="CK1264" s="20" t="s">
        <v>525</v>
      </c>
    </row>
    <row r="1265" spans="1:89" x14ac:dyDescent="0.25">
      <c r="A1265" s="18" t="s">
        <v>505</v>
      </c>
      <c r="B1265" s="19" t="s">
        <v>512</v>
      </c>
      <c r="C1265" s="26" t="s">
        <v>504</v>
      </c>
      <c r="D1265" s="6">
        <v>8</v>
      </c>
      <c r="E1265" s="40" t="s">
        <v>83</v>
      </c>
      <c r="F1265" s="6">
        <v>8</v>
      </c>
      <c r="N1265" s="119">
        <v>2.3529411764705899E-2</v>
      </c>
      <c r="O1265" s="119">
        <v>2.3529411764705899E-2</v>
      </c>
      <c r="P1265" s="116" t="s">
        <v>83</v>
      </c>
      <c r="Q1265" s="116" t="s">
        <v>83</v>
      </c>
      <c r="R1265" s="119">
        <v>3.5714285714285698E-2</v>
      </c>
      <c r="S1265" s="119">
        <v>6.5359477124183E-3</v>
      </c>
      <c r="T1265" s="119">
        <v>3.77358490566038E-2</v>
      </c>
      <c r="U1265" s="116" t="s">
        <v>83</v>
      </c>
      <c r="V1265" s="116" t="s">
        <v>83</v>
      </c>
      <c r="W1265" s="6">
        <v>308</v>
      </c>
      <c r="X1265" s="40">
        <f t="shared" si="86"/>
        <v>308</v>
      </c>
      <c r="Y1265" s="40">
        <f t="shared" si="87"/>
        <v>308</v>
      </c>
      <c r="Z1265" s="59">
        <v>0.51619999999999999</v>
      </c>
      <c r="AA1265" s="59">
        <v>0.48380000000000001</v>
      </c>
      <c r="AB1265" s="61">
        <v>6.4935064935064939E-3</v>
      </c>
      <c r="AC1265" s="61">
        <v>0</v>
      </c>
      <c r="AD1265" s="61">
        <v>0.95129870129870131</v>
      </c>
      <c r="AE1265" s="61">
        <v>2.922077922077922E-2</v>
      </c>
      <c r="AF1265" s="61">
        <v>0</v>
      </c>
      <c r="AG1265" s="61">
        <v>1.2987012987012988E-2</v>
      </c>
      <c r="AH1265" s="61">
        <v>0</v>
      </c>
      <c r="AI1265" s="61">
        <v>0.98701298701298701</v>
      </c>
      <c r="AJ1265" s="59">
        <v>0.90910000000000002</v>
      </c>
      <c r="AK1265" s="59">
        <v>2.5999999999999999E-2</v>
      </c>
      <c r="AL1265" s="3">
        <v>0</v>
      </c>
      <c r="AM1265" s="3">
        <v>0</v>
      </c>
      <c r="AN1265" s="3">
        <v>27</v>
      </c>
      <c r="AO1265" s="3">
        <v>130</v>
      </c>
      <c r="AP1265" s="3">
        <v>151</v>
      </c>
      <c r="AQ1265" s="3">
        <v>0</v>
      </c>
      <c r="AR1265" s="3">
        <v>0</v>
      </c>
      <c r="AS1265" s="59">
        <v>0.17197452229299362</v>
      </c>
      <c r="AT1265" s="3">
        <v>9</v>
      </c>
      <c r="AU1265" s="3">
        <v>5</v>
      </c>
      <c r="AV1265" s="49">
        <v>50.819672131147499</v>
      </c>
      <c r="AW1265" s="49">
        <v>29.508196721311503</v>
      </c>
      <c r="AX1265" s="49">
        <v>19.672131147540998</v>
      </c>
      <c r="AY1265" s="67">
        <v>0</v>
      </c>
      <c r="AZ1265" s="63">
        <v>4.1666666666666664E-2</v>
      </c>
      <c r="BA1265" s="63">
        <v>0.14285714285714285</v>
      </c>
      <c r="BB1265" s="77">
        <v>92.355786970603901</v>
      </c>
      <c r="BC1265" s="49"/>
      <c r="BD1265" s="49"/>
      <c r="BE1265" s="49"/>
      <c r="BF1265" s="49"/>
      <c r="BG1265" s="49"/>
      <c r="BH1265" s="49"/>
      <c r="BI1265" s="49"/>
      <c r="BJ1265" s="49"/>
      <c r="BK1265" s="126">
        <v>14985</v>
      </c>
      <c r="BL1265" s="126">
        <v>50063</v>
      </c>
      <c r="BM1265" s="126">
        <v>49381</v>
      </c>
      <c r="BN1265" s="126">
        <v>48674</v>
      </c>
      <c r="BO1265" s="59">
        <v>0</v>
      </c>
      <c r="BP1265" s="59">
        <v>0.40910000000000002</v>
      </c>
      <c r="BQ1265" s="59">
        <v>0.1477</v>
      </c>
      <c r="BR1265" s="59">
        <v>0</v>
      </c>
      <c r="BS1265" s="59">
        <v>0</v>
      </c>
      <c r="BT1265" s="49">
        <v>5.3</v>
      </c>
      <c r="BU1265" s="59">
        <f t="shared" si="88"/>
        <v>0.55679999999999996</v>
      </c>
      <c r="BV1265" s="59">
        <v>2.46E-2</v>
      </c>
      <c r="BW1265" s="59">
        <v>4.9200000000000001E-2</v>
      </c>
      <c r="BX1265" s="59">
        <v>0</v>
      </c>
      <c r="BY1265" s="59">
        <v>0</v>
      </c>
      <c r="BZ1265" s="59">
        <v>0</v>
      </c>
      <c r="CA1265" s="49">
        <v>4.7</v>
      </c>
      <c r="CB1265" s="59">
        <f t="shared" si="89"/>
        <v>7.3800000000000004E-2</v>
      </c>
      <c r="CC1265" s="59">
        <v>4.9200000000000001E-2</v>
      </c>
      <c r="CD1265" s="59">
        <v>0.7006</v>
      </c>
      <c r="CE1265" s="59">
        <v>0.24579999999999999</v>
      </c>
      <c r="CF1265" s="59">
        <v>0</v>
      </c>
      <c r="CG1265" s="59">
        <v>4.4000000000000003E-3</v>
      </c>
      <c r="CH1265" s="87">
        <v>4.5999999999999996</v>
      </c>
      <c r="CI1265" s="26" t="s">
        <v>504</v>
      </c>
      <c r="CJ1265" s="18" t="s">
        <v>505</v>
      </c>
      <c r="CK1265" s="20" t="s">
        <v>525</v>
      </c>
    </row>
    <row r="1266" spans="1:89" x14ac:dyDescent="0.25">
      <c r="A1266" s="18" t="s">
        <v>505</v>
      </c>
      <c r="B1266" s="19" t="s">
        <v>512</v>
      </c>
      <c r="C1266" s="26" t="s">
        <v>503</v>
      </c>
      <c r="D1266" s="6">
        <v>79</v>
      </c>
      <c r="E1266" s="40" t="s">
        <v>83</v>
      </c>
      <c r="F1266" s="6">
        <v>79</v>
      </c>
      <c r="N1266" s="119">
        <v>0.18119266055045899</v>
      </c>
      <c r="O1266" s="119">
        <v>0.18119266055045899</v>
      </c>
      <c r="P1266" s="116" t="s">
        <v>83</v>
      </c>
      <c r="Q1266" s="116" t="s">
        <v>83</v>
      </c>
      <c r="R1266" s="116" t="s">
        <v>83</v>
      </c>
      <c r="S1266" s="119">
        <v>0.30701754385964902</v>
      </c>
      <c r="T1266" s="119">
        <v>0.18032786885245899</v>
      </c>
      <c r="U1266" s="119">
        <v>0.179245283018868</v>
      </c>
      <c r="V1266" s="119">
        <v>3.3333333333333298E-2</v>
      </c>
      <c r="W1266" s="6">
        <v>417</v>
      </c>
      <c r="X1266" s="40">
        <f t="shared" si="86"/>
        <v>417</v>
      </c>
      <c r="Y1266" s="40">
        <f t="shared" si="87"/>
        <v>417</v>
      </c>
      <c r="Z1266" s="59">
        <v>0.4844</v>
      </c>
      <c r="AA1266" s="59">
        <v>0.51559999999999995</v>
      </c>
      <c r="AB1266" s="61">
        <v>4.7961630695443642E-3</v>
      </c>
      <c r="AC1266" s="61">
        <v>0</v>
      </c>
      <c r="AD1266" s="61">
        <v>0.73860911270983209</v>
      </c>
      <c r="AE1266" s="61">
        <v>0.22781774580335731</v>
      </c>
      <c r="AF1266" s="61">
        <v>0</v>
      </c>
      <c r="AG1266" s="61">
        <v>2.8776978417266189E-2</v>
      </c>
      <c r="AH1266" s="61">
        <v>0</v>
      </c>
      <c r="AI1266" s="61">
        <v>0.97122302158273377</v>
      </c>
      <c r="AJ1266" s="59">
        <v>0.88970000000000005</v>
      </c>
      <c r="AK1266" s="59">
        <v>0.21099999999999999</v>
      </c>
      <c r="AL1266" s="3">
        <v>0</v>
      </c>
      <c r="AM1266" s="3">
        <v>0</v>
      </c>
      <c r="AN1266" s="3">
        <v>0</v>
      </c>
      <c r="AO1266" s="3">
        <v>87</v>
      </c>
      <c r="AP1266" s="3">
        <v>119</v>
      </c>
      <c r="AQ1266" s="3">
        <v>111</v>
      </c>
      <c r="AR1266" s="3">
        <v>100</v>
      </c>
      <c r="AS1266" s="59">
        <v>0</v>
      </c>
      <c r="AT1266" s="3">
        <v>9</v>
      </c>
      <c r="AU1266" s="3">
        <v>5</v>
      </c>
      <c r="AV1266" s="49">
        <v>67.213114754098399</v>
      </c>
      <c r="AW1266" s="49">
        <v>21.857923497267802</v>
      </c>
      <c r="AX1266" s="49">
        <v>10.3825136612022</v>
      </c>
      <c r="AY1266" s="67">
        <v>0.54644808743169404</v>
      </c>
      <c r="AZ1266" s="63">
        <v>0</v>
      </c>
      <c r="BA1266" s="63">
        <v>7.18232044198895E-2</v>
      </c>
      <c r="BB1266" s="78">
        <v>94.270120388894696</v>
      </c>
      <c r="BC1266" s="49"/>
      <c r="BD1266" s="49"/>
      <c r="BE1266" s="49"/>
      <c r="BF1266" s="49"/>
      <c r="BG1266" s="49"/>
      <c r="BH1266" s="49"/>
      <c r="BI1266" s="49"/>
      <c r="BJ1266" s="88">
        <v>17.100000000000001</v>
      </c>
      <c r="BK1266" s="126">
        <v>19993</v>
      </c>
      <c r="BL1266" s="126">
        <v>48305</v>
      </c>
      <c r="BM1266" s="126">
        <v>64711</v>
      </c>
      <c r="BN1266" s="126">
        <v>48257</v>
      </c>
      <c r="BO1266" s="59">
        <v>0</v>
      </c>
      <c r="BP1266" s="63">
        <v>0.46150000000000002</v>
      </c>
      <c r="BQ1266" s="63">
        <v>9.2299999999999993E-2</v>
      </c>
      <c r="BR1266" s="63">
        <v>0</v>
      </c>
      <c r="BS1266" s="63">
        <v>0</v>
      </c>
      <c r="BT1266" s="87">
        <v>2.9</v>
      </c>
      <c r="BU1266" s="59">
        <f t="shared" si="88"/>
        <v>0.55380000000000007</v>
      </c>
      <c r="BV1266" s="59">
        <v>0</v>
      </c>
      <c r="BW1266" s="63">
        <v>7.6899999999999996E-2</v>
      </c>
      <c r="BX1266" s="63">
        <v>4.6199999999999998E-2</v>
      </c>
      <c r="BY1266" s="63">
        <v>0</v>
      </c>
      <c r="BZ1266" s="63">
        <v>0</v>
      </c>
      <c r="CA1266" s="87">
        <v>4.5999999999999996</v>
      </c>
      <c r="CB1266" s="59">
        <f t="shared" si="89"/>
        <v>0.12309999999999999</v>
      </c>
      <c r="CC1266" s="59">
        <v>9.2299999999999993E-2</v>
      </c>
      <c r="CD1266" s="63">
        <v>0.69230000000000003</v>
      </c>
      <c r="CE1266" s="63">
        <v>0.21540000000000001</v>
      </c>
      <c r="CF1266" s="63">
        <v>0</v>
      </c>
      <c r="CG1266" s="63">
        <v>0</v>
      </c>
      <c r="CH1266" s="87">
        <v>3.5</v>
      </c>
      <c r="CI1266" s="26" t="s">
        <v>503</v>
      </c>
      <c r="CJ1266" s="18" t="s">
        <v>505</v>
      </c>
      <c r="CK1266" s="20" t="s">
        <v>527</v>
      </c>
    </row>
    <row r="1267" spans="1:89" x14ac:dyDescent="0.25">
      <c r="A1267" s="18" t="s">
        <v>505</v>
      </c>
      <c r="B1267" s="19" t="s">
        <v>512</v>
      </c>
      <c r="C1267" s="26" t="s">
        <v>463</v>
      </c>
      <c r="D1267" s="6">
        <v>78</v>
      </c>
      <c r="E1267" s="40" t="s">
        <v>83</v>
      </c>
      <c r="F1267" s="6">
        <v>78</v>
      </c>
      <c r="N1267" s="119">
        <v>5.8295964125560498E-2</v>
      </c>
      <c r="O1267" s="119">
        <v>5.8295964125560498E-2</v>
      </c>
      <c r="P1267" s="116" t="s">
        <v>83</v>
      </c>
      <c r="Q1267" s="116" t="s">
        <v>83</v>
      </c>
      <c r="R1267" s="116" t="s">
        <v>83</v>
      </c>
      <c r="S1267" s="119">
        <v>1.9292604501607701E-2</v>
      </c>
      <c r="T1267" s="119">
        <v>4.6703296703296697E-2</v>
      </c>
      <c r="U1267" s="119">
        <v>4.2424242424242399E-2</v>
      </c>
      <c r="V1267" s="119">
        <v>0.123867069486405</v>
      </c>
      <c r="W1267" s="6">
        <v>1155</v>
      </c>
      <c r="X1267" s="40">
        <f t="shared" si="86"/>
        <v>1155</v>
      </c>
      <c r="Y1267" s="40">
        <f t="shared" si="87"/>
        <v>1155</v>
      </c>
      <c r="Z1267" s="59">
        <v>0.4753</v>
      </c>
      <c r="AA1267" s="59">
        <v>0.52470000000000006</v>
      </c>
      <c r="AB1267" s="61">
        <v>0</v>
      </c>
      <c r="AC1267" s="61">
        <v>1.7316017316017316E-3</v>
      </c>
      <c r="AD1267" s="61">
        <v>0.95930735930735933</v>
      </c>
      <c r="AE1267" s="61">
        <v>3.2900432900432902E-2</v>
      </c>
      <c r="AF1267" s="61">
        <v>1.7316017316017316E-3</v>
      </c>
      <c r="AG1267" s="61">
        <v>4.329004329004329E-3</v>
      </c>
      <c r="AH1267" s="61">
        <v>0</v>
      </c>
      <c r="AI1267" s="61">
        <v>0.99567099567099571</v>
      </c>
      <c r="AJ1267" s="59">
        <v>0.88139999999999996</v>
      </c>
      <c r="AK1267" s="59">
        <v>2.5999999999999999E-2</v>
      </c>
      <c r="AL1267" s="3">
        <v>0</v>
      </c>
      <c r="AM1267" s="3">
        <v>0</v>
      </c>
      <c r="AN1267" s="3">
        <v>0</v>
      </c>
      <c r="AO1267" s="3">
        <v>273</v>
      </c>
      <c r="AP1267" s="3">
        <v>303</v>
      </c>
      <c r="AQ1267" s="3">
        <v>296</v>
      </c>
      <c r="AR1267" s="3">
        <v>283</v>
      </c>
      <c r="AS1267" s="59">
        <v>0</v>
      </c>
      <c r="AT1267" s="3">
        <v>9</v>
      </c>
      <c r="AU1267" s="3">
        <v>5</v>
      </c>
      <c r="AV1267" s="49">
        <v>38.8020833333333</v>
      </c>
      <c r="AW1267" s="49">
        <v>10.4166666666667</v>
      </c>
      <c r="AX1267" s="49">
        <v>30.208333333333297</v>
      </c>
      <c r="AY1267" s="67">
        <v>20.5729166666667</v>
      </c>
      <c r="AZ1267" s="63">
        <v>1.5186028853454822E-3</v>
      </c>
      <c r="BA1267" s="63">
        <v>0.27031131359149585</v>
      </c>
      <c r="BB1267" s="77">
        <v>85.893671257112004</v>
      </c>
      <c r="BC1267" s="49">
        <v>76.818181818181799</v>
      </c>
      <c r="BD1267" s="49"/>
      <c r="BE1267" s="49"/>
      <c r="BF1267" s="49"/>
      <c r="BG1267" s="49"/>
      <c r="BH1267" s="49"/>
      <c r="BI1267" s="49"/>
      <c r="BJ1267" s="88">
        <v>15.7</v>
      </c>
      <c r="BK1267" s="126">
        <v>11455</v>
      </c>
      <c r="BL1267" s="126">
        <v>43935</v>
      </c>
      <c r="BM1267" s="126">
        <v>59770</v>
      </c>
      <c r="BN1267" s="126">
        <v>43831</v>
      </c>
      <c r="BO1267" s="59">
        <v>0</v>
      </c>
      <c r="BP1267" s="63">
        <v>0.42459999999999998</v>
      </c>
      <c r="BQ1267" s="63">
        <v>0.10349999999999999</v>
      </c>
      <c r="BR1267" s="63">
        <v>0</v>
      </c>
      <c r="BS1267" s="63">
        <v>9.4000000000000004E-3</v>
      </c>
      <c r="BT1267" s="87">
        <v>7.3</v>
      </c>
      <c r="BU1267" s="59">
        <f t="shared" si="88"/>
        <v>0.53749999999999998</v>
      </c>
      <c r="BV1267" s="59">
        <v>1.89E-2</v>
      </c>
      <c r="BW1267" s="63">
        <v>5.6599999999999998E-2</v>
      </c>
      <c r="BX1267" s="63">
        <v>3.7699999999999997E-2</v>
      </c>
      <c r="BY1267" s="63">
        <v>0</v>
      </c>
      <c r="BZ1267" s="63">
        <v>0</v>
      </c>
      <c r="CA1267" s="87">
        <v>9.1999999999999993</v>
      </c>
      <c r="CB1267" s="59">
        <f t="shared" si="89"/>
        <v>0.1132</v>
      </c>
      <c r="CC1267" s="59">
        <v>0.1321</v>
      </c>
      <c r="CD1267" s="63">
        <v>0.63219999999999998</v>
      </c>
      <c r="CE1267" s="63">
        <v>0.22620000000000001</v>
      </c>
      <c r="CF1267" s="63">
        <v>0</v>
      </c>
      <c r="CG1267" s="63">
        <v>9.4000000000000004E-3</v>
      </c>
      <c r="CH1267" s="87">
        <v>7.5</v>
      </c>
      <c r="CI1267" s="26" t="s">
        <v>463</v>
      </c>
      <c r="CJ1267" s="18" t="s">
        <v>505</v>
      </c>
      <c r="CK1267" s="20" t="s">
        <v>528</v>
      </c>
    </row>
    <row r="1268" spans="1:89" x14ac:dyDescent="0.25">
      <c r="A1268" s="18" t="s">
        <v>505</v>
      </c>
      <c r="B1268" s="19" t="s">
        <v>512</v>
      </c>
      <c r="C1268" s="26" t="s">
        <v>466</v>
      </c>
      <c r="D1268" s="6">
        <v>26</v>
      </c>
      <c r="E1268" s="40">
        <v>1</v>
      </c>
      <c r="F1268" s="6">
        <v>25</v>
      </c>
      <c r="N1268" s="119">
        <v>4.8689138576778999E-2</v>
      </c>
      <c r="O1268" s="119">
        <v>4.69043151969981E-2</v>
      </c>
      <c r="P1268" s="116" t="s">
        <v>83</v>
      </c>
      <c r="Q1268" s="119">
        <v>1</v>
      </c>
      <c r="R1268" s="116" t="s">
        <v>83</v>
      </c>
      <c r="S1268" s="119">
        <v>5.9210526315789498E-2</v>
      </c>
      <c r="T1268" s="119">
        <v>3.7878787878787901E-2</v>
      </c>
      <c r="U1268" s="119">
        <v>6.1224489795918401E-2</v>
      </c>
      <c r="V1268" s="119">
        <v>1.9607843137254902E-2</v>
      </c>
      <c r="W1268" s="6">
        <v>508</v>
      </c>
      <c r="X1268" s="40">
        <f t="shared" si="86"/>
        <v>508</v>
      </c>
      <c r="Y1268" s="40">
        <f t="shared" si="87"/>
        <v>508</v>
      </c>
      <c r="Z1268" s="59">
        <v>0.47639999999999999</v>
      </c>
      <c r="AA1268" s="59">
        <v>0.52359999999999995</v>
      </c>
      <c r="AB1268" s="61">
        <v>9.8425196850393699E-3</v>
      </c>
      <c r="AC1268" s="61">
        <v>3.937007874015748E-3</v>
      </c>
      <c r="AD1268" s="61">
        <v>0.91141732283464572</v>
      </c>
      <c r="AE1268" s="61">
        <v>5.3149606299212601E-2</v>
      </c>
      <c r="AF1268" s="61">
        <v>1.968503937007874E-3</v>
      </c>
      <c r="AG1268" s="61">
        <v>1.5748031496062992E-2</v>
      </c>
      <c r="AH1268" s="61">
        <v>3.937007874015748E-3</v>
      </c>
      <c r="AI1268" s="61">
        <v>0.98425196850393704</v>
      </c>
      <c r="AJ1268" s="59">
        <v>0.73619999999999997</v>
      </c>
      <c r="AK1268" s="59">
        <v>3.9399999999999998E-2</v>
      </c>
      <c r="AL1268" s="3">
        <v>0</v>
      </c>
      <c r="AM1268" s="3">
        <v>0</v>
      </c>
      <c r="AN1268" s="3">
        <v>0</v>
      </c>
      <c r="AO1268" s="3">
        <v>139</v>
      </c>
      <c r="AP1268" s="3">
        <v>128</v>
      </c>
      <c r="AQ1268" s="3">
        <v>140</v>
      </c>
      <c r="AR1268" s="3">
        <v>101</v>
      </c>
      <c r="AS1268" s="59">
        <v>0</v>
      </c>
      <c r="AT1268" s="3">
        <v>8</v>
      </c>
      <c r="AU1268" s="3">
        <v>5</v>
      </c>
      <c r="AV1268" s="49">
        <v>46.524064171122994</v>
      </c>
      <c r="AW1268" s="49">
        <v>27.272727272727298</v>
      </c>
      <c r="AX1268" s="49">
        <v>21.390374331550799</v>
      </c>
      <c r="AY1268" s="67">
        <v>4.8128342245989302</v>
      </c>
      <c r="AZ1268" s="63">
        <v>0</v>
      </c>
      <c r="BA1268" s="63">
        <v>1.968503937007874E-2</v>
      </c>
      <c r="BB1268" s="78">
        <v>97.131572951213997</v>
      </c>
      <c r="BC1268" s="49">
        <v>4.3307086614173196</v>
      </c>
      <c r="BD1268" s="49"/>
      <c r="BE1268" s="49"/>
      <c r="BF1268" s="49"/>
      <c r="BG1268" s="49"/>
      <c r="BH1268" s="49"/>
      <c r="BI1268" s="49"/>
      <c r="BJ1268" s="88">
        <v>16.2</v>
      </c>
      <c r="BK1268" s="126">
        <v>10965</v>
      </c>
      <c r="BL1268" s="126">
        <v>50591</v>
      </c>
      <c r="BM1268" s="126">
        <v>70423</v>
      </c>
      <c r="BN1268" s="126">
        <v>50844</v>
      </c>
      <c r="BO1268" s="59">
        <v>0</v>
      </c>
      <c r="BP1268" s="63">
        <v>0.38890000000000002</v>
      </c>
      <c r="BQ1268" s="63">
        <v>0.10050000000000001</v>
      </c>
      <c r="BR1268" s="63">
        <v>0</v>
      </c>
      <c r="BS1268" s="63">
        <v>0</v>
      </c>
      <c r="BT1268" s="87">
        <v>5.9</v>
      </c>
      <c r="BU1268" s="59">
        <f t="shared" si="88"/>
        <v>0.48940000000000006</v>
      </c>
      <c r="BV1268" s="59">
        <v>2.92E-2</v>
      </c>
      <c r="BW1268" s="63">
        <v>1.4200000000000001E-2</v>
      </c>
      <c r="BX1268" s="63">
        <v>7.1999999999999995E-2</v>
      </c>
      <c r="BY1268" s="63">
        <v>0</v>
      </c>
      <c r="BZ1268" s="63">
        <v>0</v>
      </c>
      <c r="CA1268" s="87">
        <v>10.8</v>
      </c>
      <c r="CB1268" s="59">
        <f t="shared" si="89"/>
        <v>0.1154</v>
      </c>
      <c r="CC1268" s="59">
        <v>0.22450000000000001</v>
      </c>
      <c r="CD1268" s="63">
        <v>0.4884</v>
      </c>
      <c r="CE1268" s="63">
        <v>0.25890000000000002</v>
      </c>
      <c r="CF1268" s="63">
        <v>2.8199999999999999E-2</v>
      </c>
      <c r="CG1268" s="63">
        <v>0</v>
      </c>
      <c r="CH1268" s="87">
        <v>6.9</v>
      </c>
      <c r="CI1268" s="26" t="s">
        <v>466</v>
      </c>
      <c r="CJ1268" s="18" t="s">
        <v>505</v>
      </c>
      <c r="CK1268" s="20" t="s">
        <v>529</v>
      </c>
    </row>
    <row r="1269" spans="1:89" x14ac:dyDescent="0.25">
      <c r="A1269" s="18" t="s">
        <v>505</v>
      </c>
      <c r="B1269" s="19" t="s">
        <v>512</v>
      </c>
      <c r="C1269" s="26" t="s">
        <v>530</v>
      </c>
      <c r="D1269" s="6">
        <v>26</v>
      </c>
      <c r="E1269" s="40" t="s">
        <v>83</v>
      </c>
      <c r="F1269" s="6">
        <v>26</v>
      </c>
      <c r="N1269" s="119">
        <v>4.3993231810490703E-2</v>
      </c>
      <c r="O1269" s="119">
        <v>4.3993231810490703E-2</v>
      </c>
      <c r="P1269" s="116" t="s">
        <v>83</v>
      </c>
      <c r="Q1269" s="116" t="s">
        <v>83</v>
      </c>
      <c r="R1269" s="119">
        <v>0</v>
      </c>
      <c r="S1269" s="119">
        <v>5.8064516129032302E-2</v>
      </c>
      <c r="T1269" s="119">
        <v>6.4516129032258104E-2</v>
      </c>
      <c r="U1269" s="119">
        <v>4.3165467625899297E-2</v>
      </c>
      <c r="V1269" s="119">
        <v>7.4626865671641798E-3</v>
      </c>
      <c r="W1269" s="6">
        <v>553</v>
      </c>
      <c r="X1269" s="40">
        <f t="shared" si="86"/>
        <v>553</v>
      </c>
      <c r="Y1269" s="40">
        <f t="shared" si="87"/>
        <v>553</v>
      </c>
      <c r="Z1269" s="59">
        <v>0.52800000000000002</v>
      </c>
      <c r="AA1269" s="59">
        <v>0.47199999999999998</v>
      </c>
      <c r="AB1269" s="61">
        <v>1.8083182640144665E-3</v>
      </c>
      <c r="AC1269" s="61">
        <v>5.4249547920433997E-3</v>
      </c>
      <c r="AD1269" s="61">
        <v>0.93851717902350817</v>
      </c>
      <c r="AE1269" s="61">
        <v>3.4358047016274866E-2</v>
      </c>
      <c r="AF1269" s="61">
        <v>0</v>
      </c>
      <c r="AG1269" s="61">
        <v>7.2332730560578659E-3</v>
      </c>
      <c r="AH1269" s="61">
        <v>1.2658227848101266E-2</v>
      </c>
      <c r="AI1269" s="61">
        <v>0.99276672694394208</v>
      </c>
      <c r="AJ1269" s="59">
        <v>0.85709999999999997</v>
      </c>
      <c r="AK1269" s="59">
        <v>2.35E-2</v>
      </c>
      <c r="AL1269" s="3">
        <v>0</v>
      </c>
      <c r="AM1269" s="3">
        <v>0</v>
      </c>
      <c r="AN1269" s="3">
        <v>7</v>
      </c>
      <c r="AO1269" s="3">
        <v>147</v>
      </c>
      <c r="AP1269" s="3">
        <v>137</v>
      </c>
      <c r="AQ1269" s="3">
        <v>132</v>
      </c>
      <c r="AR1269" s="3">
        <v>130</v>
      </c>
      <c r="AS1269" s="59">
        <v>4.5454545454545456E-2</v>
      </c>
      <c r="AT1269" s="3">
        <v>9</v>
      </c>
      <c r="AU1269" s="3">
        <v>5</v>
      </c>
      <c r="AV1269" s="49">
        <v>35.955056179775305</v>
      </c>
      <c r="AW1269" s="49">
        <v>28.089887640449401</v>
      </c>
      <c r="AX1269" s="49">
        <v>27.528089887640501</v>
      </c>
      <c r="AY1269" s="67">
        <v>8.4269662921348303</v>
      </c>
      <c r="AZ1269" s="63">
        <v>0</v>
      </c>
      <c r="BA1269" s="63">
        <v>6.7241379310344823E-2</v>
      </c>
      <c r="BB1269" s="77">
        <v>90.011841519190895</v>
      </c>
      <c r="BC1269" s="49"/>
      <c r="BD1269" s="49"/>
      <c r="BE1269" s="49"/>
      <c r="BF1269" s="49"/>
      <c r="BG1269" s="49"/>
      <c r="BH1269" s="49"/>
      <c r="BI1269" s="49"/>
      <c r="BJ1269" s="88">
        <v>18.3</v>
      </c>
      <c r="BK1269" s="126">
        <v>12701</v>
      </c>
      <c r="BL1269" s="126">
        <v>51943</v>
      </c>
      <c r="BM1269" s="126">
        <v>73719</v>
      </c>
      <c r="BN1269" s="126">
        <v>55607</v>
      </c>
      <c r="BO1269" s="59">
        <v>0</v>
      </c>
      <c r="BP1269" s="63">
        <v>0.46310000000000001</v>
      </c>
      <c r="BQ1269" s="63">
        <v>0.1328</v>
      </c>
      <c r="BR1269" s="63">
        <v>0</v>
      </c>
      <c r="BS1269" s="63">
        <v>0</v>
      </c>
      <c r="BT1269" s="87">
        <v>4.8</v>
      </c>
      <c r="BU1269" s="59">
        <f t="shared" si="88"/>
        <v>0.59589999999999999</v>
      </c>
      <c r="BV1269" s="59">
        <v>0</v>
      </c>
      <c r="BW1269" s="63">
        <v>0.1172</v>
      </c>
      <c r="BX1269" s="63">
        <v>2.12E-2</v>
      </c>
      <c r="BY1269" s="63">
        <v>0</v>
      </c>
      <c r="BZ1269" s="63">
        <v>0</v>
      </c>
      <c r="CA1269" s="87">
        <v>9.6</v>
      </c>
      <c r="CB1269" s="59">
        <f t="shared" si="89"/>
        <v>0.1384</v>
      </c>
      <c r="CC1269" s="59">
        <v>5.8999999999999997E-2</v>
      </c>
      <c r="CD1269" s="63">
        <v>0.68049999999999999</v>
      </c>
      <c r="CE1269" s="63">
        <v>0.26050000000000001</v>
      </c>
      <c r="CF1269" s="63">
        <v>0</v>
      </c>
      <c r="CG1269" s="63">
        <v>0</v>
      </c>
      <c r="CH1269" s="87">
        <v>5.3</v>
      </c>
      <c r="CI1269" s="26" t="s">
        <v>530</v>
      </c>
      <c r="CJ1269" s="18" t="s">
        <v>505</v>
      </c>
      <c r="CK1269" s="20" t="s">
        <v>531</v>
      </c>
    </row>
    <row r="1270" spans="1:89" x14ac:dyDescent="0.25">
      <c r="A1270" s="18" t="s">
        <v>505</v>
      </c>
      <c r="B1270" s="19" t="s">
        <v>512</v>
      </c>
      <c r="C1270" s="26" t="s">
        <v>532</v>
      </c>
      <c r="D1270" s="6">
        <v>2</v>
      </c>
      <c r="E1270" s="40" t="s">
        <v>83</v>
      </c>
      <c r="F1270" s="6">
        <v>2</v>
      </c>
      <c r="N1270" s="119">
        <v>8.1967213114754103E-3</v>
      </c>
      <c r="O1270" s="119">
        <v>8.1967213114754103E-3</v>
      </c>
      <c r="P1270" s="116" t="s">
        <v>83</v>
      </c>
      <c r="Q1270" s="116" t="s">
        <v>83</v>
      </c>
      <c r="R1270" s="119">
        <v>0</v>
      </c>
      <c r="S1270" s="119">
        <v>8.0645161290322596E-3</v>
      </c>
      <c r="T1270" s="119">
        <v>8.5470085470085496E-3</v>
      </c>
      <c r="U1270" s="116" t="s">
        <v>83</v>
      </c>
      <c r="V1270" s="116" t="s">
        <v>83</v>
      </c>
      <c r="W1270" s="6">
        <v>226</v>
      </c>
      <c r="X1270" s="40">
        <f t="shared" si="86"/>
        <v>226</v>
      </c>
      <c r="Y1270" s="40">
        <f t="shared" si="87"/>
        <v>226</v>
      </c>
      <c r="Z1270" s="59">
        <v>0.46899999999999997</v>
      </c>
      <c r="AA1270" s="59">
        <v>0.53100000000000003</v>
      </c>
      <c r="AB1270" s="61">
        <v>4.4247787610619468E-3</v>
      </c>
      <c r="AC1270" s="61">
        <v>0</v>
      </c>
      <c r="AD1270" s="61">
        <v>0.93805309734513276</v>
      </c>
      <c r="AE1270" s="61">
        <v>4.4247787610619468E-2</v>
      </c>
      <c r="AF1270" s="61">
        <v>0</v>
      </c>
      <c r="AG1270" s="61">
        <v>8.8495575221238937E-3</v>
      </c>
      <c r="AH1270" s="61">
        <v>4.4247787610619468E-3</v>
      </c>
      <c r="AI1270" s="61">
        <v>0.99115044247787609</v>
      </c>
      <c r="AJ1270" s="59">
        <v>0.88049999999999995</v>
      </c>
      <c r="AK1270" s="59">
        <v>3.1E-2</v>
      </c>
      <c r="AL1270" s="3">
        <v>0</v>
      </c>
      <c r="AM1270" s="3">
        <v>0</v>
      </c>
      <c r="AN1270" s="3">
        <v>3</v>
      </c>
      <c r="AO1270" s="3">
        <v>112</v>
      </c>
      <c r="AP1270" s="3">
        <v>111</v>
      </c>
      <c r="AQ1270" s="3">
        <v>0</v>
      </c>
      <c r="AR1270" s="3">
        <v>0</v>
      </c>
      <c r="AS1270" s="59">
        <v>2.6086956521739129E-2</v>
      </c>
      <c r="AT1270" s="3">
        <v>9</v>
      </c>
      <c r="AU1270" s="3">
        <v>5</v>
      </c>
      <c r="AV1270" s="49">
        <v>39.130434782608695</v>
      </c>
      <c r="AW1270" s="49">
        <v>21.739130434782599</v>
      </c>
      <c r="AX1270" s="49">
        <v>35.869565217391305</v>
      </c>
      <c r="AY1270" s="67">
        <v>3.2608695652173898</v>
      </c>
      <c r="AZ1270" s="63">
        <v>0</v>
      </c>
      <c r="BA1270" s="63">
        <v>0.28688524590163933</v>
      </c>
      <c r="BB1270" s="78">
        <v>91.144622860764798</v>
      </c>
      <c r="BC1270" s="49"/>
      <c r="BD1270" s="49"/>
      <c r="BE1270" s="49"/>
      <c r="BF1270" s="49"/>
      <c r="BG1270" s="49"/>
      <c r="BH1270" s="49"/>
      <c r="BI1270" s="49"/>
      <c r="BJ1270" s="49"/>
      <c r="BK1270" s="126">
        <v>14117</v>
      </c>
      <c r="BL1270" s="126">
        <v>52343</v>
      </c>
      <c r="BM1270" s="126">
        <v>67081</v>
      </c>
      <c r="BN1270" s="126">
        <v>52883</v>
      </c>
      <c r="BO1270" s="59">
        <v>2.8E-3</v>
      </c>
      <c r="BP1270" s="59">
        <v>0.4047</v>
      </c>
      <c r="BQ1270" s="59">
        <v>0.19109999999999999</v>
      </c>
      <c r="BR1270" s="59">
        <v>0</v>
      </c>
      <c r="BS1270" s="59">
        <v>0</v>
      </c>
      <c r="BT1270" s="49">
        <v>4.0999999999999996</v>
      </c>
      <c r="BU1270" s="59">
        <f t="shared" si="88"/>
        <v>0.59860000000000002</v>
      </c>
      <c r="BV1270" s="59">
        <v>2.46E-2</v>
      </c>
      <c r="BW1270" s="59">
        <v>2.8899999999999999E-2</v>
      </c>
      <c r="BX1270" s="59">
        <v>5.5399999999999998E-2</v>
      </c>
      <c r="BY1270" s="59">
        <v>0</v>
      </c>
      <c r="BZ1270" s="59">
        <v>0</v>
      </c>
      <c r="CA1270" s="49">
        <v>6</v>
      </c>
      <c r="CB1270" s="59">
        <f t="shared" si="89"/>
        <v>0.1089</v>
      </c>
      <c r="CC1270" s="59">
        <v>0.14399999999999999</v>
      </c>
      <c r="CD1270" s="59">
        <v>0.4914</v>
      </c>
      <c r="CE1270" s="59">
        <v>0.36449999999999999</v>
      </c>
      <c r="CF1270" s="59">
        <v>0</v>
      </c>
      <c r="CG1270" s="59">
        <v>0</v>
      </c>
      <c r="CH1270" s="49">
        <v>4.4000000000000004</v>
      </c>
      <c r="CI1270" s="26" t="s">
        <v>532</v>
      </c>
      <c r="CJ1270" s="18" t="s">
        <v>505</v>
      </c>
      <c r="CK1270" s="20" t="s">
        <v>531</v>
      </c>
    </row>
    <row r="1271" spans="1:89" x14ac:dyDescent="0.25">
      <c r="A1271" s="18" t="s">
        <v>505</v>
      </c>
      <c r="B1271" s="19" t="s">
        <v>512</v>
      </c>
      <c r="C1271" s="26" t="s">
        <v>470</v>
      </c>
      <c r="D1271" s="6">
        <v>16</v>
      </c>
      <c r="E1271" s="40" t="s">
        <v>83</v>
      </c>
      <c r="F1271" s="6">
        <v>16</v>
      </c>
      <c r="N1271" s="119">
        <v>0.145454545454545</v>
      </c>
      <c r="O1271" s="119">
        <v>0.145454545454545</v>
      </c>
      <c r="P1271" s="116" t="s">
        <v>83</v>
      </c>
      <c r="Q1271" s="116" t="s">
        <v>83</v>
      </c>
      <c r="R1271" s="116" t="s">
        <v>83</v>
      </c>
      <c r="S1271" s="119">
        <v>1</v>
      </c>
      <c r="T1271" s="119">
        <v>0.25</v>
      </c>
      <c r="U1271" s="119">
        <v>2.1739130434782601E-2</v>
      </c>
      <c r="V1271" s="119">
        <v>0.218181818181818</v>
      </c>
      <c r="W1271" s="6">
        <v>97</v>
      </c>
      <c r="X1271" s="40">
        <f t="shared" si="86"/>
        <v>97</v>
      </c>
      <c r="Y1271" s="40">
        <f t="shared" si="87"/>
        <v>97</v>
      </c>
      <c r="Z1271" s="59">
        <v>0.44330000000000003</v>
      </c>
      <c r="AA1271" s="59">
        <v>0.55669999999999997</v>
      </c>
      <c r="AB1271" s="61">
        <v>1.0309278350515464E-2</v>
      </c>
      <c r="AC1271" s="61">
        <v>0</v>
      </c>
      <c r="AD1271" s="61">
        <v>0.90721649484536082</v>
      </c>
      <c r="AE1271" s="61">
        <v>8.247422680412371E-2</v>
      </c>
      <c r="AF1271" s="61">
        <v>0</v>
      </c>
      <c r="AG1271" s="61">
        <v>0</v>
      </c>
      <c r="AH1271" s="61">
        <v>0</v>
      </c>
      <c r="AI1271" s="61">
        <v>1</v>
      </c>
      <c r="AJ1271" s="59">
        <v>0.93810000000000004</v>
      </c>
      <c r="AK1271" s="59">
        <v>7.22E-2</v>
      </c>
      <c r="AL1271" s="3">
        <v>0</v>
      </c>
      <c r="AM1271" s="3">
        <v>0</v>
      </c>
      <c r="AN1271" s="3">
        <v>0</v>
      </c>
      <c r="AO1271" s="3">
        <v>1</v>
      </c>
      <c r="AP1271" s="3">
        <v>6</v>
      </c>
      <c r="AQ1271" s="3">
        <v>45</v>
      </c>
      <c r="AR1271" s="3">
        <v>45</v>
      </c>
      <c r="AS1271" s="59">
        <v>0</v>
      </c>
      <c r="AT1271" s="3">
        <v>9</v>
      </c>
      <c r="AU1271" s="3">
        <v>5</v>
      </c>
      <c r="AV1271" s="49">
        <v>97.26027397260269</v>
      </c>
      <c r="AW1271" s="49">
        <v>2.7397260273972601</v>
      </c>
      <c r="AX1271" s="49">
        <v>0</v>
      </c>
      <c r="AY1271" s="67">
        <v>0</v>
      </c>
      <c r="AZ1271" s="63">
        <v>0.5</v>
      </c>
      <c r="BA1271" s="63">
        <v>0.2857142857142857</v>
      </c>
      <c r="BB1271" s="77">
        <v>91.397947966288001</v>
      </c>
      <c r="BC1271" s="49">
        <v>75.757575757575793</v>
      </c>
      <c r="BD1271" s="49"/>
      <c r="BE1271" s="49"/>
      <c r="BF1271" s="49"/>
      <c r="BG1271" s="49"/>
      <c r="BH1271" s="49"/>
      <c r="BI1271" s="49"/>
      <c r="BJ1271" s="88">
        <v>15.5</v>
      </c>
      <c r="BK1271" s="126">
        <v>24837</v>
      </c>
      <c r="BL1271" s="126">
        <v>46173</v>
      </c>
      <c r="BM1271" s="126">
        <v>99347</v>
      </c>
      <c r="BN1271" s="126">
        <v>57676</v>
      </c>
      <c r="BO1271" s="59">
        <v>0</v>
      </c>
      <c r="BP1271" s="63">
        <v>0.37069999999999997</v>
      </c>
      <c r="BQ1271" s="63">
        <v>0.16869999999999999</v>
      </c>
      <c r="BR1271" s="63">
        <v>0</v>
      </c>
      <c r="BS1271" s="63">
        <v>0</v>
      </c>
      <c r="BT1271" s="87">
        <v>2.1</v>
      </c>
      <c r="BU1271" s="59">
        <f t="shared" si="88"/>
        <v>0.53939999999999999</v>
      </c>
      <c r="BV1271" s="59">
        <v>5.7000000000000002E-2</v>
      </c>
      <c r="BW1271" s="63">
        <v>0.1197</v>
      </c>
      <c r="BX1271" s="63">
        <v>5.7599999999999998E-2</v>
      </c>
      <c r="BY1271" s="63">
        <v>0</v>
      </c>
      <c r="BZ1271" s="63">
        <v>0</v>
      </c>
      <c r="CA1271" s="87">
        <v>16.2</v>
      </c>
      <c r="CB1271" s="59">
        <f t="shared" si="89"/>
        <v>0.23430000000000001</v>
      </c>
      <c r="CC1271" s="59">
        <v>0.22570000000000001</v>
      </c>
      <c r="CD1271" s="63">
        <v>0.54800000000000004</v>
      </c>
      <c r="CE1271" s="63">
        <v>0.2263</v>
      </c>
      <c r="CF1271" s="63">
        <v>0</v>
      </c>
      <c r="CG1271" s="63">
        <v>0</v>
      </c>
      <c r="CH1271" s="87">
        <v>6.2</v>
      </c>
      <c r="CI1271" s="26" t="s">
        <v>470</v>
      </c>
      <c r="CJ1271" s="18" t="s">
        <v>505</v>
      </c>
      <c r="CK1271" s="20" t="s">
        <v>533</v>
      </c>
    </row>
    <row r="1272" spans="1:89" x14ac:dyDescent="0.25">
      <c r="A1272" s="18" t="s">
        <v>505</v>
      </c>
      <c r="B1272" s="19" t="s">
        <v>534</v>
      </c>
      <c r="C1272" s="26" t="s">
        <v>478</v>
      </c>
      <c r="D1272" s="6">
        <v>73</v>
      </c>
      <c r="E1272" s="40" t="s">
        <v>83</v>
      </c>
      <c r="F1272" s="6">
        <v>73</v>
      </c>
      <c r="N1272" s="119">
        <v>0.140655105973025</v>
      </c>
      <c r="O1272" s="119">
        <v>0.140655105973025</v>
      </c>
      <c r="P1272" s="116" t="s">
        <v>83</v>
      </c>
      <c r="Q1272" s="116" t="s">
        <v>83</v>
      </c>
      <c r="R1272" s="119">
        <v>6.6666666666666693E-2</v>
      </c>
      <c r="S1272" s="119">
        <v>5.83333333333333E-2</v>
      </c>
      <c r="T1272" s="119">
        <v>0.14184397163120599</v>
      </c>
      <c r="U1272" s="119">
        <v>0.16783216783216801</v>
      </c>
      <c r="V1272" s="119">
        <v>0.21</v>
      </c>
      <c r="W1272" s="6">
        <v>397</v>
      </c>
      <c r="X1272" s="40">
        <f t="shared" si="86"/>
        <v>397</v>
      </c>
      <c r="Y1272" s="40">
        <f t="shared" si="87"/>
        <v>397</v>
      </c>
      <c r="Z1272" s="59">
        <v>0.47360000000000002</v>
      </c>
      <c r="AA1272" s="59">
        <v>0.52639999999999998</v>
      </c>
      <c r="AB1272" s="61">
        <v>0</v>
      </c>
      <c r="AC1272" s="61">
        <v>0</v>
      </c>
      <c r="AD1272" s="61">
        <v>0.99244332493702769</v>
      </c>
      <c r="AE1272" s="61">
        <v>5.0377833753148613E-3</v>
      </c>
      <c r="AF1272" s="61">
        <v>0</v>
      </c>
      <c r="AG1272" s="61">
        <v>2.5188916876574307E-3</v>
      </c>
      <c r="AH1272" s="61">
        <v>0</v>
      </c>
      <c r="AI1272" s="61">
        <v>0.9974811083123426</v>
      </c>
      <c r="AJ1272" s="59">
        <v>0.91180000000000005</v>
      </c>
      <c r="AK1272" s="59">
        <v>0</v>
      </c>
      <c r="AL1272" s="3">
        <v>0</v>
      </c>
      <c r="AM1272" s="3">
        <v>0</v>
      </c>
      <c r="AN1272" s="3">
        <v>12</v>
      </c>
      <c r="AO1272" s="3">
        <v>77</v>
      </c>
      <c r="AP1272" s="3">
        <v>114</v>
      </c>
      <c r="AQ1272" s="3">
        <v>109</v>
      </c>
      <c r="AR1272" s="3">
        <v>85</v>
      </c>
      <c r="AS1272" s="59">
        <v>0.1348314606741573</v>
      </c>
      <c r="AT1272" s="3">
        <v>9</v>
      </c>
      <c r="AU1272" s="3">
        <v>5</v>
      </c>
      <c r="AV1272" s="49">
        <v>26.530612244897998</v>
      </c>
      <c r="AW1272" s="49">
        <v>25.170068027210903</v>
      </c>
      <c r="AX1272" s="49">
        <v>42.857142857142897</v>
      </c>
      <c r="AY1272" s="67">
        <v>5.4421768707483</v>
      </c>
      <c r="AZ1272" s="63">
        <v>0</v>
      </c>
      <c r="BA1272" s="63">
        <v>0.4247422680412371</v>
      </c>
      <c r="BB1272" s="78">
        <v>75.908075522506806</v>
      </c>
      <c r="BC1272" s="49">
        <v>1.2371134020618599</v>
      </c>
      <c r="BD1272" s="49"/>
      <c r="BE1272" s="49"/>
      <c r="BF1272" s="49"/>
      <c r="BG1272" s="49"/>
      <c r="BH1272" s="49"/>
      <c r="BI1272" s="49"/>
      <c r="BJ1272" s="88">
        <v>14.6</v>
      </c>
      <c r="BK1272" s="126">
        <v>13126</v>
      </c>
      <c r="BL1272" s="126">
        <v>49631</v>
      </c>
      <c r="BM1272" s="126">
        <v>54415</v>
      </c>
      <c r="BN1272" s="126">
        <v>50051</v>
      </c>
      <c r="BO1272" s="59">
        <v>0</v>
      </c>
      <c r="BP1272" s="63">
        <v>0.36980000000000002</v>
      </c>
      <c r="BQ1272" s="63">
        <v>0.28299999999999997</v>
      </c>
      <c r="BR1272" s="63">
        <v>0</v>
      </c>
      <c r="BS1272" s="63">
        <v>0</v>
      </c>
      <c r="BT1272" s="87">
        <v>6.2</v>
      </c>
      <c r="BU1272" s="59">
        <f t="shared" si="88"/>
        <v>0.65280000000000005</v>
      </c>
      <c r="BV1272" s="59">
        <v>0</v>
      </c>
      <c r="BW1272" s="63">
        <v>0.1158</v>
      </c>
      <c r="BX1272" s="63">
        <v>5.79E-2</v>
      </c>
      <c r="BY1272" s="63">
        <v>0</v>
      </c>
      <c r="BZ1272" s="63">
        <v>0</v>
      </c>
      <c r="CA1272" s="87">
        <v>10.8</v>
      </c>
      <c r="CB1272" s="59">
        <f t="shared" si="89"/>
        <v>0.17369999999999999</v>
      </c>
      <c r="CC1272" s="59">
        <v>2.8899999999999999E-2</v>
      </c>
      <c r="CD1272" s="63">
        <v>0.54339999999999999</v>
      </c>
      <c r="CE1272" s="63">
        <v>0.42770000000000002</v>
      </c>
      <c r="CF1272" s="63">
        <v>0</v>
      </c>
      <c r="CG1272" s="63">
        <v>0</v>
      </c>
      <c r="CH1272" s="87">
        <v>6.8</v>
      </c>
      <c r="CI1272" s="26" t="s">
        <v>478</v>
      </c>
      <c r="CJ1272" s="18" t="s">
        <v>505</v>
      </c>
      <c r="CK1272" s="20" t="s">
        <v>535</v>
      </c>
    </row>
    <row r="1273" spans="1:89" x14ac:dyDescent="0.25">
      <c r="A1273" s="18" t="s">
        <v>505</v>
      </c>
      <c r="B1273" s="19" t="s">
        <v>536</v>
      </c>
      <c r="C1273" s="26" t="s">
        <v>536</v>
      </c>
      <c r="D1273" s="6">
        <v>4</v>
      </c>
      <c r="E1273" s="6">
        <v>3</v>
      </c>
      <c r="F1273" s="6">
        <v>1</v>
      </c>
      <c r="N1273" s="119">
        <v>3.6363636363636397E-2</v>
      </c>
      <c r="O1273" s="119">
        <v>2.7027027027027001E-2</v>
      </c>
      <c r="P1273" s="119">
        <v>8.1081081081081099E-2</v>
      </c>
      <c r="Q1273" s="119">
        <v>0</v>
      </c>
      <c r="R1273" s="116" t="s">
        <v>83</v>
      </c>
      <c r="S1273" s="119">
        <v>2.7027027027027001E-2</v>
      </c>
      <c r="T1273" s="116" t="s">
        <v>83</v>
      </c>
      <c r="U1273" s="116" t="s">
        <v>83</v>
      </c>
      <c r="V1273" s="116" t="s">
        <v>83</v>
      </c>
      <c r="W1273" s="6">
        <v>440</v>
      </c>
      <c r="X1273" s="40">
        <f t="shared" si="86"/>
        <v>30</v>
      </c>
      <c r="Y1273" s="40">
        <f t="shared" si="87"/>
        <v>94</v>
      </c>
      <c r="Z1273" s="59">
        <v>0.50680000000000003</v>
      </c>
      <c r="AA1273" s="59">
        <v>0.49320000000000003</v>
      </c>
      <c r="AB1273" s="61">
        <v>0</v>
      </c>
      <c r="AC1273" s="61">
        <v>0</v>
      </c>
      <c r="AD1273" s="61">
        <v>0.97499999999999998</v>
      </c>
      <c r="AE1273" s="61">
        <v>1.1363636363636364E-2</v>
      </c>
      <c r="AF1273" s="61">
        <v>0</v>
      </c>
      <c r="AG1273" s="61">
        <v>1.3636363636363636E-2</v>
      </c>
      <c r="AH1273" s="61">
        <v>0</v>
      </c>
      <c r="AI1273" s="61">
        <v>0.98636363636363633</v>
      </c>
      <c r="AJ1273" s="59">
        <v>0.92949999999999999</v>
      </c>
      <c r="AK1273" s="59">
        <v>0</v>
      </c>
      <c r="AL1273" s="3">
        <v>31</v>
      </c>
      <c r="AM1273" s="3">
        <v>33</v>
      </c>
      <c r="AN1273" s="3">
        <v>0</v>
      </c>
      <c r="AO1273" s="3">
        <v>30</v>
      </c>
      <c r="AP1273" s="3">
        <v>0</v>
      </c>
      <c r="AQ1273" s="3">
        <v>0</v>
      </c>
      <c r="AR1273" s="3">
        <v>0</v>
      </c>
      <c r="AS1273" s="59">
        <v>0</v>
      </c>
      <c r="AT1273" s="3">
        <v>1</v>
      </c>
      <c r="AU1273" s="3">
        <v>2</v>
      </c>
      <c r="AV1273" s="49">
        <v>50.909090909090907</v>
      </c>
      <c r="AW1273" s="49">
        <v>42.727272727272705</v>
      </c>
      <c r="AX1273" s="49">
        <v>6.3636363636363598</v>
      </c>
      <c r="AY1273" s="67">
        <v>0</v>
      </c>
      <c r="AZ1273" s="63">
        <v>0</v>
      </c>
      <c r="BA1273" s="63">
        <v>4.4444444444444446E-2</v>
      </c>
      <c r="BB1273" s="78">
        <v>95.079335597537707</v>
      </c>
      <c r="BC1273" s="49">
        <v>43.347639484978501</v>
      </c>
      <c r="BD1273" s="49"/>
      <c r="BE1273" s="49"/>
      <c r="BF1273" s="49"/>
      <c r="BG1273" s="49"/>
      <c r="BH1273" s="49"/>
      <c r="BI1273" s="49"/>
      <c r="BJ1273" s="49"/>
      <c r="BK1273" s="126">
        <v>8013</v>
      </c>
      <c r="BL1273" s="126">
        <v>32338</v>
      </c>
      <c r="BM1273" s="126">
        <v>53476</v>
      </c>
      <c r="BN1273" s="126">
        <v>27057</v>
      </c>
      <c r="BO1273" s="59">
        <v>0</v>
      </c>
      <c r="BP1273" s="59">
        <v>0.37109999999999999</v>
      </c>
      <c r="BQ1273" s="59">
        <v>9.2799999999999994E-2</v>
      </c>
      <c r="BR1273" s="59">
        <v>0</v>
      </c>
      <c r="BS1273" s="59">
        <v>0</v>
      </c>
      <c r="BT1273" s="49">
        <v>8.3000000000000007</v>
      </c>
      <c r="BU1273" s="59">
        <f t="shared" si="88"/>
        <v>0.46389999999999998</v>
      </c>
      <c r="BV1273" s="59">
        <v>2.01E-2</v>
      </c>
      <c r="BW1273" s="59">
        <v>2.8999999999999998E-3</v>
      </c>
      <c r="BX1273" s="59">
        <v>2.3199999999999998E-2</v>
      </c>
      <c r="BY1273" s="59">
        <v>2.3199999999999998E-2</v>
      </c>
      <c r="BZ1273" s="59">
        <v>0</v>
      </c>
      <c r="CA1273" s="49">
        <v>11.9</v>
      </c>
      <c r="CB1273" s="59">
        <f t="shared" si="89"/>
        <v>6.9399999999999989E-2</v>
      </c>
      <c r="CC1273" s="59">
        <v>0.39400000000000002</v>
      </c>
      <c r="CD1273" s="59">
        <v>0.3972</v>
      </c>
      <c r="CE1273" s="59">
        <v>0.18559999999999999</v>
      </c>
      <c r="CF1273" s="59">
        <v>2.3199999999999998E-2</v>
      </c>
      <c r="CG1273" s="59">
        <v>0</v>
      </c>
      <c r="CH1273" s="49">
        <v>6.3</v>
      </c>
      <c r="CI1273" s="26" t="s">
        <v>536</v>
      </c>
      <c r="CJ1273" s="18" t="s">
        <v>505</v>
      </c>
      <c r="CK1273" s="20" t="s">
        <v>537</v>
      </c>
    </row>
    <row r="1274" spans="1:89" x14ac:dyDescent="0.25">
      <c r="A1274" s="18" t="s">
        <v>505</v>
      </c>
      <c r="B1274" s="19" t="s">
        <v>512</v>
      </c>
      <c r="C1274" s="26" t="s">
        <v>461</v>
      </c>
      <c r="D1274" s="6">
        <v>16</v>
      </c>
      <c r="E1274" s="6">
        <v>2</v>
      </c>
      <c r="F1274" s="6">
        <v>14</v>
      </c>
      <c r="N1274" s="119">
        <v>2.6101141924959201E-2</v>
      </c>
      <c r="O1274" s="119">
        <v>2.7559055118110201E-2</v>
      </c>
      <c r="P1274" s="119">
        <v>1.7543859649122799E-2</v>
      </c>
      <c r="Q1274" s="119">
        <v>2.0833333333333301E-2</v>
      </c>
      <c r="R1274" s="116" t="s">
        <v>83</v>
      </c>
      <c r="S1274" s="119">
        <v>2.1126760563380299E-2</v>
      </c>
      <c r="T1274" s="119">
        <v>4.8387096774193498E-2</v>
      </c>
      <c r="U1274" s="119">
        <v>8.4033613445378096E-3</v>
      </c>
      <c r="V1274" s="119">
        <v>1.63934426229508E-2</v>
      </c>
      <c r="W1274" s="6">
        <v>1020</v>
      </c>
      <c r="X1274" s="40">
        <f t="shared" si="86"/>
        <v>430</v>
      </c>
      <c r="Y1274" s="40">
        <f t="shared" si="87"/>
        <v>525</v>
      </c>
      <c r="Z1274" s="59">
        <v>0.54020000000000001</v>
      </c>
      <c r="AA1274" s="59">
        <v>0.45979999999999999</v>
      </c>
      <c r="AB1274" s="61">
        <v>0</v>
      </c>
      <c r="AC1274" s="61">
        <v>0</v>
      </c>
      <c r="AD1274" s="61">
        <v>0.99215686274509807</v>
      </c>
      <c r="AE1274" s="61">
        <v>5.8823529411764705E-3</v>
      </c>
      <c r="AF1274" s="61">
        <v>0</v>
      </c>
      <c r="AG1274" s="61">
        <v>9.8039215686274508E-4</v>
      </c>
      <c r="AH1274" s="61">
        <v>9.8039215686274508E-4</v>
      </c>
      <c r="AI1274" s="61">
        <v>0.99901960784313726</v>
      </c>
      <c r="AJ1274" s="59">
        <v>0.84799999999999998</v>
      </c>
      <c r="AK1274" s="59">
        <v>0</v>
      </c>
      <c r="AL1274" s="3">
        <v>53</v>
      </c>
      <c r="AM1274" s="3">
        <v>42</v>
      </c>
      <c r="AN1274" s="3">
        <v>0</v>
      </c>
      <c r="AO1274" s="3">
        <v>121</v>
      </c>
      <c r="AP1274" s="3">
        <v>148</v>
      </c>
      <c r="AQ1274" s="3">
        <v>113</v>
      </c>
      <c r="AR1274" s="3">
        <v>48</v>
      </c>
      <c r="AS1274" s="59">
        <v>0</v>
      </c>
      <c r="AT1274" s="3">
        <v>1</v>
      </c>
      <c r="AU1274" s="3">
        <v>10</v>
      </c>
      <c r="AV1274" s="49">
        <v>46.875</v>
      </c>
      <c r="AW1274" s="49">
        <v>36.8055555555556</v>
      </c>
      <c r="AX1274" s="49">
        <v>14.9305555555556</v>
      </c>
      <c r="AY1274" s="67">
        <v>1.3888888888888899</v>
      </c>
      <c r="AZ1274" s="63">
        <v>2.5862068965517241E-3</v>
      </c>
      <c r="BA1274" s="63">
        <v>0.18448275862068966</v>
      </c>
      <c r="BB1274" s="77">
        <v>93.191872081372907</v>
      </c>
      <c r="BC1274" s="49">
        <v>57.010213556174598</v>
      </c>
      <c r="BD1274" s="49"/>
      <c r="BE1274" s="49"/>
      <c r="BF1274" s="49"/>
      <c r="BG1274" s="49"/>
      <c r="BH1274" s="49"/>
      <c r="BI1274" s="49"/>
      <c r="BJ1274" s="88">
        <v>16.8</v>
      </c>
      <c r="BK1274" s="126">
        <v>10593</v>
      </c>
      <c r="BL1274" s="126">
        <v>49357</v>
      </c>
      <c r="BM1274" s="126">
        <v>63093</v>
      </c>
      <c r="BN1274" s="126">
        <v>40632</v>
      </c>
      <c r="BO1274" s="59">
        <v>1.6E-2</v>
      </c>
      <c r="BP1274" s="63">
        <v>0.2641</v>
      </c>
      <c r="BQ1274" s="63">
        <v>0.11210000000000001</v>
      </c>
      <c r="BR1274" s="63">
        <v>8.0000000000000002E-3</v>
      </c>
      <c r="BS1274" s="63">
        <v>0</v>
      </c>
      <c r="BT1274" s="87">
        <v>14.6</v>
      </c>
      <c r="BU1274" s="59">
        <f t="shared" si="88"/>
        <v>0.4002</v>
      </c>
      <c r="BV1274" s="59">
        <v>0</v>
      </c>
      <c r="BW1274" s="63">
        <v>0.04</v>
      </c>
      <c r="BX1274" s="63">
        <v>0</v>
      </c>
      <c r="BY1274" s="63">
        <v>0</v>
      </c>
      <c r="BZ1274" s="63">
        <v>8.0000000000000002E-3</v>
      </c>
      <c r="CA1274" s="87">
        <v>14.7</v>
      </c>
      <c r="CB1274" s="59">
        <f t="shared" si="89"/>
        <v>4.8000000000000001E-2</v>
      </c>
      <c r="CC1274" s="59">
        <v>0.36020000000000002</v>
      </c>
      <c r="CD1274" s="63">
        <v>0.43169999999999997</v>
      </c>
      <c r="CE1274" s="63">
        <v>0.18410000000000001</v>
      </c>
      <c r="CF1274" s="63">
        <v>8.0000000000000002E-3</v>
      </c>
      <c r="CG1274" s="63">
        <v>1.6E-2</v>
      </c>
      <c r="CH1274" s="87">
        <v>12.2</v>
      </c>
      <c r="CI1274" s="26" t="s">
        <v>461</v>
      </c>
      <c r="CJ1274" s="18" t="s">
        <v>505</v>
      </c>
      <c r="CK1274" s="20" t="s">
        <v>538</v>
      </c>
    </row>
    <row r="1275" spans="1:89" x14ac:dyDescent="0.25">
      <c r="A1275" s="18" t="s">
        <v>505</v>
      </c>
      <c r="B1275" s="19" t="s">
        <v>500</v>
      </c>
      <c r="C1275" s="26" t="s">
        <v>500</v>
      </c>
      <c r="D1275" s="6">
        <v>2</v>
      </c>
      <c r="E1275" s="6">
        <v>0</v>
      </c>
      <c r="F1275" s="6">
        <v>2</v>
      </c>
      <c r="N1275" s="119">
        <v>8.8105726872246704E-3</v>
      </c>
      <c r="O1275" s="119">
        <v>1.2422360248447201E-2</v>
      </c>
      <c r="P1275" s="119">
        <v>0</v>
      </c>
      <c r="Q1275" s="119">
        <v>0</v>
      </c>
      <c r="R1275" s="116" t="s">
        <v>83</v>
      </c>
      <c r="S1275" s="119">
        <v>0</v>
      </c>
      <c r="T1275" s="119">
        <v>6.25E-2</v>
      </c>
      <c r="U1275" s="119">
        <v>0</v>
      </c>
      <c r="V1275" s="119">
        <v>0</v>
      </c>
      <c r="W1275" s="6">
        <v>415</v>
      </c>
      <c r="X1275" s="40">
        <f t="shared" si="86"/>
        <v>145</v>
      </c>
      <c r="Y1275" s="40">
        <f t="shared" si="87"/>
        <v>204</v>
      </c>
      <c r="Z1275" s="59">
        <v>0.51329999999999998</v>
      </c>
      <c r="AA1275" s="59">
        <v>0.48670000000000002</v>
      </c>
      <c r="AB1275" s="61">
        <v>2.4096385542168677E-3</v>
      </c>
      <c r="AC1275" s="61">
        <v>0</v>
      </c>
      <c r="AD1275" s="61">
        <v>0.8602409638554217</v>
      </c>
      <c r="AE1275" s="61">
        <v>1.9277108433734941E-2</v>
      </c>
      <c r="AF1275" s="61">
        <v>0</v>
      </c>
      <c r="AG1275" s="61">
        <v>6.746987951807229E-2</v>
      </c>
      <c r="AH1275" s="61">
        <v>5.0602409638554217E-2</v>
      </c>
      <c r="AI1275" s="61">
        <v>0.93253012048192774</v>
      </c>
      <c r="AJ1275" s="59">
        <v>0.8337</v>
      </c>
      <c r="AK1275" s="59">
        <v>2.3999999999999998E-3</v>
      </c>
      <c r="AL1275" s="3">
        <v>29</v>
      </c>
      <c r="AM1275" s="3">
        <v>30</v>
      </c>
      <c r="AN1275" s="3">
        <v>0</v>
      </c>
      <c r="AO1275" s="3">
        <v>36</v>
      </c>
      <c r="AP1275" s="3">
        <v>25</v>
      </c>
      <c r="AQ1275" s="3">
        <v>43</v>
      </c>
      <c r="AR1275" s="3">
        <v>41</v>
      </c>
      <c r="AS1275" s="59">
        <v>0</v>
      </c>
      <c r="AT1275" s="3">
        <v>1</v>
      </c>
      <c r="AU1275" s="3">
        <v>2</v>
      </c>
      <c r="AV1275" s="49">
        <v>84.357541899441301</v>
      </c>
      <c r="AW1275" s="49">
        <v>8.3798882681564191</v>
      </c>
      <c r="AX1275" s="49">
        <v>7.2625698324022396</v>
      </c>
      <c r="AY1275" s="67">
        <v>0</v>
      </c>
      <c r="AZ1275" s="63">
        <v>0</v>
      </c>
      <c r="BA1275" s="63">
        <v>0.14628820960698691</v>
      </c>
      <c r="BB1275" s="78">
        <v>94.840389273230898</v>
      </c>
      <c r="BC1275" s="49">
        <v>47.058823529411796</v>
      </c>
      <c r="BD1275" s="49"/>
      <c r="BE1275" s="49"/>
      <c r="BF1275" s="49"/>
      <c r="BG1275" s="49"/>
      <c r="BH1275" s="49"/>
      <c r="BI1275" s="49"/>
      <c r="BJ1275" s="88">
        <v>19</v>
      </c>
      <c r="BK1275" s="126">
        <v>12345</v>
      </c>
      <c r="BL1275" s="126">
        <v>50176</v>
      </c>
      <c r="BM1275" s="126">
        <v>68216</v>
      </c>
      <c r="BN1275" s="126">
        <v>48876</v>
      </c>
      <c r="BO1275" s="59">
        <v>0</v>
      </c>
      <c r="BP1275" s="63">
        <v>0.61870000000000003</v>
      </c>
      <c r="BQ1275" s="63">
        <v>0</v>
      </c>
      <c r="BR1275" s="63">
        <v>0</v>
      </c>
      <c r="BS1275" s="63">
        <v>0</v>
      </c>
      <c r="BT1275" s="87">
        <v>10.5</v>
      </c>
      <c r="BU1275" s="59">
        <f t="shared" si="88"/>
        <v>0.61870000000000003</v>
      </c>
      <c r="BV1275" s="59">
        <v>0</v>
      </c>
      <c r="BW1275" s="63">
        <v>0.13189999999999999</v>
      </c>
      <c r="BX1275" s="63">
        <v>0</v>
      </c>
      <c r="BY1275" s="63">
        <v>0</v>
      </c>
      <c r="BZ1275" s="63">
        <v>0</v>
      </c>
      <c r="CA1275" s="87">
        <v>13.6</v>
      </c>
      <c r="CB1275" s="59">
        <f t="shared" si="89"/>
        <v>0.13189999999999999</v>
      </c>
      <c r="CC1275" s="59">
        <v>0</v>
      </c>
      <c r="CD1275" s="63">
        <v>0.98080000000000001</v>
      </c>
      <c r="CE1275" s="63">
        <v>1.9199999999999998E-2</v>
      </c>
      <c r="CF1275" s="63">
        <v>0</v>
      </c>
      <c r="CG1275" s="63">
        <v>0</v>
      </c>
      <c r="CH1275" s="87">
        <v>10.9</v>
      </c>
      <c r="CI1275" s="26" t="s">
        <v>500</v>
      </c>
      <c r="CJ1275" s="18" t="s">
        <v>505</v>
      </c>
      <c r="CK1275" s="20" t="s">
        <v>539</v>
      </c>
    </row>
    <row r="1276" spans="1:89" x14ac:dyDescent="0.25">
      <c r="A1276" s="18" t="s">
        <v>505</v>
      </c>
      <c r="B1276" s="19" t="s">
        <v>501</v>
      </c>
      <c r="C1276" s="26" t="s">
        <v>501</v>
      </c>
      <c r="D1276" s="6">
        <v>35</v>
      </c>
      <c r="E1276" s="6">
        <v>0</v>
      </c>
      <c r="F1276" s="6">
        <v>35</v>
      </c>
      <c r="N1276" s="119">
        <v>0.138339920948617</v>
      </c>
      <c r="O1276" s="119">
        <v>0.18817204301075299</v>
      </c>
      <c r="P1276" s="119">
        <v>0</v>
      </c>
      <c r="Q1276" s="119">
        <v>0</v>
      </c>
      <c r="R1276" s="116" t="s">
        <v>83</v>
      </c>
      <c r="S1276" s="119">
        <v>4.8780487804878099E-2</v>
      </c>
      <c r="T1276" s="119">
        <v>2.1739130434782601E-2</v>
      </c>
      <c r="U1276" s="119">
        <v>3.3333333333333298E-2</v>
      </c>
      <c r="V1276" s="119">
        <v>0.44927536231884102</v>
      </c>
      <c r="W1276" s="6">
        <v>463</v>
      </c>
      <c r="X1276" s="40">
        <f t="shared" si="86"/>
        <v>148</v>
      </c>
      <c r="Y1276" s="40">
        <f t="shared" si="87"/>
        <v>214</v>
      </c>
      <c r="Z1276" s="59">
        <v>0.48159999999999997</v>
      </c>
      <c r="AA1276" s="59">
        <v>0.51839999999999997</v>
      </c>
      <c r="AB1276" s="61">
        <v>4.3196544276457886E-3</v>
      </c>
      <c r="AC1276" s="61">
        <v>0</v>
      </c>
      <c r="AD1276" s="61">
        <v>0.183585313174946</v>
      </c>
      <c r="AE1276" s="61">
        <v>1.2958963282937365E-2</v>
      </c>
      <c r="AF1276" s="61">
        <v>0</v>
      </c>
      <c r="AG1276" s="61">
        <v>0.79049676025917925</v>
      </c>
      <c r="AH1276" s="61">
        <v>8.6393088552915772E-3</v>
      </c>
      <c r="AI1276" s="61">
        <v>0.20950323974082075</v>
      </c>
      <c r="AJ1276" s="59">
        <v>0.51619999999999999</v>
      </c>
      <c r="AK1276" s="59">
        <v>0</v>
      </c>
      <c r="AL1276" s="3">
        <v>40</v>
      </c>
      <c r="AM1276" s="3">
        <v>26</v>
      </c>
      <c r="AN1276" s="3">
        <v>0</v>
      </c>
      <c r="AO1276" s="3">
        <v>38</v>
      </c>
      <c r="AP1276" s="3">
        <v>43</v>
      </c>
      <c r="AQ1276" s="3">
        <v>29</v>
      </c>
      <c r="AR1276" s="3">
        <v>38</v>
      </c>
      <c r="AS1276" s="59">
        <v>0</v>
      </c>
      <c r="AT1276" s="3">
        <v>1</v>
      </c>
      <c r="AU1276" s="3">
        <v>2</v>
      </c>
      <c r="AV1276" s="49">
        <v>81.914893617021306</v>
      </c>
      <c r="AW1276" s="49">
        <v>13.829787234042602</v>
      </c>
      <c r="AX1276" s="49">
        <v>2.6595744680851099</v>
      </c>
      <c r="AY1276" s="67">
        <v>1.5957446808510598</v>
      </c>
      <c r="AZ1276" s="63">
        <v>0.04</v>
      </c>
      <c r="BA1276" s="63">
        <v>4.4210526315789471E-2</v>
      </c>
      <c r="BB1276" s="77">
        <v>94.806594547123893</v>
      </c>
      <c r="BC1276" s="49">
        <v>74.526315789473699</v>
      </c>
      <c r="BD1276" s="49"/>
      <c r="BE1276" s="49"/>
      <c r="BF1276" s="49"/>
      <c r="BG1276" s="49"/>
      <c r="BH1276" s="49"/>
      <c r="BI1276" s="49"/>
      <c r="BJ1276" s="88">
        <v>19.899999999999999</v>
      </c>
      <c r="BK1276" s="126">
        <v>9702</v>
      </c>
      <c r="BL1276" s="126">
        <v>45730</v>
      </c>
      <c r="BM1276" s="126">
        <v>63629</v>
      </c>
      <c r="BN1276" s="126">
        <v>44727</v>
      </c>
      <c r="BO1276" s="59">
        <v>1.47E-2</v>
      </c>
      <c r="BP1276" s="63">
        <v>0.2031</v>
      </c>
      <c r="BQ1276" s="63">
        <v>0.38719999999999999</v>
      </c>
      <c r="BR1276" s="63">
        <v>1.9599999999999999E-2</v>
      </c>
      <c r="BS1276" s="63">
        <v>0</v>
      </c>
      <c r="BT1276" s="87">
        <v>12.2</v>
      </c>
      <c r="BU1276" s="59">
        <f t="shared" si="88"/>
        <v>0.62459999999999993</v>
      </c>
      <c r="BV1276" s="59">
        <v>1.9599999999999999E-2</v>
      </c>
      <c r="BW1276" s="63">
        <v>2.5000000000000001E-3</v>
      </c>
      <c r="BX1276" s="63">
        <v>5.8799999999999998E-2</v>
      </c>
      <c r="BY1276" s="63">
        <v>0</v>
      </c>
      <c r="BZ1276" s="63">
        <v>0</v>
      </c>
      <c r="CA1276" s="87">
        <v>22.4</v>
      </c>
      <c r="CB1276" s="59">
        <f t="shared" si="89"/>
        <v>8.09E-2</v>
      </c>
      <c r="CC1276" s="59">
        <v>0.13730000000000001</v>
      </c>
      <c r="CD1276" s="63">
        <v>0.35289999999999999</v>
      </c>
      <c r="CE1276" s="63">
        <v>0.49020000000000002</v>
      </c>
      <c r="CF1276" s="63">
        <v>1.9599999999999999E-2</v>
      </c>
      <c r="CG1276" s="63">
        <v>0</v>
      </c>
      <c r="CH1276" s="87">
        <v>12.7</v>
      </c>
      <c r="CI1276" s="26" t="s">
        <v>501</v>
      </c>
      <c r="CJ1276" s="18" t="s">
        <v>505</v>
      </c>
      <c r="CK1276" s="20" t="s">
        <v>540</v>
      </c>
    </row>
    <row r="1277" spans="1:89" x14ac:dyDescent="0.25">
      <c r="A1277" s="18" t="s">
        <v>505</v>
      </c>
      <c r="B1277" s="19" t="s">
        <v>440</v>
      </c>
      <c r="C1277" s="26" t="s">
        <v>440</v>
      </c>
      <c r="D1277" s="6">
        <v>19</v>
      </c>
      <c r="E1277" s="40" t="s">
        <v>83</v>
      </c>
      <c r="F1277" s="6">
        <v>19</v>
      </c>
      <c r="N1277" s="119">
        <v>3.9337474120082802E-2</v>
      </c>
      <c r="O1277" s="119">
        <v>3.9337474120082802E-2</v>
      </c>
      <c r="P1277" s="116" t="s">
        <v>83</v>
      </c>
      <c r="Q1277" s="116" t="s">
        <v>83</v>
      </c>
      <c r="R1277" s="119">
        <v>0</v>
      </c>
      <c r="S1277" s="119">
        <v>3.1496062992125998E-2</v>
      </c>
      <c r="T1277" s="119">
        <v>7.0422535211267595E-2</v>
      </c>
      <c r="U1277" s="119">
        <v>8.8495575221238902E-3</v>
      </c>
      <c r="V1277" s="119">
        <v>0.04</v>
      </c>
      <c r="W1277" s="6">
        <v>447</v>
      </c>
      <c r="X1277" s="40">
        <f t="shared" si="86"/>
        <v>447</v>
      </c>
      <c r="Y1277" s="40">
        <f t="shared" si="87"/>
        <v>447</v>
      </c>
      <c r="Z1277" s="59">
        <v>0.44740000000000002</v>
      </c>
      <c r="AA1277" s="59">
        <v>0.55259999999999998</v>
      </c>
      <c r="AB1277" s="61">
        <v>0</v>
      </c>
      <c r="AC1277" s="61">
        <v>2.9082774049217001E-2</v>
      </c>
      <c r="AD1277" s="61">
        <v>0.85011185682326618</v>
      </c>
      <c r="AE1277" s="61">
        <v>5.145413870246085E-2</v>
      </c>
      <c r="AF1277" s="61">
        <v>0</v>
      </c>
      <c r="AG1277" s="61">
        <v>6.4876957494407153E-2</v>
      </c>
      <c r="AH1277" s="61">
        <v>4.4742729306487695E-3</v>
      </c>
      <c r="AI1277" s="61">
        <v>0.93512304250559286</v>
      </c>
      <c r="AJ1277" s="59">
        <v>0.77180000000000004</v>
      </c>
      <c r="AK1277" s="59">
        <v>6.9400000000000003E-2</v>
      </c>
      <c r="AL1277" s="3">
        <v>0</v>
      </c>
      <c r="AM1277" s="3">
        <v>0</v>
      </c>
      <c r="AN1277" s="3">
        <v>1</v>
      </c>
      <c r="AO1277" s="3">
        <v>118</v>
      </c>
      <c r="AP1277" s="3">
        <v>132</v>
      </c>
      <c r="AQ1277" s="3">
        <v>109</v>
      </c>
      <c r="AR1277" s="3">
        <v>87</v>
      </c>
      <c r="AS1277" s="59">
        <v>8.4033613445378148E-3</v>
      </c>
      <c r="AT1277" s="3">
        <v>9</v>
      </c>
      <c r="AU1277" s="3">
        <v>2</v>
      </c>
      <c r="AV1277" s="49">
        <v>49.238578680202998</v>
      </c>
      <c r="AW1277" s="49">
        <v>23.857868020304601</v>
      </c>
      <c r="AX1277" s="49">
        <v>25.888324873096401</v>
      </c>
      <c r="AY1277" s="67">
        <v>1.0152284263959401</v>
      </c>
      <c r="AZ1277" s="63">
        <v>0</v>
      </c>
      <c r="BA1277" s="63">
        <v>4.3010752688172043E-3</v>
      </c>
      <c r="BB1277" s="78">
        <v>95.609268121231807</v>
      </c>
      <c r="BC1277" s="49">
        <v>1.2903225806451599</v>
      </c>
      <c r="BD1277" s="49"/>
      <c r="BE1277" s="49"/>
      <c r="BF1277" s="49"/>
      <c r="BG1277" s="49"/>
      <c r="BH1277" s="49"/>
      <c r="BI1277" s="49"/>
      <c r="BJ1277" s="88">
        <v>16.899999999999999</v>
      </c>
      <c r="BK1277" s="126">
        <v>10462</v>
      </c>
      <c r="BL1277" s="126">
        <v>43853</v>
      </c>
      <c r="BM1277" s="126">
        <v>48330</v>
      </c>
      <c r="BN1277" s="126">
        <v>42112</v>
      </c>
      <c r="BO1277" s="59">
        <v>0</v>
      </c>
      <c r="BP1277" s="63">
        <v>0.44019999999999998</v>
      </c>
      <c r="BQ1277" s="63">
        <v>0.21529999999999999</v>
      </c>
      <c r="BR1277" s="63">
        <v>0</v>
      </c>
      <c r="BS1277" s="63">
        <v>0</v>
      </c>
      <c r="BT1277" s="87">
        <v>3.2</v>
      </c>
      <c r="BU1277" s="59">
        <f t="shared" si="88"/>
        <v>0.65549999999999997</v>
      </c>
      <c r="BV1277" s="59">
        <v>4.3099999999999999E-2</v>
      </c>
      <c r="BW1277" s="63">
        <v>0</v>
      </c>
      <c r="BX1277" s="63">
        <v>4.3099999999999999E-2</v>
      </c>
      <c r="BY1277" s="63">
        <v>0</v>
      </c>
      <c r="BZ1277" s="63">
        <v>0</v>
      </c>
      <c r="CA1277" s="87">
        <v>13.3</v>
      </c>
      <c r="CB1277" s="59">
        <f t="shared" si="89"/>
        <v>8.6199999999999999E-2</v>
      </c>
      <c r="CC1277" s="59">
        <v>0.1507</v>
      </c>
      <c r="CD1277" s="63">
        <v>0.52639999999999998</v>
      </c>
      <c r="CE1277" s="63">
        <v>0.32290000000000002</v>
      </c>
      <c r="CF1277" s="63">
        <v>0</v>
      </c>
      <c r="CG1277" s="63">
        <v>0</v>
      </c>
      <c r="CH1277" s="87">
        <v>5.7</v>
      </c>
      <c r="CI1277" s="26" t="s">
        <v>440</v>
      </c>
      <c r="CJ1277" s="18" t="s">
        <v>505</v>
      </c>
      <c r="CK1277" s="20" t="s">
        <v>541</v>
      </c>
    </row>
    <row r="1278" spans="1:89" x14ac:dyDescent="0.25">
      <c r="A1278" s="18" t="s">
        <v>505</v>
      </c>
      <c r="B1278" s="19" t="s">
        <v>476</v>
      </c>
      <c r="C1278" s="26" t="s">
        <v>476</v>
      </c>
      <c r="D1278" s="6">
        <v>1</v>
      </c>
      <c r="E1278" s="6">
        <v>0</v>
      </c>
      <c r="F1278" s="6">
        <v>1</v>
      </c>
      <c r="N1278" s="119">
        <v>1.1904761904761901E-2</v>
      </c>
      <c r="O1278" s="119">
        <v>1.9607843137254902E-2</v>
      </c>
      <c r="P1278" s="119">
        <v>0</v>
      </c>
      <c r="Q1278" s="119">
        <v>0</v>
      </c>
      <c r="R1278" s="116" t="s">
        <v>83</v>
      </c>
      <c r="S1278" s="119">
        <v>6.25E-2</v>
      </c>
      <c r="T1278" s="119">
        <v>0</v>
      </c>
      <c r="U1278" s="119">
        <v>0</v>
      </c>
      <c r="V1278" s="119">
        <v>0</v>
      </c>
      <c r="W1278" s="6">
        <v>179</v>
      </c>
      <c r="X1278" s="40">
        <f t="shared" ref="X1278:X1285" si="90">SUM(AN1278:AR1278)</f>
        <v>46</v>
      </c>
      <c r="Y1278" s="40">
        <f t="shared" ref="Y1278:Y1285" si="91">SUM(AL1278:AR1278)</f>
        <v>77</v>
      </c>
      <c r="Z1278" s="59">
        <v>0.49719999999999998</v>
      </c>
      <c r="AA1278" s="59">
        <v>0.50280000000000002</v>
      </c>
      <c r="AB1278" s="61">
        <v>0</v>
      </c>
      <c r="AC1278" s="61">
        <v>0</v>
      </c>
      <c r="AD1278" s="61">
        <v>0.51955307262569828</v>
      </c>
      <c r="AE1278" s="61">
        <v>5.027932960893855E-2</v>
      </c>
      <c r="AF1278" s="61">
        <v>0</v>
      </c>
      <c r="AG1278" s="61">
        <v>0.42458100558659218</v>
      </c>
      <c r="AH1278" s="61">
        <v>5.5865921787709499E-3</v>
      </c>
      <c r="AI1278" s="61">
        <v>0.57541899441340782</v>
      </c>
      <c r="AJ1278" s="59">
        <v>0.72629999999999995</v>
      </c>
      <c r="AK1278" s="59">
        <v>0</v>
      </c>
      <c r="AL1278" s="3">
        <v>18</v>
      </c>
      <c r="AM1278" s="3">
        <v>13</v>
      </c>
      <c r="AN1278" s="3">
        <v>0</v>
      </c>
      <c r="AO1278" s="3">
        <v>13</v>
      </c>
      <c r="AP1278" s="3">
        <v>9</v>
      </c>
      <c r="AQ1278" s="3">
        <v>11</v>
      </c>
      <c r="AR1278" s="3">
        <v>13</v>
      </c>
      <c r="AS1278" s="59">
        <v>0</v>
      </c>
      <c r="AT1278" s="3">
        <v>1</v>
      </c>
      <c r="AU1278" s="3">
        <v>2</v>
      </c>
      <c r="AV1278" s="49">
        <v>100</v>
      </c>
      <c r="AW1278" s="49">
        <v>0</v>
      </c>
      <c r="AX1278" s="49">
        <v>0</v>
      </c>
      <c r="AY1278" s="67">
        <v>0</v>
      </c>
      <c r="AZ1278" s="63">
        <v>6.2176165803108807E-2</v>
      </c>
      <c r="BA1278" s="63">
        <v>3.1088082901554404E-2</v>
      </c>
      <c r="BB1278" s="77">
        <v>95.738227753111104</v>
      </c>
      <c r="BC1278" s="49">
        <v>40.721649484536101</v>
      </c>
      <c r="BD1278" s="49"/>
      <c r="BE1278" s="49"/>
      <c r="BF1278" s="49"/>
      <c r="BG1278" s="49"/>
      <c r="BH1278" s="49"/>
      <c r="BI1278" s="49"/>
      <c r="BJ1278" s="88">
        <v>18.3</v>
      </c>
      <c r="BK1278" s="126">
        <v>10257</v>
      </c>
      <c r="BL1278" s="126">
        <v>43123</v>
      </c>
      <c r="BM1278" s="126">
        <v>41247</v>
      </c>
      <c r="BN1278" s="126">
        <v>37511</v>
      </c>
      <c r="BO1278" s="59">
        <v>0</v>
      </c>
      <c r="BP1278" s="63">
        <v>0.21429999999999999</v>
      </c>
      <c r="BQ1278" s="63">
        <v>7.1400000000000005E-2</v>
      </c>
      <c r="BR1278" s="63">
        <v>0</v>
      </c>
      <c r="BS1278" s="63">
        <v>0</v>
      </c>
      <c r="BT1278" s="87">
        <v>12.3</v>
      </c>
      <c r="BU1278" s="59">
        <f t="shared" si="88"/>
        <v>0.28570000000000001</v>
      </c>
      <c r="BV1278" s="59">
        <v>0.1429</v>
      </c>
      <c r="BW1278" s="63">
        <v>0</v>
      </c>
      <c r="BX1278" s="63">
        <v>7.1400000000000005E-2</v>
      </c>
      <c r="BY1278" s="63">
        <v>0</v>
      </c>
      <c r="BZ1278" s="63">
        <v>0</v>
      </c>
      <c r="CA1278" s="87">
        <v>8.6999999999999993</v>
      </c>
      <c r="CB1278" s="59">
        <f t="shared" si="89"/>
        <v>0.21429999999999999</v>
      </c>
      <c r="CC1278" s="59">
        <v>0.5</v>
      </c>
      <c r="CD1278" s="63">
        <v>0.28570000000000001</v>
      </c>
      <c r="CE1278" s="63">
        <v>0.21429999999999999</v>
      </c>
      <c r="CF1278" s="63">
        <v>0</v>
      </c>
      <c r="CG1278" s="63">
        <v>0</v>
      </c>
      <c r="CH1278" s="87">
        <v>13.1</v>
      </c>
      <c r="CI1278" s="26" t="s">
        <v>476</v>
      </c>
      <c r="CJ1278" s="18" t="s">
        <v>505</v>
      </c>
      <c r="CK1278" s="20" t="s">
        <v>475</v>
      </c>
    </row>
    <row r="1279" spans="1:89" x14ac:dyDescent="0.25">
      <c r="A1279" s="18" t="s">
        <v>505</v>
      </c>
      <c r="B1279" s="19" t="s">
        <v>451</v>
      </c>
      <c r="C1279" s="26" t="s">
        <v>451</v>
      </c>
      <c r="D1279" s="6">
        <v>6</v>
      </c>
      <c r="E1279" s="6">
        <v>3</v>
      </c>
      <c r="F1279" s="6">
        <v>3</v>
      </c>
      <c r="N1279" s="119">
        <v>2.5862068965517199E-2</v>
      </c>
      <c r="O1279" s="119">
        <v>2.2058823529411801E-2</v>
      </c>
      <c r="P1279" s="119">
        <v>3.8461538461538498E-2</v>
      </c>
      <c r="Q1279" s="119">
        <v>2.27272727272727E-2</v>
      </c>
      <c r="R1279" s="116" t="s">
        <v>83</v>
      </c>
      <c r="S1279" s="119">
        <v>4.8780487804878099E-2</v>
      </c>
      <c r="T1279" s="119">
        <v>2.27272727272727E-2</v>
      </c>
      <c r="U1279" s="119">
        <v>0</v>
      </c>
      <c r="V1279" s="119">
        <v>0</v>
      </c>
      <c r="W1279" s="6">
        <v>249</v>
      </c>
      <c r="X1279" s="40">
        <f t="shared" si="90"/>
        <v>128</v>
      </c>
      <c r="Y1279" s="40">
        <f t="shared" si="91"/>
        <v>212</v>
      </c>
      <c r="Z1279" s="59">
        <v>0.54220000000000002</v>
      </c>
      <c r="AA1279" s="59">
        <v>0.45779999999999998</v>
      </c>
      <c r="AB1279" s="61">
        <v>0</v>
      </c>
      <c r="AC1279" s="61">
        <v>0</v>
      </c>
      <c r="AD1279" s="61">
        <v>0.99196787148594379</v>
      </c>
      <c r="AE1279" s="61">
        <v>0</v>
      </c>
      <c r="AF1279" s="61">
        <v>0</v>
      </c>
      <c r="AG1279" s="61">
        <v>8.0321285140562242E-3</v>
      </c>
      <c r="AH1279" s="61">
        <v>0</v>
      </c>
      <c r="AI1279" s="61">
        <v>0.99196787148594379</v>
      </c>
      <c r="AJ1279" s="59">
        <v>0.81530000000000002</v>
      </c>
      <c r="AK1279" s="59">
        <v>0</v>
      </c>
      <c r="AL1279" s="3">
        <v>43</v>
      </c>
      <c r="AM1279" s="3">
        <v>41</v>
      </c>
      <c r="AN1279" s="3">
        <v>0</v>
      </c>
      <c r="AO1279" s="3">
        <v>36</v>
      </c>
      <c r="AP1279" s="3">
        <v>41</v>
      </c>
      <c r="AQ1279" s="3">
        <v>19</v>
      </c>
      <c r="AR1279" s="3">
        <v>32</v>
      </c>
      <c r="AS1279" s="59">
        <v>0</v>
      </c>
      <c r="AT1279" s="3">
        <v>5</v>
      </c>
      <c r="AU1279" s="3">
        <v>2</v>
      </c>
      <c r="AV1279" s="49">
        <v>87.022900763358805</v>
      </c>
      <c r="AW1279" s="49">
        <v>12.977099236641202</v>
      </c>
      <c r="AX1279" s="49">
        <v>0</v>
      </c>
      <c r="AY1279" s="67">
        <v>0</v>
      </c>
      <c r="AZ1279" s="63">
        <v>0</v>
      </c>
      <c r="BA1279" s="63">
        <v>7.3529411764705881E-3</v>
      </c>
      <c r="BB1279" s="78">
        <v>98.570579141396095</v>
      </c>
      <c r="BC1279" s="49">
        <v>5.5147058823529402</v>
      </c>
      <c r="BD1279" s="49"/>
      <c r="BE1279" s="49"/>
      <c r="BF1279" s="49"/>
      <c r="BG1279" s="49"/>
      <c r="BH1279" s="49"/>
      <c r="BI1279" s="49"/>
      <c r="BJ1279" s="88">
        <v>16.5</v>
      </c>
      <c r="BK1279" s="126">
        <v>13056</v>
      </c>
      <c r="BL1279" s="126">
        <v>44192</v>
      </c>
      <c r="BM1279" s="126">
        <v>62810</v>
      </c>
      <c r="BN1279" s="126">
        <v>42502</v>
      </c>
      <c r="BO1279" s="59">
        <v>3.8300000000000001E-2</v>
      </c>
      <c r="BP1279" s="63">
        <v>0.2177</v>
      </c>
      <c r="BQ1279" s="63">
        <v>0.12790000000000001</v>
      </c>
      <c r="BR1279" s="63">
        <v>0</v>
      </c>
      <c r="BS1279" s="63">
        <v>0</v>
      </c>
      <c r="BT1279" s="87">
        <v>10</v>
      </c>
      <c r="BU1279" s="59">
        <f t="shared" si="88"/>
        <v>0.38390000000000002</v>
      </c>
      <c r="BV1279" s="59">
        <v>2.3099999999999999E-2</v>
      </c>
      <c r="BW1279" s="63">
        <v>1.54E-2</v>
      </c>
      <c r="BX1279" s="63">
        <v>4.2799999999999998E-2</v>
      </c>
      <c r="BY1279" s="63">
        <v>0</v>
      </c>
      <c r="BZ1279" s="63">
        <v>2.0799999999999999E-2</v>
      </c>
      <c r="CA1279" s="87">
        <v>9.8000000000000007</v>
      </c>
      <c r="CB1279" s="59">
        <f t="shared" si="89"/>
        <v>0.1021</v>
      </c>
      <c r="CC1279" s="59">
        <v>0.44290000000000002</v>
      </c>
      <c r="CD1279" s="63">
        <v>0.30259999999999998</v>
      </c>
      <c r="CE1279" s="63">
        <v>0.22370000000000001</v>
      </c>
      <c r="CF1279" s="63">
        <v>0</v>
      </c>
      <c r="CG1279" s="63">
        <v>3.0700000000000002E-2</v>
      </c>
      <c r="CH1279" s="87">
        <v>11</v>
      </c>
      <c r="CI1279" s="26" t="s">
        <v>451</v>
      </c>
      <c r="CJ1279" s="18" t="s">
        <v>505</v>
      </c>
      <c r="CK1279" s="20" t="s">
        <v>450</v>
      </c>
    </row>
    <row r="1280" spans="1:89" x14ac:dyDescent="0.25">
      <c r="A1280" s="18" t="s">
        <v>505</v>
      </c>
      <c r="B1280" s="19" t="s">
        <v>512</v>
      </c>
      <c r="C1280" s="26" t="s">
        <v>280</v>
      </c>
      <c r="D1280" s="6">
        <v>2</v>
      </c>
      <c r="E1280" s="40" t="s">
        <v>83</v>
      </c>
      <c r="F1280" s="6">
        <v>2</v>
      </c>
      <c r="N1280" s="119">
        <v>2.05128205128205E-3</v>
      </c>
      <c r="O1280" s="119">
        <v>2.05128205128205E-3</v>
      </c>
      <c r="P1280" s="116" t="s">
        <v>83</v>
      </c>
      <c r="Q1280" s="116" t="s">
        <v>83</v>
      </c>
      <c r="R1280" s="116" t="s">
        <v>83</v>
      </c>
      <c r="S1280" s="119">
        <v>0</v>
      </c>
      <c r="T1280" s="119">
        <v>7.4906367041198503E-3</v>
      </c>
      <c r="U1280" s="119">
        <v>0</v>
      </c>
      <c r="V1280" s="119">
        <v>0</v>
      </c>
      <c r="W1280" s="6">
        <v>970</v>
      </c>
      <c r="X1280" s="40">
        <f t="shared" si="90"/>
        <v>970</v>
      </c>
      <c r="Y1280" s="40">
        <f t="shared" si="91"/>
        <v>970</v>
      </c>
      <c r="Z1280" s="59">
        <v>0.58250000000000002</v>
      </c>
      <c r="AA1280" s="59">
        <v>0.41749999999999998</v>
      </c>
      <c r="AB1280" s="61">
        <v>3.092783505154639E-3</v>
      </c>
      <c r="AC1280" s="61">
        <v>0.16907216494845362</v>
      </c>
      <c r="AD1280" s="61">
        <v>0.30206185567010307</v>
      </c>
      <c r="AE1280" s="61">
        <v>6.8041237113402056E-2</v>
      </c>
      <c r="AF1280" s="61">
        <v>0</v>
      </c>
      <c r="AG1280" s="61">
        <v>0.37938144329896906</v>
      </c>
      <c r="AH1280" s="61">
        <v>7.8350515463917525E-2</v>
      </c>
      <c r="AI1280" s="61">
        <v>0.62061855670103094</v>
      </c>
      <c r="AJ1280" s="59">
        <v>0.32369999999999999</v>
      </c>
      <c r="AK1280" s="59">
        <v>4.1000000000000003E-3</v>
      </c>
      <c r="AL1280" s="3">
        <v>0</v>
      </c>
      <c r="AM1280" s="3">
        <v>0</v>
      </c>
      <c r="AN1280" s="3">
        <v>0</v>
      </c>
      <c r="AO1280" s="3">
        <v>284</v>
      </c>
      <c r="AP1280" s="3">
        <v>264</v>
      </c>
      <c r="AQ1280" s="3">
        <v>229</v>
      </c>
      <c r="AR1280" s="3">
        <v>193</v>
      </c>
      <c r="AS1280" s="59">
        <v>0</v>
      </c>
      <c r="AT1280" s="3">
        <v>9</v>
      </c>
      <c r="AU1280" s="3">
        <v>3</v>
      </c>
      <c r="AV1280" s="49">
        <v>43.596059113300498</v>
      </c>
      <c r="AW1280" s="49">
        <v>42.610837438423601</v>
      </c>
      <c r="AX1280" s="49">
        <v>10.3448275862069</v>
      </c>
      <c r="AY1280" s="67">
        <v>3.4482758620689702</v>
      </c>
      <c r="AZ1280" s="63">
        <v>1.0277492291880781E-2</v>
      </c>
      <c r="BA1280" s="63">
        <v>2.0554984583761563E-3</v>
      </c>
      <c r="BB1280" s="77">
        <v>97.119953483160401</v>
      </c>
      <c r="BC1280" s="49">
        <v>1.84994861253854</v>
      </c>
      <c r="BD1280" s="49"/>
      <c r="BE1280" s="49"/>
      <c r="BF1280" s="49"/>
      <c r="BG1280" s="49"/>
      <c r="BH1280" s="49"/>
      <c r="BI1280" s="49"/>
      <c r="BJ1280" s="88">
        <v>29.3</v>
      </c>
      <c r="BK1280" s="126">
        <v>11146</v>
      </c>
      <c r="BL1280" s="126">
        <v>59133</v>
      </c>
      <c r="BM1280" s="126">
        <v>80717</v>
      </c>
      <c r="BN1280" s="126">
        <v>61397</v>
      </c>
      <c r="BO1280" s="59">
        <v>0</v>
      </c>
      <c r="BP1280" s="63">
        <v>0.1658</v>
      </c>
      <c r="BQ1280" s="63">
        <v>0.38450000000000001</v>
      </c>
      <c r="BR1280" s="63">
        <v>0</v>
      </c>
      <c r="BS1280" s="63">
        <v>7.5700000000000003E-2</v>
      </c>
      <c r="BT1280" s="87">
        <v>15.6</v>
      </c>
      <c r="BU1280" s="59">
        <f t="shared" si="88"/>
        <v>0.626</v>
      </c>
      <c r="BV1280" s="59">
        <v>1.1299999999999999E-2</v>
      </c>
      <c r="BW1280" s="63">
        <v>2.2599999999999999E-2</v>
      </c>
      <c r="BX1280" s="63">
        <v>5.0099999999999999E-2</v>
      </c>
      <c r="BY1280" s="63">
        <v>0</v>
      </c>
      <c r="BZ1280" s="63">
        <v>1.1299999999999999E-2</v>
      </c>
      <c r="CA1280" s="87">
        <v>19.7</v>
      </c>
      <c r="CB1280" s="59">
        <f t="shared" si="89"/>
        <v>9.5299999999999996E-2</v>
      </c>
      <c r="CC1280" s="59">
        <v>7.8200000000000006E-2</v>
      </c>
      <c r="CD1280" s="63">
        <v>0.28870000000000001</v>
      </c>
      <c r="CE1280" s="63">
        <v>0.53139999999999998</v>
      </c>
      <c r="CF1280" s="63">
        <v>0</v>
      </c>
      <c r="CG1280" s="63">
        <v>0.1017</v>
      </c>
      <c r="CH1280" s="87">
        <v>15</v>
      </c>
      <c r="CI1280" s="26" t="s">
        <v>280</v>
      </c>
      <c r="CJ1280" s="18" t="s">
        <v>505</v>
      </c>
      <c r="CK1280" s="20" t="s">
        <v>542</v>
      </c>
    </row>
    <row r="1281" spans="1:99" x14ac:dyDescent="0.25">
      <c r="A1281" s="18" t="s">
        <v>505</v>
      </c>
      <c r="B1281" s="19" t="s">
        <v>512</v>
      </c>
      <c r="C1281" s="26" t="s">
        <v>281</v>
      </c>
      <c r="D1281" s="6">
        <v>19</v>
      </c>
      <c r="E1281" s="40" t="s">
        <v>83</v>
      </c>
      <c r="F1281" s="6">
        <v>19</v>
      </c>
      <c r="N1281" s="119">
        <v>1.6521739130434799E-2</v>
      </c>
      <c r="O1281" s="119">
        <v>1.6521739130434799E-2</v>
      </c>
      <c r="P1281" s="116" t="s">
        <v>83</v>
      </c>
      <c r="Q1281" s="116" t="s">
        <v>83</v>
      </c>
      <c r="R1281" s="116" t="s">
        <v>83</v>
      </c>
      <c r="S1281" s="119">
        <v>2.57234726688103E-2</v>
      </c>
      <c r="T1281" s="119">
        <v>1.4336917562724E-2</v>
      </c>
      <c r="U1281" s="119">
        <v>1.7857142857142901E-2</v>
      </c>
      <c r="V1281" s="119">
        <v>7.14285714285714E-3</v>
      </c>
      <c r="W1281" s="6">
        <v>1109</v>
      </c>
      <c r="X1281" s="40">
        <f t="shared" si="90"/>
        <v>1109</v>
      </c>
      <c r="Y1281" s="40">
        <f t="shared" si="91"/>
        <v>1109</v>
      </c>
      <c r="Z1281" s="59">
        <v>0.49680000000000002</v>
      </c>
      <c r="AA1281" s="59">
        <v>0.50319999999999998</v>
      </c>
      <c r="AB1281" s="61">
        <v>2.7051397655545538E-3</v>
      </c>
      <c r="AC1281" s="61">
        <v>8.1154192966636611E-3</v>
      </c>
      <c r="AD1281" s="61">
        <v>0.97024346257889993</v>
      </c>
      <c r="AE1281" s="61">
        <v>1.2623985572587917E-2</v>
      </c>
      <c r="AF1281" s="61">
        <v>0</v>
      </c>
      <c r="AG1281" s="61">
        <v>6.3119927862939585E-3</v>
      </c>
      <c r="AH1281" s="61">
        <v>0</v>
      </c>
      <c r="AI1281" s="61">
        <v>0.99368800721370609</v>
      </c>
      <c r="AJ1281" s="59">
        <v>0.78180000000000005</v>
      </c>
      <c r="AK1281" s="59">
        <v>1.17E-2</v>
      </c>
      <c r="AL1281" s="3">
        <v>0</v>
      </c>
      <c r="AM1281" s="3">
        <v>0</v>
      </c>
      <c r="AN1281" s="3">
        <v>0</v>
      </c>
      <c r="AO1281" s="3">
        <v>297</v>
      </c>
      <c r="AP1281" s="3">
        <v>268</v>
      </c>
      <c r="AQ1281" s="3">
        <v>269</v>
      </c>
      <c r="AR1281" s="3">
        <v>275</v>
      </c>
      <c r="AS1281" s="59">
        <v>0</v>
      </c>
      <c r="AT1281" s="3">
        <v>9</v>
      </c>
      <c r="AU1281" s="3">
        <v>3</v>
      </c>
      <c r="AV1281" s="49">
        <v>37.991266375545898</v>
      </c>
      <c r="AW1281" s="49">
        <v>28.384279475982499</v>
      </c>
      <c r="AX1281" s="49">
        <v>31.004366812227101</v>
      </c>
      <c r="AY1281" s="67">
        <v>2.62008733624454</v>
      </c>
      <c r="AZ1281" s="63">
        <v>8.7873462214411243E-4</v>
      </c>
      <c r="BA1281" s="63">
        <v>0.11599297012302284</v>
      </c>
      <c r="BB1281" s="78">
        <v>92.822492521992501</v>
      </c>
      <c r="BC1281" s="49">
        <v>5.2724077328646803</v>
      </c>
      <c r="BD1281" s="49"/>
      <c r="BE1281" s="49"/>
      <c r="BF1281" s="49"/>
      <c r="BG1281" s="49"/>
      <c r="BH1281" s="49"/>
      <c r="BI1281" s="49"/>
      <c r="BJ1281" s="88">
        <v>18.2</v>
      </c>
      <c r="BK1281" s="126">
        <v>12467</v>
      </c>
      <c r="BL1281" s="126">
        <v>49512</v>
      </c>
      <c r="BM1281" s="126">
        <v>58692</v>
      </c>
      <c r="BN1281" s="126">
        <v>49805</v>
      </c>
      <c r="BO1281" s="59">
        <v>0</v>
      </c>
      <c r="BP1281" s="63">
        <v>0.37269999999999998</v>
      </c>
      <c r="BQ1281" s="63">
        <v>0.2273</v>
      </c>
      <c r="BR1281" s="63">
        <v>0</v>
      </c>
      <c r="BS1281" s="63">
        <v>9.1000000000000004E-3</v>
      </c>
      <c r="BT1281" s="87">
        <v>7.1</v>
      </c>
      <c r="BU1281" s="59">
        <f t="shared" si="88"/>
        <v>0.60909999999999997</v>
      </c>
      <c r="BV1281" s="59">
        <v>3.6400000000000002E-2</v>
      </c>
      <c r="BW1281" s="63">
        <v>5.45E-2</v>
      </c>
      <c r="BX1281" s="63">
        <v>2.7300000000000001E-2</v>
      </c>
      <c r="BY1281" s="63">
        <v>0</v>
      </c>
      <c r="BZ1281" s="63">
        <v>0</v>
      </c>
      <c r="CA1281" s="87">
        <v>16.600000000000001</v>
      </c>
      <c r="CB1281" s="59">
        <f t="shared" si="89"/>
        <v>0.11820000000000001</v>
      </c>
      <c r="CC1281" s="59">
        <v>0.1545</v>
      </c>
      <c r="CD1281" s="63">
        <v>0.52729999999999999</v>
      </c>
      <c r="CE1281" s="63">
        <v>0.3</v>
      </c>
      <c r="CF1281" s="63">
        <v>0</v>
      </c>
      <c r="CG1281" s="63">
        <v>1.8200000000000001E-2</v>
      </c>
      <c r="CH1281" s="87">
        <v>9.9</v>
      </c>
      <c r="CI1281" s="26" t="s">
        <v>281</v>
      </c>
      <c r="CJ1281" s="18" t="s">
        <v>505</v>
      </c>
      <c r="CK1281" s="20" t="s">
        <v>543</v>
      </c>
    </row>
    <row r="1282" spans="1:99" x14ac:dyDescent="0.25">
      <c r="A1282" s="18" t="s">
        <v>505</v>
      </c>
      <c r="B1282" s="19" t="s">
        <v>512</v>
      </c>
      <c r="C1282" s="26" t="s">
        <v>282</v>
      </c>
      <c r="D1282" s="6">
        <v>0</v>
      </c>
      <c r="E1282" s="6">
        <v>0</v>
      </c>
      <c r="F1282" s="6">
        <v>0</v>
      </c>
      <c r="N1282" s="119">
        <v>0</v>
      </c>
      <c r="O1282" s="119">
        <v>0</v>
      </c>
      <c r="P1282" s="119">
        <v>0</v>
      </c>
      <c r="Q1282" s="119">
        <v>0</v>
      </c>
      <c r="R1282" s="116" t="s">
        <v>83</v>
      </c>
      <c r="S1282" s="119">
        <v>0</v>
      </c>
      <c r="T1282" s="119">
        <v>0</v>
      </c>
      <c r="U1282" s="119">
        <v>0</v>
      </c>
      <c r="V1282" s="119">
        <v>0</v>
      </c>
      <c r="W1282" s="6">
        <v>1761</v>
      </c>
      <c r="X1282" s="40">
        <f t="shared" si="90"/>
        <v>606</v>
      </c>
      <c r="Y1282" s="40">
        <f t="shared" si="91"/>
        <v>945</v>
      </c>
      <c r="Z1282" s="59">
        <v>0.52359999999999995</v>
      </c>
      <c r="AA1282" s="59">
        <v>0.47639999999999999</v>
      </c>
      <c r="AB1282" s="61">
        <v>5.6785917092561046E-4</v>
      </c>
      <c r="AC1282" s="61">
        <v>3.5775127768313458E-2</v>
      </c>
      <c r="AD1282" s="61">
        <v>0.26121521862578079</v>
      </c>
      <c r="AE1282" s="61">
        <v>7.382169222032936E-2</v>
      </c>
      <c r="AF1282" s="61">
        <v>1.1357183418512209E-3</v>
      </c>
      <c r="AG1282" s="61">
        <v>0.56615559341283361</v>
      </c>
      <c r="AH1282" s="61">
        <v>6.1328790459965928E-2</v>
      </c>
      <c r="AI1282" s="61">
        <v>0.43384440658716639</v>
      </c>
      <c r="AJ1282" s="59">
        <v>0.21640000000000001</v>
      </c>
      <c r="AK1282" s="59">
        <v>1.4800000000000001E-2</v>
      </c>
      <c r="AL1282" s="3">
        <v>156</v>
      </c>
      <c r="AM1282" s="3">
        <v>183</v>
      </c>
      <c r="AN1282" s="3">
        <v>0</v>
      </c>
      <c r="AO1282" s="3">
        <v>167</v>
      </c>
      <c r="AP1282" s="3">
        <v>155</v>
      </c>
      <c r="AQ1282" s="3">
        <v>151</v>
      </c>
      <c r="AR1282" s="3">
        <v>133</v>
      </c>
      <c r="AS1282" s="59">
        <v>0</v>
      </c>
      <c r="AT1282" s="3">
        <v>1</v>
      </c>
      <c r="AU1282" s="3">
        <v>3</v>
      </c>
      <c r="AV1282" s="49">
        <v>61.134020618556697</v>
      </c>
      <c r="AW1282" s="49">
        <v>33.711340206185604</v>
      </c>
      <c r="AX1282" s="49">
        <v>5.1546391752577305</v>
      </c>
      <c r="AY1282" s="67">
        <v>0</v>
      </c>
      <c r="AZ1282" s="63">
        <v>5.1020408163265302E-3</v>
      </c>
      <c r="BA1282" s="63">
        <v>3.5147392290249435E-2</v>
      </c>
      <c r="BB1282" s="77">
        <v>97.023992789606893</v>
      </c>
      <c r="BC1282" s="49">
        <v>11.5646258503401</v>
      </c>
      <c r="BD1282" s="49"/>
      <c r="BE1282" s="49"/>
      <c r="BF1282" s="49"/>
      <c r="BG1282" s="49"/>
      <c r="BH1282" s="49"/>
      <c r="BI1282" s="49"/>
      <c r="BJ1282" s="88">
        <v>26.5</v>
      </c>
      <c r="BK1282" s="126">
        <v>10931</v>
      </c>
      <c r="BL1282" s="126">
        <v>50507</v>
      </c>
      <c r="BM1282" s="126">
        <v>81240</v>
      </c>
      <c r="BN1282" s="126">
        <v>51378</v>
      </c>
      <c r="BO1282" s="59">
        <v>0</v>
      </c>
      <c r="BP1282" s="63">
        <v>0.26569999999999999</v>
      </c>
      <c r="BQ1282" s="63">
        <v>0.31259999999999999</v>
      </c>
      <c r="BR1282" s="63">
        <v>5.1999999999999998E-3</v>
      </c>
      <c r="BS1282" s="63">
        <v>3.1300000000000001E-2</v>
      </c>
      <c r="BT1282" s="87">
        <v>12.6</v>
      </c>
      <c r="BU1282" s="59">
        <f t="shared" si="88"/>
        <v>0.61480000000000001</v>
      </c>
      <c r="BV1282" s="59">
        <v>0</v>
      </c>
      <c r="BW1282" s="63">
        <v>2.3800000000000002E-2</v>
      </c>
      <c r="BX1282" s="63">
        <v>5.7299999999999997E-2</v>
      </c>
      <c r="BY1282" s="63">
        <v>0</v>
      </c>
      <c r="BZ1282" s="63">
        <v>5.1999999999999998E-3</v>
      </c>
      <c r="CA1282" s="87">
        <v>22.2</v>
      </c>
      <c r="CB1282" s="59">
        <f t="shared" si="89"/>
        <v>8.6300000000000002E-2</v>
      </c>
      <c r="CC1282" s="59">
        <v>8.1900000000000001E-2</v>
      </c>
      <c r="CD1282" s="63">
        <v>0.3826</v>
      </c>
      <c r="CE1282" s="63">
        <v>0.48859999999999998</v>
      </c>
      <c r="CF1282" s="63">
        <v>5.1999999999999998E-3</v>
      </c>
      <c r="CG1282" s="63">
        <v>4.1700000000000001E-2</v>
      </c>
      <c r="CH1282" s="87">
        <v>12.6</v>
      </c>
      <c r="CI1282" s="26" t="s">
        <v>282</v>
      </c>
      <c r="CJ1282" s="18" t="s">
        <v>505</v>
      </c>
      <c r="CK1282" s="20" t="s">
        <v>544</v>
      </c>
    </row>
    <row r="1283" spans="1:99" x14ac:dyDescent="0.25">
      <c r="A1283" s="18" t="s">
        <v>505</v>
      </c>
      <c r="B1283" s="19" t="s">
        <v>512</v>
      </c>
      <c r="C1283" s="26" t="s">
        <v>284</v>
      </c>
      <c r="D1283" s="6">
        <v>6</v>
      </c>
      <c r="E1283" s="6">
        <v>1</v>
      </c>
      <c r="F1283" s="6">
        <v>5</v>
      </c>
      <c r="N1283" s="119">
        <v>6.9044879171461402E-3</v>
      </c>
      <c r="O1283" s="119">
        <v>6.1804697156983904E-3</v>
      </c>
      <c r="P1283" s="116" t="s">
        <v>83</v>
      </c>
      <c r="Q1283" s="119">
        <v>1.6666666666666701E-2</v>
      </c>
      <c r="R1283" s="116" t="s">
        <v>83</v>
      </c>
      <c r="S1283" s="119">
        <v>0</v>
      </c>
      <c r="T1283" s="119">
        <v>4.3103448275862103E-3</v>
      </c>
      <c r="U1283" s="119">
        <v>1.1428571428571401E-2</v>
      </c>
      <c r="V1283" s="119">
        <v>1.27388535031847E-2</v>
      </c>
      <c r="W1283" s="6">
        <v>802</v>
      </c>
      <c r="X1283" s="40">
        <f t="shared" si="90"/>
        <v>745</v>
      </c>
      <c r="Y1283" s="40">
        <f t="shared" si="91"/>
        <v>802</v>
      </c>
      <c r="Z1283" s="59">
        <v>0.5786</v>
      </c>
      <c r="AA1283" s="59">
        <v>0.4214</v>
      </c>
      <c r="AB1283" s="61">
        <v>0</v>
      </c>
      <c r="AC1283" s="61">
        <v>3.740648379052369E-3</v>
      </c>
      <c r="AD1283" s="61">
        <v>0.95760598503740646</v>
      </c>
      <c r="AE1283" s="61">
        <v>3.2418952618453865E-2</v>
      </c>
      <c r="AF1283" s="61">
        <v>1.2468827930174563E-3</v>
      </c>
      <c r="AG1283" s="61">
        <v>4.9875311720698253E-3</v>
      </c>
      <c r="AH1283" s="61">
        <v>0</v>
      </c>
      <c r="AI1283" s="61">
        <v>0.99501246882793015</v>
      </c>
      <c r="AJ1283" s="59">
        <v>0.87909999999999999</v>
      </c>
      <c r="AK1283" s="59">
        <v>2.7400000000000001E-2</v>
      </c>
      <c r="AL1283" s="3">
        <v>0</v>
      </c>
      <c r="AM1283" s="3">
        <v>57</v>
      </c>
      <c r="AN1283" s="3">
        <v>0</v>
      </c>
      <c r="AO1283" s="3">
        <v>233</v>
      </c>
      <c r="AP1283" s="3">
        <v>201</v>
      </c>
      <c r="AQ1283" s="3">
        <v>162</v>
      </c>
      <c r="AR1283" s="3">
        <v>149</v>
      </c>
      <c r="AS1283" s="59">
        <v>0</v>
      </c>
      <c r="AT1283" s="3">
        <v>8</v>
      </c>
      <c r="AU1283" s="3">
        <v>3</v>
      </c>
      <c r="AV1283" s="49">
        <v>36</v>
      </c>
      <c r="AW1283" s="49">
        <v>34.461538461538495</v>
      </c>
      <c r="AX1283" s="49">
        <v>29.538461538461501</v>
      </c>
      <c r="AY1283" s="67">
        <v>0</v>
      </c>
      <c r="AZ1283" s="63">
        <v>1.1507479861910242E-3</v>
      </c>
      <c r="BA1283" s="63">
        <v>9.4361334867663987E-2</v>
      </c>
      <c r="BB1283" s="78">
        <v>91.657566153728695</v>
      </c>
      <c r="BC1283" s="49">
        <v>0.91848450057405295</v>
      </c>
      <c r="BD1283" s="49"/>
      <c r="BE1283" s="49"/>
      <c r="BF1283" s="49"/>
      <c r="BG1283" s="49"/>
      <c r="BH1283" s="49"/>
      <c r="BI1283" s="49"/>
      <c r="BJ1283" s="88">
        <v>17.899999999999999</v>
      </c>
      <c r="BK1283" s="126">
        <v>14237</v>
      </c>
      <c r="BL1283" s="126">
        <v>51675</v>
      </c>
      <c r="BM1283" s="126">
        <v>62971</v>
      </c>
      <c r="BN1283" s="126">
        <v>51019</v>
      </c>
      <c r="BO1283" s="59">
        <v>1.2200000000000001E-2</v>
      </c>
      <c r="BP1283" s="63">
        <v>0.48780000000000001</v>
      </c>
      <c r="BQ1283" s="63">
        <v>9.7600000000000006E-2</v>
      </c>
      <c r="BR1283" s="63">
        <v>0</v>
      </c>
      <c r="BS1283" s="63">
        <v>2.4400000000000002E-2</v>
      </c>
      <c r="BT1283" s="87">
        <v>9.4</v>
      </c>
      <c r="BU1283" s="59">
        <f t="shared" si="88"/>
        <v>0.622</v>
      </c>
      <c r="BV1283" s="59">
        <v>2.4400000000000002E-2</v>
      </c>
      <c r="BW1283" s="63">
        <v>6.0999999999999999E-2</v>
      </c>
      <c r="BX1283" s="63">
        <v>2.4400000000000002E-2</v>
      </c>
      <c r="BY1283" s="63">
        <v>0</v>
      </c>
      <c r="BZ1283" s="63">
        <v>2.4400000000000002E-2</v>
      </c>
      <c r="CA1283" s="87">
        <v>5.2</v>
      </c>
      <c r="CB1283" s="59">
        <f t="shared" si="89"/>
        <v>0.13420000000000001</v>
      </c>
      <c r="CC1283" s="59">
        <v>6.0999999999999999E-2</v>
      </c>
      <c r="CD1283" s="63">
        <v>0.74390000000000001</v>
      </c>
      <c r="CE1283" s="63">
        <v>0.14630000000000001</v>
      </c>
      <c r="CF1283" s="63">
        <v>0</v>
      </c>
      <c r="CG1283" s="63">
        <v>4.8800000000000003E-2</v>
      </c>
      <c r="CH1283" s="87">
        <v>8.6</v>
      </c>
      <c r="CI1283" s="26" t="s">
        <v>284</v>
      </c>
      <c r="CJ1283" s="18" t="s">
        <v>505</v>
      </c>
      <c r="CK1283" s="20" t="s">
        <v>543</v>
      </c>
    </row>
    <row r="1284" spans="1:99" x14ac:dyDescent="0.25">
      <c r="A1284" s="18" t="s">
        <v>505</v>
      </c>
      <c r="B1284" s="19" t="s">
        <v>512</v>
      </c>
      <c r="C1284" s="26" t="s">
        <v>285</v>
      </c>
      <c r="D1284" s="6">
        <v>8</v>
      </c>
      <c r="E1284" s="40" t="s">
        <v>83</v>
      </c>
      <c r="F1284" s="6">
        <v>8</v>
      </c>
      <c r="N1284" s="119">
        <v>1.58730158730159E-2</v>
      </c>
      <c r="O1284" s="119">
        <v>1.58730158730159E-2</v>
      </c>
      <c r="P1284" s="116" t="s">
        <v>83</v>
      </c>
      <c r="Q1284" s="116" t="s">
        <v>83</v>
      </c>
      <c r="R1284" s="119">
        <v>0</v>
      </c>
      <c r="S1284" s="119">
        <v>2.8169014084507001E-2</v>
      </c>
      <c r="T1284" s="119">
        <v>1.5384615384615399E-2</v>
      </c>
      <c r="U1284" s="119">
        <v>8.3333333333333297E-3</v>
      </c>
      <c r="V1284" s="119">
        <v>9.0909090909090905E-3</v>
      </c>
      <c r="W1284" s="6">
        <v>473</v>
      </c>
      <c r="X1284" s="40">
        <f t="shared" si="90"/>
        <v>473</v>
      </c>
      <c r="Y1284" s="40">
        <f t="shared" si="91"/>
        <v>473</v>
      </c>
      <c r="Z1284" s="59">
        <v>0.52429999999999999</v>
      </c>
      <c r="AA1284" s="59">
        <v>0.47570000000000001</v>
      </c>
      <c r="AB1284" s="61">
        <v>4.2283298097251587E-3</v>
      </c>
      <c r="AC1284" s="61">
        <v>1.9027484143763214E-2</v>
      </c>
      <c r="AD1284" s="61">
        <v>0.81183932346723042</v>
      </c>
      <c r="AE1284" s="61">
        <v>6.3424947145877375E-2</v>
      </c>
      <c r="AF1284" s="61">
        <v>0</v>
      </c>
      <c r="AG1284" s="61">
        <v>7.1881606765327691E-2</v>
      </c>
      <c r="AH1284" s="61">
        <v>2.9598308668076109E-2</v>
      </c>
      <c r="AI1284" s="61">
        <v>0.92811839323467227</v>
      </c>
      <c r="AJ1284" s="59">
        <v>0.74839999999999995</v>
      </c>
      <c r="AK1284" s="59">
        <v>8.5000000000000006E-3</v>
      </c>
      <c r="AL1284" s="3">
        <v>0</v>
      </c>
      <c r="AM1284" s="3">
        <v>0</v>
      </c>
      <c r="AN1284" s="3">
        <v>1</v>
      </c>
      <c r="AO1284" s="3">
        <v>126</v>
      </c>
      <c r="AP1284" s="3">
        <v>124</v>
      </c>
      <c r="AQ1284" s="3">
        <v>115</v>
      </c>
      <c r="AR1284" s="3">
        <v>107</v>
      </c>
      <c r="AS1284" s="59">
        <v>7.874015748031496E-3</v>
      </c>
      <c r="AT1284" s="3">
        <v>9</v>
      </c>
      <c r="AU1284" s="3">
        <v>3</v>
      </c>
      <c r="AV1284" s="49">
        <v>63.565891472868195</v>
      </c>
      <c r="AW1284" s="49">
        <v>31.782945736434097</v>
      </c>
      <c r="AX1284" s="49">
        <v>4.6511627906976702</v>
      </c>
      <c r="AY1284" s="67">
        <v>0</v>
      </c>
      <c r="AZ1284" s="63">
        <v>0.12749003984063745</v>
      </c>
      <c r="BA1284" s="63">
        <v>0.20717131474103587</v>
      </c>
      <c r="BB1284" s="77">
        <v>93.646485910670407</v>
      </c>
      <c r="BC1284" s="49">
        <v>12.5984251968504</v>
      </c>
      <c r="BD1284" s="49"/>
      <c r="BE1284" s="49"/>
      <c r="BF1284" s="49"/>
      <c r="BG1284" s="49"/>
      <c r="BH1284" s="49"/>
      <c r="BI1284" s="49"/>
      <c r="BJ1284" s="88">
        <v>18.3</v>
      </c>
      <c r="BK1284" s="126">
        <v>12530</v>
      </c>
      <c r="BL1284" s="126">
        <v>46612</v>
      </c>
      <c r="BM1284" s="126">
        <v>76661</v>
      </c>
      <c r="BN1284" s="126">
        <v>47348</v>
      </c>
      <c r="BO1284" s="59">
        <v>2.8500000000000001E-2</v>
      </c>
      <c r="BP1284" s="63">
        <v>0.26200000000000001</v>
      </c>
      <c r="BQ1284" s="63">
        <v>0.29909999999999998</v>
      </c>
      <c r="BR1284" s="63">
        <v>0</v>
      </c>
      <c r="BS1284" s="63">
        <v>1.43E-2</v>
      </c>
      <c r="BT1284" s="87">
        <v>6.5</v>
      </c>
      <c r="BU1284" s="59">
        <f t="shared" ref="BU1284:BU1286" si="92">SUM(BO1284:BS1284)</f>
        <v>0.60389999999999999</v>
      </c>
      <c r="BV1284" s="59">
        <v>1.43E-2</v>
      </c>
      <c r="BW1284" s="63">
        <v>0</v>
      </c>
      <c r="BX1284" s="63">
        <v>1.32E-2</v>
      </c>
      <c r="BY1284" s="63">
        <v>0</v>
      </c>
      <c r="BZ1284" s="63">
        <v>0</v>
      </c>
      <c r="CA1284" s="87">
        <v>7.3</v>
      </c>
      <c r="CB1284" s="59">
        <f t="shared" ref="CB1284:CB1286" si="93">SUM(BV1284:BZ1284)</f>
        <v>2.75E-2</v>
      </c>
      <c r="CC1284" s="59">
        <v>0.1951</v>
      </c>
      <c r="CD1284" s="63">
        <v>0.37609999999999999</v>
      </c>
      <c r="CE1284" s="63">
        <v>0.40129999999999999</v>
      </c>
      <c r="CF1284" s="63">
        <v>0</v>
      </c>
      <c r="CG1284" s="63">
        <v>2.7400000000000001E-2</v>
      </c>
      <c r="CH1284" s="87">
        <v>8.4</v>
      </c>
      <c r="CI1284" s="26" t="s">
        <v>285</v>
      </c>
      <c r="CJ1284" s="18" t="s">
        <v>505</v>
      </c>
      <c r="CK1284" s="20" t="s">
        <v>545</v>
      </c>
    </row>
    <row r="1285" spans="1:99" x14ac:dyDescent="0.25">
      <c r="A1285" s="18" t="s">
        <v>505</v>
      </c>
      <c r="B1285" s="19" t="s">
        <v>512</v>
      </c>
      <c r="C1285" s="26" t="s">
        <v>495</v>
      </c>
      <c r="D1285" s="6">
        <v>5</v>
      </c>
      <c r="E1285" s="40" t="s">
        <v>83</v>
      </c>
      <c r="F1285" s="6">
        <v>5</v>
      </c>
      <c r="N1285" s="119">
        <v>2.59067357512953E-2</v>
      </c>
      <c r="O1285" s="119">
        <v>2.59067357512953E-2</v>
      </c>
      <c r="P1285" s="116" t="s">
        <v>83</v>
      </c>
      <c r="Q1285" s="116" t="s">
        <v>83</v>
      </c>
      <c r="R1285" s="119">
        <v>0.2</v>
      </c>
      <c r="S1285" s="119">
        <v>0</v>
      </c>
      <c r="T1285" s="119">
        <v>0.04</v>
      </c>
      <c r="U1285" s="116" t="s">
        <v>83</v>
      </c>
      <c r="V1285" s="116" t="s">
        <v>83</v>
      </c>
      <c r="W1285" s="6">
        <v>161</v>
      </c>
      <c r="X1285" s="40">
        <f t="shared" si="90"/>
        <v>161</v>
      </c>
      <c r="Y1285" s="40">
        <f t="shared" si="91"/>
        <v>161</v>
      </c>
      <c r="Z1285" s="59">
        <v>0.44719999999999999</v>
      </c>
      <c r="AA1285" s="59">
        <v>0.55279999999999996</v>
      </c>
      <c r="AB1285" s="61">
        <v>0</v>
      </c>
      <c r="AC1285" s="61">
        <v>0.19875776397515527</v>
      </c>
      <c r="AD1285" s="61">
        <v>0.54658385093167705</v>
      </c>
      <c r="AE1285" s="61">
        <v>0.2360248447204969</v>
      </c>
      <c r="AF1285" s="61">
        <v>6.2111801242236021E-3</v>
      </c>
      <c r="AG1285" s="61">
        <v>6.2111801242236021E-3</v>
      </c>
      <c r="AH1285" s="61">
        <v>6.2111801242236021E-3</v>
      </c>
      <c r="AI1285" s="61">
        <v>0.99378881987577639</v>
      </c>
      <c r="AJ1285" s="59">
        <v>0.83850000000000002</v>
      </c>
      <c r="AK1285" s="59">
        <v>0.2298</v>
      </c>
      <c r="AL1285" s="3">
        <v>0</v>
      </c>
      <c r="AM1285" s="3">
        <v>0</v>
      </c>
      <c r="AN1285" s="3">
        <v>4</v>
      </c>
      <c r="AO1285" s="3">
        <v>73</v>
      </c>
      <c r="AP1285" s="3">
        <v>84</v>
      </c>
      <c r="AQ1285" s="3">
        <v>0</v>
      </c>
      <c r="AR1285" s="3">
        <v>0</v>
      </c>
      <c r="AS1285" s="59">
        <v>5.1948051948051951E-2</v>
      </c>
      <c r="AT1285" s="3">
        <v>9</v>
      </c>
      <c r="AU1285" s="3">
        <v>1</v>
      </c>
      <c r="AV1285" s="49">
        <v>81.25</v>
      </c>
      <c r="AW1285" s="49">
        <v>15.1785714285714</v>
      </c>
      <c r="AX1285" s="49">
        <v>3.5714285714285698</v>
      </c>
      <c r="AY1285" s="67">
        <v>0</v>
      </c>
      <c r="AZ1285" s="63">
        <v>1.5544041450777202E-2</v>
      </c>
      <c r="BA1285" s="63">
        <v>0.25388601036269431</v>
      </c>
      <c r="BB1285" s="78">
        <v>91.026728892660202</v>
      </c>
      <c r="BC1285" s="49">
        <v>19.689119170984501</v>
      </c>
      <c r="BD1285" s="49"/>
      <c r="BE1285" s="49"/>
      <c r="BF1285" s="49"/>
      <c r="BG1285" s="49"/>
      <c r="BH1285" s="49"/>
      <c r="BI1285" s="49"/>
      <c r="BJ1285" s="49"/>
      <c r="BK1285" s="126">
        <v>20040</v>
      </c>
      <c r="BL1285" s="126">
        <v>59280</v>
      </c>
      <c r="BM1285" s="126">
        <v>92543</v>
      </c>
      <c r="BN1285" s="126">
        <v>61536</v>
      </c>
      <c r="BO1285" s="59">
        <v>1.32E-2</v>
      </c>
      <c r="BP1285" s="59">
        <v>0.29870000000000002</v>
      </c>
      <c r="BQ1285" s="59">
        <v>0.2427</v>
      </c>
      <c r="BR1285" s="59">
        <v>0</v>
      </c>
      <c r="BS1285" s="59">
        <v>0</v>
      </c>
      <c r="BT1285" s="49">
        <v>6.8</v>
      </c>
      <c r="BU1285" s="59">
        <f t="shared" si="92"/>
        <v>0.55459999999999998</v>
      </c>
      <c r="BV1285" s="59">
        <v>1.6299999999999999E-2</v>
      </c>
      <c r="BW1285" s="59">
        <v>2.9700000000000001E-2</v>
      </c>
      <c r="BX1285" s="59">
        <v>1.8200000000000001E-2</v>
      </c>
      <c r="BY1285" s="59">
        <v>0</v>
      </c>
      <c r="BZ1285" s="59">
        <v>0</v>
      </c>
      <c r="CA1285" s="49">
        <v>3.1</v>
      </c>
      <c r="CB1285" s="59">
        <f t="shared" si="93"/>
        <v>6.4200000000000007E-2</v>
      </c>
      <c r="CC1285" s="59">
        <v>0.1236</v>
      </c>
      <c r="CD1285" s="59">
        <v>0.48010000000000003</v>
      </c>
      <c r="CE1285" s="59">
        <v>0.36509999999999998</v>
      </c>
      <c r="CF1285" s="59">
        <v>0</v>
      </c>
      <c r="CG1285" s="59">
        <v>3.1099999999999999E-2</v>
      </c>
      <c r="CH1285" s="49">
        <v>7.7</v>
      </c>
      <c r="CI1285" s="26" t="s">
        <v>495</v>
      </c>
      <c r="CJ1285" s="18" t="s">
        <v>505</v>
      </c>
      <c r="CK1285" s="20" t="s">
        <v>546</v>
      </c>
    </row>
    <row r="1286" spans="1:99" x14ac:dyDescent="0.25">
      <c r="A1286" s="18" t="s">
        <v>505</v>
      </c>
      <c r="B1286" s="29" t="s">
        <v>547</v>
      </c>
      <c r="C1286" s="29" t="s">
        <v>547</v>
      </c>
      <c r="D1286" s="6">
        <v>3</v>
      </c>
      <c r="E1286" s="40" t="s">
        <v>83</v>
      </c>
      <c r="F1286" s="6">
        <v>3</v>
      </c>
      <c r="N1286" s="119">
        <v>2.0833333333333301E-2</v>
      </c>
      <c r="O1286" s="119">
        <v>2.0833333333333301E-2</v>
      </c>
      <c r="P1286" s="116" t="s">
        <v>83</v>
      </c>
      <c r="Q1286" s="116" t="s">
        <v>83</v>
      </c>
      <c r="R1286" s="119">
        <v>0</v>
      </c>
      <c r="S1286" s="119">
        <v>2.5423728813559299E-2</v>
      </c>
      <c r="T1286" s="116" t="s">
        <v>83</v>
      </c>
      <c r="U1286" s="116" t="s">
        <v>83</v>
      </c>
      <c r="V1286" s="116" t="s">
        <v>83</v>
      </c>
      <c r="W1286" s="6">
        <v>128</v>
      </c>
      <c r="X1286" s="40">
        <f>SUM(AN1286:AR1286)</f>
        <v>128</v>
      </c>
      <c r="Y1286" s="40">
        <f>SUM(AL1286:AR1286)</f>
        <v>128</v>
      </c>
      <c r="Z1286" s="59">
        <v>0.4765625</v>
      </c>
      <c r="AA1286" s="59">
        <v>0.5234375</v>
      </c>
      <c r="AB1286" s="61">
        <v>0</v>
      </c>
      <c r="AC1286" s="61">
        <v>0</v>
      </c>
      <c r="AD1286" s="61">
        <f>124/128</f>
        <v>0.96875</v>
      </c>
      <c r="AE1286" s="61">
        <f>1/128</f>
        <v>7.8125E-3</v>
      </c>
      <c r="AF1286" s="61">
        <v>0</v>
      </c>
      <c r="AG1286" s="61">
        <f>3/128</f>
        <v>2.34375E-2</v>
      </c>
      <c r="AH1286" s="61">
        <v>0</v>
      </c>
      <c r="AI1286" s="61">
        <f>125/128</f>
        <v>0.9765625</v>
      </c>
      <c r="AJ1286" s="59">
        <v>0.875</v>
      </c>
      <c r="AK1286" s="59">
        <v>1.5625E-2</v>
      </c>
      <c r="AL1286" s="3">
        <v>0</v>
      </c>
      <c r="AM1286" s="3">
        <v>0</v>
      </c>
      <c r="AN1286" s="3">
        <v>25</v>
      </c>
      <c r="AO1286" s="3">
        <v>103</v>
      </c>
      <c r="AP1286" s="3">
        <v>0</v>
      </c>
      <c r="AQ1286" s="3">
        <v>0</v>
      </c>
      <c r="AR1286" s="3">
        <v>0</v>
      </c>
      <c r="AS1286" s="59">
        <v>0.1953125</v>
      </c>
      <c r="AT1286" s="3">
        <v>9</v>
      </c>
      <c r="AU1286" s="3">
        <v>2</v>
      </c>
      <c r="AV1286" s="49">
        <v>47.058823529411796</v>
      </c>
      <c r="AW1286" s="49">
        <v>49.019607843137294</v>
      </c>
      <c r="AX1286" s="49">
        <v>3.9215686274509802</v>
      </c>
      <c r="AY1286" s="67">
        <v>0</v>
      </c>
      <c r="AZ1286" s="63">
        <v>0.25</v>
      </c>
      <c r="BA1286" s="63">
        <v>0.3888888888888889</v>
      </c>
      <c r="BB1286" s="77">
        <v>90.313056518886498</v>
      </c>
      <c r="BC1286" s="82"/>
      <c r="BD1286" s="82"/>
      <c r="BE1286" s="82"/>
      <c r="BF1286" s="82"/>
      <c r="BG1286" s="82"/>
      <c r="BH1286" s="82"/>
      <c r="BI1286" s="82"/>
      <c r="BJ1286" s="82"/>
      <c r="BK1286" s="126">
        <v>21421</v>
      </c>
      <c r="BL1286" s="126">
        <v>48026</v>
      </c>
      <c r="BM1286" s="126">
        <v>50054</v>
      </c>
      <c r="BN1286" s="126">
        <v>44273</v>
      </c>
      <c r="BO1286" s="59">
        <v>0</v>
      </c>
      <c r="BP1286" s="59">
        <v>0.1429</v>
      </c>
      <c r="BQ1286" s="59">
        <v>0.21049999999999999</v>
      </c>
      <c r="BR1286" s="59">
        <v>0</v>
      </c>
      <c r="BS1286" s="59">
        <v>5.2600000000000001E-2</v>
      </c>
      <c r="BT1286" s="49">
        <v>4</v>
      </c>
      <c r="BU1286" s="59">
        <f t="shared" si="92"/>
        <v>0.40599999999999997</v>
      </c>
      <c r="BV1286" s="59">
        <v>5.2600000000000001E-2</v>
      </c>
      <c r="BW1286" s="59">
        <v>0</v>
      </c>
      <c r="BX1286" s="59">
        <v>5.2600000000000001E-2</v>
      </c>
      <c r="BY1286" s="59">
        <v>0</v>
      </c>
      <c r="BZ1286" s="59">
        <v>0</v>
      </c>
      <c r="CA1286" s="49">
        <v>4</v>
      </c>
      <c r="CB1286" s="59">
        <f t="shared" si="93"/>
        <v>0.1052</v>
      </c>
      <c r="CC1286" s="59">
        <v>0.15790000000000001</v>
      </c>
      <c r="CD1286" s="59">
        <v>0.36840000000000001</v>
      </c>
      <c r="CE1286" s="59">
        <v>0.42109999999999997</v>
      </c>
      <c r="CF1286" s="59">
        <v>0</v>
      </c>
      <c r="CG1286" s="59">
        <v>5.2600000000000001E-2</v>
      </c>
      <c r="CH1286" s="49">
        <v>3.7</v>
      </c>
      <c r="CI1286" s="29" t="s">
        <v>547</v>
      </c>
      <c r="CJ1286" s="18" t="s">
        <v>505</v>
      </c>
      <c r="CK1286" s="28" t="s">
        <v>525</v>
      </c>
    </row>
    <row r="1287" spans="1:99" s="1" customFormat="1" ht="21" customHeight="1" x14ac:dyDescent="0.25">
      <c r="A1287" s="21" t="s">
        <v>0</v>
      </c>
      <c r="B1287" s="22" t="s">
        <v>1</v>
      </c>
      <c r="C1287" s="22" t="s">
        <v>2</v>
      </c>
      <c r="D1287" s="9" t="s">
        <v>3</v>
      </c>
      <c r="E1287" s="9" t="s">
        <v>4</v>
      </c>
      <c r="F1287" s="9" t="s">
        <v>5</v>
      </c>
      <c r="G1287" s="167"/>
      <c r="H1287" s="168"/>
      <c r="I1287" s="168"/>
      <c r="J1287" s="168"/>
      <c r="K1287" s="168"/>
      <c r="L1287" s="168"/>
      <c r="M1287" s="168"/>
      <c r="N1287" s="120" t="s">
        <v>6</v>
      </c>
      <c r="O1287" s="120" t="s">
        <v>7</v>
      </c>
      <c r="P1287" s="120" t="s">
        <v>8</v>
      </c>
      <c r="Q1287" s="120" t="s">
        <v>9</v>
      </c>
      <c r="R1287" s="120" t="s">
        <v>10</v>
      </c>
      <c r="S1287" s="120" t="s">
        <v>11</v>
      </c>
      <c r="T1287" s="120" t="s">
        <v>12</v>
      </c>
      <c r="U1287" s="120" t="s">
        <v>13</v>
      </c>
      <c r="V1287" s="120" t="s">
        <v>14</v>
      </c>
      <c r="W1287" s="41" t="s">
        <v>15</v>
      </c>
      <c r="X1287" s="41" t="s">
        <v>16</v>
      </c>
      <c r="Y1287" s="41" t="s">
        <v>17</v>
      </c>
      <c r="Z1287" s="107" t="s">
        <v>18</v>
      </c>
      <c r="AA1287" s="107" t="s">
        <v>19</v>
      </c>
      <c r="AB1287" s="95" t="s">
        <v>20</v>
      </c>
      <c r="AC1287" s="95" t="s">
        <v>21</v>
      </c>
      <c r="AD1287" s="95" t="s">
        <v>22</v>
      </c>
      <c r="AE1287" s="95" t="s">
        <v>23</v>
      </c>
      <c r="AF1287" s="95" t="s">
        <v>24</v>
      </c>
      <c r="AG1287" s="95" t="s">
        <v>25</v>
      </c>
      <c r="AH1287" s="95" t="s">
        <v>26</v>
      </c>
      <c r="AI1287" s="95" t="s">
        <v>27</v>
      </c>
      <c r="AJ1287" s="95" t="s">
        <v>28</v>
      </c>
      <c r="AK1287" s="107" t="s">
        <v>29</v>
      </c>
      <c r="AL1287" s="42" t="s">
        <v>30</v>
      </c>
      <c r="AM1287" s="42" t="s">
        <v>31</v>
      </c>
      <c r="AN1287" s="42" t="s">
        <v>32</v>
      </c>
      <c r="AO1287" s="42" t="s">
        <v>33</v>
      </c>
      <c r="AP1287" s="42" t="s">
        <v>34</v>
      </c>
      <c r="AQ1287" s="42" t="s">
        <v>35</v>
      </c>
      <c r="AR1287" s="42" t="s">
        <v>36</v>
      </c>
      <c r="AS1287" s="100" t="s">
        <v>37</v>
      </c>
      <c r="AT1287" s="41" t="s">
        <v>38</v>
      </c>
      <c r="AU1287" s="23" t="s">
        <v>39</v>
      </c>
      <c r="AV1287" s="51" t="s">
        <v>40</v>
      </c>
      <c r="AW1287" s="51" t="s">
        <v>41</v>
      </c>
      <c r="AX1287" s="51" t="s">
        <v>42</v>
      </c>
      <c r="AY1287" s="66" t="s">
        <v>43</v>
      </c>
      <c r="AZ1287" s="58" t="s">
        <v>44</v>
      </c>
      <c r="BA1287" s="58" t="s">
        <v>45</v>
      </c>
      <c r="BB1287" s="75" t="s">
        <v>46</v>
      </c>
      <c r="BC1287" s="75" t="s">
        <v>47</v>
      </c>
      <c r="BD1287" s="89" t="s">
        <v>48</v>
      </c>
      <c r="BE1287" s="89" t="s">
        <v>49</v>
      </c>
      <c r="BF1287" s="89" t="s">
        <v>50</v>
      </c>
      <c r="BG1287" s="89" t="s">
        <v>51</v>
      </c>
      <c r="BH1287" s="89" t="s">
        <v>52</v>
      </c>
      <c r="BI1287" s="89" t="s">
        <v>53</v>
      </c>
      <c r="BJ1287" s="86" t="s">
        <v>54</v>
      </c>
      <c r="BK1287" s="123" t="s">
        <v>55</v>
      </c>
      <c r="BL1287" s="123" t="s">
        <v>56</v>
      </c>
      <c r="BM1287" s="123" t="s">
        <v>57</v>
      </c>
      <c r="BN1287" s="123" t="s">
        <v>58</v>
      </c>
      <c r="BO1287" s="131" t="s">
        <v>59</v>
      </c>
      <c r="BP1287" s="131" t="s">
        <v>60</v>
      </c>
      <c r="BQ1287" s="131" t="s">
        <v>61</v>
      </c>
      <c r="BR1287" s="131" t="s">
        <v>62</v>
      </c>
      <c r="BS1287" s="131" t="s">
        <v>63</v>
      </c>
      <c r="BT1287" s="131" t="s">
        <v>64</v>
      </c>
      <c r="BU1287" s="131" t="s">
        <v>65</v>
      </c>
      <c r="BV1287" s="132" t="s">
        <v>66</v>
      </c>
      <c r="BW1287" s="132" t="s">
        <v>67</v>
      </c>
      <c r="BX1287" s="132" t="s">
        <v>68</v>
      </c>
      <c r="BY1287" s="132" t="s">
        <v>69</v>
      </c>
      <c r="BZ1287" s="132" t="s">
        <v>70</v>
      </c>
      <c r="CA1287" s="132" t="s">
        <v>71</v>
      </c>
      <c r="CB1287" s="132" t="s">
        <v>72</v>
      </c>
      <c r="CC1287" s="123" t="s">
        <v>73</v>
      </c>
      <c r="CD1287" s="123" t="s">
        <v>74</v>
      </c>
      <c r="CE1287" s="123" t="s">
        <v>75</v>
      </c>
      <c r="CF1287" s="123" t="s">
        <v>76</v>
      </c>
      <c r="CG1287" s="123" t="s">
        <v>77</v>
      </c>
      <c r="CH1287" s="123" t="s">
        <v>78</v>
      </c>
      <c r="CI1287" s="22" t="s">
        <v>2</v>
      </c>
      <c r="CJ1287" s="21" t="s">
        <v>0</v>
      </c>
      <c r="CK1287" s="24" t="s">
        <v>79</v>
      </c>
      <c r="CL1287"/>
      <c r="CM1287"/>
      <c r="CN1287"/>
      <c r="CO1287"/>
      <c r="CP1287"/>
      <c r="CQ1287"/>
      <c r="CR1287"/>
      <c r="CS1287"/>
      <c r="CT1287"/>
      <c r="CU1287"/>
    </row>
    <row r="1288" spans="1:99" x14ac:dyDescent="0.25">
      <c r="A1288" s="18" t="s">
        <v>548</v>
      </c>
      <c r="B1288" s="19" t="s">
        <v>81</v>
      </c>
      <c r="C1288" s="26" t="s">
        <v>82</v>
      </c>
      <c r="D1288" s="6">
        <v>5</v>
      </c>
      <c r="E1288" s="40" t="s">
        <v>83</v>
      </c>
      <c r="F1288" s="6">
        <v>5</v>
      </c>
      <c r="N1288" s="115">
        <v>9.0415913200723296E-3</v>
      </c>
      <c r="O1288" s="115">
        <v>9.0415913200723296E-3</v>
      </c>
      <c r="P1288" s="116" t="s">
        <v>83</v>
      </c>
      <c r="Q1288" s="116" t="s">
        <v>83</v>
      </c>
      <c r="R1288" s="119">
        <v>0</v>
      </c>
      <c r="S1288" s="115">
        <v>3.0487804878048801E-2</v>
      </c>
      <c r="T1288" s="119">
        <v>0</v>
      </c>
      <c r="U1288" s="119">
        <v>0</v>
      </c>
      <c r="V1288" s="119">
        <v>0</v>
      </c>
      <c r="W1288" s="6">
        <v>528</v>
      </c>
      <c r="X1288" s="40">
        <f t="shared" ref="X1288:X1324" si="94">SUM(AN1288:AR1288)</f>
        <v>528</v>
      </c>
      <c r="Y1288" s="40">
        <f t="shared" ref="Y1288:Y1324" si="95">SUM(AL1288:AR1288)</f>
        <v>528</v>
      </c>
      <c r="Z1288" s="59">
        <v>0.47349999999999998</v>
      </c>
      <c r="AA1288" s="59">
        <v>0.52649999999999997</v>
      </c>
      <c r="AB1288" s="61">
        <v>3.787878787878788E-3</v>
      </c>
      <c r="AC1288" s="61">
        <v>0</v>
      </c>
      <c r="AD1288" s="61">
        <v>0.29734848484848486</v>
      </c>
      <c r="AE1288" s="61">
        <v>3.787878787878788E-2</v>
      </c>
      <c r="AF1288" s="61">
        <v>0</v>
      </c>
      <c r="AG1288" s="61">
        <v>0.60984848484848486</v>
      </c>
      <c r="AH1288" s="61">
        <v>5.113636363636364E-2</v>
      </c>
      <c r="AI1288" s="61">
        <v>0.39015151515151514</v>
      </c>
      <c r="AJ1288" s="59">
        <v>0.60609999999999997</v>
      </c>
      <c r="AK1288" s="59">
        <v>5.7000000000000002E-3</v>
      </c>
      <c r="AL1288" s="3">
        <v>0</v>
      </c>
      <c r="AM1288" s="3">
        <v>0</v>
      </c>
      <c r="AN1288" s="3">
        <v>27</v>
      </c>
      <c r="AO1288" s="3">
        <v>123</v>
      </c>
      <c r="AP1288" s="3">
        <v>147</v>
      </c>
      <c r="AQ1288" s="3">
        <v>135</v>
      </c>
      <c r="AR1288" s="3">
        <v>96</v>
      </c>
      <c r="AS1288" s="59">
        <v>0.18</v>
      </c>
      <c r="AT1288" s="3">
        <v>9</v>
      </c>
      <c r="AU1288" s="3">
        <v>6</v>
      </c>
      <c r="AV1288" s="49">
        <v>62.248995983935693</v>
      </c>
      <c r="AW1288" s="49">
        <v>35.742971887550198</v>
      </c>
      <c r="AX1288" s="49">
        <v>2.0080321285140599</v>
      </c>
      <c r="AY1288" s="67">
        <v>0</v>
      </c>
      <c r="AZ1288" s="63">
        <v>0.24</v>
      </c>
      <c r="BA1288" s="63">
        <v>0.18181818181818199</v>
      </c>
      <c r="BB1288" s="79">
        <v>89.5</v>
      </c>
      <c r="BC1288" s="79"/>
      <c r="BD1288" s="79"/>
      <c r="BE1288" s="79"/>
      <c r="BF1288" s="79"/>
      <c r="BG1288" s="79"/>
      <c r="BH1288" s="79"/>
      <c r="BI1288" s="79"/>
      <c r="BJ1288" s="3">
        <v>17.399999999999999</v>
      </c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26" t="s">
        <v>82</v>
      </c>
      <c r="CJ1288" s="18" t="s">
        <v>548</v>
      </c>
      <c r="CK1288" s="20"/>
    </row>
    <row r="1289" spans="1:99" x14ac:dyDescent="0.25">
      <c r="A1289" s="18" t="s">
        <v>548</v>
      </c>
      <c r="B1289" s="19" t="s">
        <v>81</v>
      </c>
      <c r="C1289" s="26" t="s">
        <v>84</v>
      </c>
      <c r="D1289" s="6">
        <v>4</v>
      </c>
      <c r="E1289" s="40" t="s">
        <v>83</v>
      </c>
      <c r="F1289" s="6">
        <v>4</v>
      </c>
      <c r="N1289" s="115">
        <v>6.1068702290076301E-3</v>
      </c>
      <c r="O1289" s="115">
        <v>6.1068702290076301E-3</v>
      </c>
      <c r="P1289" s="116" t="s">
        <v>83</v>
      </c>
      <c r="Q1289" s="116" t="s">
        <v>83</v>
      </c>
      <c r="R1289" s="119">
        <v>0</v>
      </c>
      <c r="S1289" s="115">
        <v>6.0975609756097598E-3</v>
      </c>
      <c r="T1289" s="119">
        <v>0</v>
      </c>
      <c r="U1289" s="115">
        <v>6.0606060606060597E-3</v>
      </c>
      <c r="V1289" s="115">
        <v>1.41843971631206E-2</v>
      </c>
      <c r="W1289" s="6">
        <v>610</v>
      </c>
      <c r="X1289" s="40">
        <f t="shared" si="94"/>
        <v>610</v>
      </c>
      <c r="Y1289" s="40">
        <f t="shared" si="95"/>
        <v>610</v>
      </c>
      <c r="Z1289" s="59">
        <v>0.50660000000000005</v>
      </c>
      <c r="AA1289" s="59">
        <v>0.49340000000000001</v>
      </c>
      <c r="AB1289" s="61">
        <v>1.639344262295082E-3</v>
      </c>
      <c r="AC1289" s="61">
        <v>1.639344262295082E-3</v>
      </c>
      <c r="AD1289" s="61">
        <v>0.4278688524590164</v>
      </c>
      <c r="AE1289" s="61">
        <v>3.4426229508196723E-2</v>
      </c>
      <c r="AF1289" s="61">
        <v>0</v>
      </c>
      <c r="AG1289" s="61">
        <v>0.49180327868852458</v>
      </c>
      <c r="AH1289" s="61">
        <v>4.2622950819672129E-2</v>
      </c>
      <c r="AI1289" s="61">
        <v>0.50819672131147542</v>
      </c>
      <c r="AJ1289" s="59">
        <v>0.77380000000000004</v>
      </c>
      <c r="AK1289" s="59">
        <v>1.3100000000000001E-2</v>
      </c>
      <c r="AL1289" s="3">
        <v>0</v>
      </c>
      <c r="AM1289" s="3">
        <v>0</v>
      </c>
      <c r="AN1289" s="3">
        <v>44</v>
      </c>
      <c r="AO1289" s="3">
        <v>142</v>
      </c>
      <c r="AP1289" s="3">
        <v>131</v>
      </c>
      <c r="AQ1289" s="3">
        <v>156</v>
      </c>
      <c r="AR1289" s="3">
        <v>137</v>
      </c>
      <c r="AS1289" s="59">
        <v>0.23655913978494625</v>
      </c>
      <c r="AT1289" s="3">
        <v>9</v>
      </c>
      <c r="AU1289" s="3">
        <v>6</v>
      </c>
      <c r="AV1289" s="49">
        <v>65.231788079470192</v>
      </c>
      <c r="AW1289" s="49">
        <v>24.834437086092702</v>
      </c>
      <c r="AX1289" s="49">
        <v>9.9337748344370898</v>
      </c>
      <c r="AY1289" s="67">
        <v>0</v>
      </c>
      <c r="AZ1289" s="63">
        <v>0.34762633996937198</v>
      </c>
      <c r="BA1289" s="63">
        <v>0.31240428790199098</v>
      </c>
      <c r="BB1289" s="80">
        <v>86.1</v>
      </c>
      <c r="BC1289" s="80"/>
      <c r="BD1289" s="80"/>
      <c r="BE1289" s="80"/>
      <c r="BF1289" s="80"/>
      <c r="BG1289" s="80"/>
      <c r="BH1289" s="80"/>
      <c r="BI1289" s="80"/>
      <c r="BJ1289" s="3">
        <v>17.3</v>
      </c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26" t="s">
        <v>84</v>
      </c>
      <c r="CJ1289" s="18" t="s">
        <v>548</v>
      </c>
      <c r="CK1289" s="20"/>
    </row>
    <row r="1290" spans="1:99" x14ac:dyDescent="0.25">
      <c r="A1290" s="18" t="s">
        <v>548</v>
      </c>
      <c r="B1290" s="19" t="s">
        <v>81</v>
      </c>
      <c r="C1290" s="26" t="s">
        <v>85</v>
      </c>
      <c r="D1290" s="6">
        <v>0</v>
      </c>
      <c r="E1290" s="6">
        <v>0</v>
      </c>
      <c r="F1290" s="6">
        <v>0</v>
      </c>
      <c r="N1290" s="119">
        <v>0</v>
      </c>
      <c r="O1290" s="119">
        <v>0</v>
      </c>
      <c r="P1290" s="116" t="s">
        <v>83</v>
      </c>
      <c r="Q1290" s="119">
        <v>0</v>
      </c>
      <c r="R1290" s="119">
        <v>0</v>
      </c>
      <c r="S1290" s="119">
        <v>0</v>
      </c>
      <c r="T1290" s="119">
        <v>0</v>
      </c>
      <c r="U1290" s="119">
        <v>0</v>
      </c>
      <c r="V1290" s="119">
        <v>0</v>
      </c>
      <c r="W1290" s="6">
        <v>296</v>
      </c>
      <c r="X1290" s="40">
        <f t="shared" si="94"/>
        <v>229</v>
      </c>
      <c r="Y1290" s="40">
        <f t="shared" si="95"/>
        <v>296</v>
      </c>
      <c r="Z1290" s="59">
        <v>0.51349999999999996</v>
      </c>
      <c r="AA1290" s="59">
        <v>0.48649999999999999</v>
      </c>
      <c r="AB1290" s="61">
        <v>0</v>
      </c>
      <c r="AC1290" s="61">
        <v>0</v>
      </c>
      <c r="AD1290" s="61">
        <v>2.364864864864865E-2</v>
      </c>
      <c r="AE1290" s="61">
        <v>1.0135135135135136E-2</v>
      </c>
      <c r="AF1290" s="61">
        <v>0</v>
      </c>
      <c r="AG1290" s="61">
        <v>0.93243243243243246</v>
      </c>
      <c r="AH1290" s="61">
        <v>3.3783783783783786E-2</v>
      </c>
      <c r="AI1290" s="61">
        <v>6.7567567567567571E-2</v>
      </c>
      <c r="AJ1290" s="59">
        <v>0.62160000000000004</v>
      </c>
      <c r="AK1290" s="59">
        <v>0</v>
      </c>
      <c r="AL1290" s="3">
        <v>0</v>
      </c>
      <c r="AM1290" s="3">
        <v>67</v>
      </c>
      <c r="AN1290" s="3">
        <v>7</v>
      </c>
      <c r="AO1290" s="3">
        <v>64</v>
      </c>
      <c r="AP1290" s="3">
        <v>49</v>
      </c>
      <c r="AQ1290" s="3">
        <v>61</v>
      </c>
      <c r="AR1290" s="3">
        <v>48</v>
      </c>
      <c r="AS1290" s="59">
        <v>9.8591549295774641E-2</v>
      </c>
      <c r="AT1290" s="3">
        <v>8</v>
      </c>
      <c r="AU1290" s="3">
        <v>6</v>
      </c>
      <c r="AV1290" s="49">
        <v>85.446009389671389</v>
      </c>
      <c r="AW1290" s="49">
        <v>13.145539906103302</v>
      </c>
      <c r="AX1290" s="49">
        <v>1.40845070422535</v>
      </c>
      <c r="AY1290" s="67">
        <v>0</v>
      </c>
      <c r="AZ1290" s="63">
        <v>3.1948881789137401E-3</v>
      </c>
      <c r="BA1290" s="63">
        <v>0.140575079872204</v>
      </c>
      <c r="BB1290" s="79">
        <v>92.3</v>
      </c>
      <c r="BC1290" s="79"/>
      <c r="BD1290" s="79"/>
      <c r="BE1290" s="79"/>
      <c r="BF1290" s="79"/>
      <c r="BG1290" s="79"/>
      <c r="BH1290" s="79"/>
      <c r="BI1290" s="79"/>
      <c r="BJ1290" s="3">
        <v>18.7</v>
      </c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26" t="s">
        <v>85</v>
      </c>
      <c r="CJ1290" s="18" t="s">
        <v>548</v>
      </c>
      <c r="CK1290" s="20"/>
    </row>
    <row r="1291" spans="1:99" x14ac:dyDescent="0.25">
      <c r="A1291" s="18" t="s">
        <v>548</v>
      </c>
      <c r="B1291" s="19" t="s">
        <v>81</v>
      </c>
      <c r="C1291" s="26" t="s">
        <v>86</v>
      </c>
      <c r="D1291" s="6">
        <v>3</v>
      </c>
      <c r="E1291" s="6">
        <v>0</v>
      </c>
      <c r="F1291" s="6">
        <v>3</v>
      </c>
      <c r="N1291" s="115">
        <v>4.0650406504065002E-3</v>
      </c>
      <c r="O1291" s="115">
        <v>4.0705563093622801E-3</v>
      </c>
      <c r="P1291" s="116" t="s">
        <v>83</v>
      </c>
      <c r="Q1291" s="119">
        <v>0</v>
      </c>
      <c r="R1291" s="119">
        <v>0</v>
      </c>
      <c r="S1291" s="115">
        <v>4.1322314049586804E-3</v>
      </c>
      <c r="T1291" s="119">
        <v>0</v>
      </c>
      <c r="U1291" s="119">
        <v>0</v>
      </c>
      <c r="V1291" s="115">
        <v>1.2820512820512799E-2</v>
      </c>
      <c r="W1291" s="6">
        <v>692</v>
      </c>
      <c r="X1291" s="40">
        <f t="shared" si="94"/>
        <v>691</v>
      </c>
      <c r="Y1291" s="40">
        <f t="shared" si="95"/>
        <v>692</v>
      </c>
      <c r="Z1291" s="59">
        <v>0.50870000000000004</v>
      </c>
      <c r="AA1291" s="59">
        <v>0.49130000000000001</v>
      </c>
      <c r="AB1291" s="61">
        <v>0</v>
      </c>
      <c r="AC1291" s="61">
        <v>1.4450867052023121E-3</v>
      </c>
      <c r="AD1291" s="61">
        <v>0.30635838150289019</v>
      </c>
      <c r="AE1291" s="61">
        <v>1.5895953757225433E-2</v>
      </c>
      <c r="AF1291" s="61">
        <v>0</v>
      </c>
      <c r="AG1291" s="61">
        <v>0.64884393063583812</v>
      </c>
      <c r="AH1291" s="61">
        <v>2.7456647398843931E-2</v>
      </c>
      <c r="AI1291" s="61">
        <v>0.35115606936416183</v>
      </c>
      <c r="AJ1291" s="59">
        <v>0.67490000000000006</v>
      </c>
      <c r="AK1291" s="59">
        <v>4.3E-3</v>
      </c>
      <c r="AL1291" s="3">
        <v>0</v>
      </c>
      <c r="AM1291" s="3">
        <v>1</v>
      </c>
      <c r="AN1291" s="3">
        <v>39</v>
      </c>
      <c r="AO1291" s="3">
        <v>182</v>
      </c>
      <c r="AP1291" s="3">
        <v>146</v>
      </c>
      <c r="AQ1291" s="3">
        <v>171</v>
      </c>
      <c r="AR1291" s="3">
        <v>153</v>
      </c>
      <c r="AS1291" s="59">
        <v>0.17647058823529413</v>
      </c>
      <c r="AT1291" s="3">
        <v>9</v>
      </c>
      <c r="AU1291" s="3">
        <v>6</v>
      </c>
      <c r="AV1291" s="49">
        <v>70.189701897018992</v>
      </c>
      <c r="AW1291" s="49">
        <v>20.0542005420054</v>
      </c>
      <c r="AX1291" s="49">
        <v>9.48509485094851</v>
      </c>
      <c r="AY1291" s="67">
        <v>0.27100271002710002</v>
      </c>
      <c r="AZ1291" s="63">
        <v>0.407608695652174</v>
      </c>
      <c r="BA1291" s="63">
        <v>0.186141304347826</v>
      </c>
      <c r="BB1291" s="80">
        <v>89.9</v>
      </c>
      <c r="BC1291" s="80"/>
      <c r="BD1291" s="80"/>
      <c r="BE1291" s="80"/>
      <c r="BF1291" s="80"/>
      <c r="BG1291" s="80"/>
      <c r="BH1291" s="80"/>
      <c r="BI1291" s="80"/>
      <c r="BJ1291" s="3">
        <v>17.3</v>
      </c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26" t="s">
        <v>86</v>
      </c>
      <c r="CJ1291" s="18" t="s">
        <v>548</v>
      </c>
      <c r="CK1291" s="20"/>
    </row>
    <row r="1292" spans="1:99" x14ac:dyDescent="0.25">
      <c r="A1292" s="18" t="s">
        <v>548</v>
      </c>
      <c r="B1292" s="19" t="s">
        <v>81</v>
      </c>
      <c r="C1292" s="26" t="s">
        <v>87</v>
      </c>
      <c r="D1292" s="6">
        <v>3</v>
      </c>
      <c r="E1292" s="40" t="s">
        <v>83</v>
      </c>
      <c r="F1292" s="6">
        <v>3</v>
      </c>
      <c r="N1292" s="115">
        <v>4.9586776859504101E-3</v>
      </c>
      <c r="O1292" s="115">
        <v>4.9586776859504101E-3</v>
      </c>
      <c r="P1292" s="116" t="s">
        <v>83</v>
      </c>
      <c r="Q1292" s="116" t="s">
        <v>83</v>
      </c>
      <c r="R1292" s="119">
        <v>0</v>
      </c>
      <c r="S1292" s="119">
        <v>0</v>
      </c>
      <c r="T1292" s="119">
        <v>0</v>
      </c>
      <c r="U1292" s="115">
        <v>8.1967213114754103E-3</v>
      </c>
      <c r="V1292" s="115">
        <v>1.50375939849624E-2</v>
      </c>
      <c r="W1292" s="6">
        <v>574</v>
      </c>
      <c r="X1292" s="40">
        <f t="shared" si="94"/>
        <v>574</v>
      </c>
      <c r="Y1292" s="40">
        <f t="shared" si="95"/>
        <v>574</v>
      </c>
      <c r="Z1292" s="59">
        <v>0.51049999999999995</v>
      </c>
      <c r="AA1292" s="59">
        <v>0.48949999999999999</v>
      </c>
      <c r="AB1292" s="61">
        <v>3.4843205574912892E-3</v>
      </c>
      <c r="AC1292" s="61">
        <v>3.4843205574912892E-3</v>
      </c>
      <c r="AD1292" s="61">
        <v>1.9163763066202089E-2</v>
      </c>
      <c r="AE1292" s="61">
        <v>1.7421602787456445E-2</v>
      </c>
      <c r="AF1292" s="61">
        <v>0</v>
      </c>
      <c r="AG1292" s="61">
        <v>0.9285714285714286</v>
      </c>
      <c r="AH1292" s="61">
        <v>2.7874564459930314E-2</v>
      </c>
      <c r="AI1292" s="61">
        <v>7.1428571428571425E-2</v>
      </c>
      <c r="AJ1292" s="59">
        <v>0.39369999999999999</v>
      </c>
      <c r="AK1292" s="59">
        <v>5.1999999999999998E-3</v>
      </c>
      <c r="AL1292" s="3">
        <v>0</v>
      </c>
      <c r="AM1292" s="3">
        <v>0</v>
      </c>
      <c r="AN1292" s="3">
        <v>7</v>
      </c>
      <c r="AO1292" s="3">
        <v>163</v>
      </c>
      <c r="AP1292" s="3">
        <v>161</v>
      </c>
      <c r="AQ1292" s="3">
        <v>115</v>
      </c>
      <c r="AR1292" s="3">
        <v>128</v>
      </c>
      <c r="AS1292" s="59">
        <v>4.1176470588235294E-2</v>
      </c>
      <c r="AT1292" s="3">
        <v>9</v>
      </c>
      <c r="AU1292" s="3">
        <v>6</v>
      </c>
      <c r="AV1292" s="49">
        <v>72.530864197530903</v>
      </c>
      <c r="AW1292" s="49">
        <v>12.962962962963001</v>
      </c>
      <c r="AX1292" s="49">
        <v>13.8888888888889</v>
      </c>
      <c r="AY1292" s="67">
        <v>0.61728395061728403</v>
      </c>
      <c r="AZ1292" s="63">
        <v>0</v>
      </c>
      <c r="BA1292" s="63">
        <v>5.6384742951907103E-2</v>
      </c>
      <c r="BB1292" s="79">
        <v>92.3</v>
      </c>
      <c r="BC1292" s="79"/>
      <c r="BD1292" s="79"/>
      <c r="BE1292" s="79"/>
      <c r="BF1292" s="79"/>
      <c r="BG1292" s="79"/>
      <c r="BH1292" s="79"/>
      <c r="BI1292" s="79"/>
      <c r="BJ1292" s="3">
        <v>19.600000000000001</v>
      </c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26" t="s">
        <v>87</v>
      </c>
      <c r="CJ1292" s="18" t="s">
        <v>548</v>
      </c>
      <c r="CK1292" s="20"/>
    </row>
    <row r="1293" spans="1:99" x14ac:dyDescent="0.25">
      <c r="A1293" s="18" t="s">
        <v>548</v>
      </c>
      <c r="B1293" s="19" t="s">
        <v>88</v>
      </c>
      <c r="C1293" s="26" t="s">
        <v>89</v>
      </c>
      <c r="D1293" s="6">
        <v>0</v>
      </c>
      <c r="E1293" s="6">
        <v>0</v>
      </c>
      <c r="F1293" s="6">
        <v>0</v>
      </c>
      <c r="N1293" s="119">
        <v>0</v>
      </c>
      <c r="O1293" s="119">
        <v>0</v>
      </c>
      <c r="P1293" s="119">
        <v>0</v>
      </c>
      <c r="Q1293" s="119">
        <v>0</v>
      </c>
      <c r="R1293" s="116" t="s">
        <v>83</v>
      </c>
      <c r="S1293" s="119">
        <v>0</v>
      </c>
      <c r="T1293" s="119">
        <v>0</v>
      </c>
      <c r="U1293" s="119">
        <v>0</v>
      </c>
      <c r="V1293" s="119">
        <v>0</v>
      </c>
      <c r="W1293" s="6">
        <v>409</v>
      </c>
      <c r="X1293" s="40">
        <f t="shared" si="94"/>
        <v>108</v>
      </c>
      <c r="Y1293" s="40">
        <f t="shared" si="95"/>
        <v>170</v>
      </c>
      <c r="Z1293" s="59">
        <v>0.48409999999999997</v>
      </c>
      <c r="AA1293" s="59">
        <v>0.51590000000000003</v>
      </c>
      <c r="AB1293" s="61">
        <v>4.8899755501222494E-3</v>
      </c>
      <c r="AC1293" s="61">
        <v>7.3349633251833741E-3</v>
      </c>
      <c r="AD1293" s="61">
        <v>9.7799511002444987E-3</v>
      </c>
      <c r="AE1293" s="61">
        <v>1.2224938875305624E-2</v>
      </c>
      <c r="AF1293" s="61">
        <v>0</v>
      </c>
      <c r="AG1293" s="61">
        <v>0.94132029339853296</v>
      </c>
      <c r="AH1293" s="61">
        <v>2.4449877750611249E-2</v>
      </c>
      <c r="AI1293" s="61">
        <v>5.8679706601466992E-2</v>
      </c>
      <c r="AJ1293" s="59">
        <v>0.55500000000000005</v>
      </c>
      <c r="AK1293" s="59">
        <v>0</v>
      </c>
      <c r="AL1293" s="3">
        <v>25</v>
      </c>
      <c r="AM1293" s="3">
        <v>37</v>
      </c>
      <c r="AN1293" s="3">
        <v>0</v>
      </c>
      <c r="AO1293" s="3">
        <v>27</v>
      </c>
      <c r="AP1293" s="3">
        <v>36</v>
      </c>
      <c r="AQ1293" s="3">
        <v>29</v>
      </c>
      <c r="AR1293" s="3">
        <v>16</v>
      </c>
      <c r="AS1293" s="59">
        <v>0</v>
      </c>
      <c r="AT1293" s="3">
        <v>1</v>
      </c>
      <c r="AU1293" s="3">
        <v>6</v>
      </c>
      <c r="AV1293" s="49">
        <v>77.564102564102598</v>
      </c>
      <c r="AW1293" s="49">
        <v>11.538461538461501</v>
      </c>
      <c r="AX1293" s="49">
        <v>8.9743589743589709</v>
      </c>
      <c r="AY1293" s="67">
        <v>1.92307692307692</v>
      </c>
      <c r="AZ1293" s="63">
        <v>4.6082949308755804E-3</v>
      </c>
      <c r="BA1293" s="63">
        <v>1.3824884792626699E-2</v>
      </c>
      <c r="BB1293" s="79">
        <v>93.9</v>
      </c>
      <c r="BC1293" s="79"/>
      <c r="BD1293" s="79"/>
      <c r="BE1293" s="79"/>
      <c r="BF1293" s="79"/>
      <c r="BG1293" s="79"/>
      <c r="BH1293" s="79"/>
      <c r="BI1293" s="79"/>
      <c r="BJ1293" s="3">
        <v>20.8</v>
      </c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26" t="s">
        <v>89</v>
      </c>
      <c r="CJ1293" s="18" t="s">
        <v>548</v>
      </c>
      <c r="CK1293" s="20"/>
    </row>
    <row r="1294" spans="1:99" x14ac:dyDescent="0.25">
      <c r="A1294" s="18" t="s">
        <v>548</v>
      </c>
      <c r="B1294" s="19" t="s">
        <v>88</v>
      </c>
      <c r="C1294" s="26" t="s">
        <v>90</v>
      </c>
      <c r="D1294" s="6">
        <v>0</v>
      </c>
      <c r="E1294" s="6">
        <v>0</v>
      </c>
      <c r="F1294" s="6">
        <v>0</v>
      </c>
      <c r="N1294" s="119">
        <v>0</v>
      </c>
      <c r="O1294" s="119">
        <v>0</v>
      </c>
      <c r="P1294" s="119">
        <v>0</v>
      </c>
      <c r="Q1294" s="119">
        <v>0</v>
      </c>
      <c r="R1294" s="119">
        <v>0</v>
      </c>
      <c r="S1294" s="119">
        <v>0</v>
      </c>
      <c r="T1294" s="119">
        <v>0</v>
      </c>
      <c r="U1294" s="119">
        <v>0</v>
      </c>
      <c r="V1294" s="119">
        <v>0</v>
      </c>
      <c r="W1294" s="6">
        <v>405</v>
      </c>
      <c r="X1294" s="40">
        <f t="shared" si="94"/>
        <v>105</v>
      </c>
      <c r="Y1294" s="40">
        <f t="shared" si="95"/>
        <v>165</v>
      </c>
      <c r="Z1294" s="59">
        <v>0.53580000000000005</v>
      </c>
      <c r="AA1294" s="59">
        <v>0.4642</v>
      </c>
      <c r="AB1294" s="61">
        <v>0</v>
      </c>
      <c r="AC1294" s="61">
        <v>3.2098765432098768E-2</v>
      </c>
      <c r="AD1294" s="61">
        <v>0</v>
      </c>
      <c r="AE1294" s="61">
        <v>9.876543209876543E-3</v>
      </c>
      <c r="AF1294" s="61">
        <v>0</v>
      </c>
      <c r="AG1294" s="61">
        <v>0.94320987654320987</v>
      </c>
      <c r="AH1294" s="61">
        <v>1.4814814814814815E-2</v>
      </c>
      <c r="AI1294" s="61">
        <v>5.6790123456790124E-2</v>
      </c>
      <c r="AJ1294" s="59">
        <v>0.61229999999999996</v>
      </c>
      <c r="AK1294" s="59">
        <v>7.4000000000000003E-3</v>
      </c>
      <c r="AL1294" s="3">
        <v>34</v>
      </c>
      <c r="AM1294" s="3">
        <v>26</v>
      </c>
      <c r="AN1294" s="3">
        <v>3</v>
      </c>
      <c r="AO1294" s="3">
        <v>20</v>
      </c>
      <c r="AP1294" s="3">
        <v>32</v>
      </c>
      <c r="AQ1294" s="3">
        <v>26</v>
      </c>
      <c r="AR1294" s="3">
        <v>24</v>
      </c>
      <c r="AS1294" s="59">
        <v>0.13043478260869565</v>
      </c>
      <c r="AT1294" s="3">
        <v>1</v>
      </c>
      <c r="AU1294" s="3">
        <v>6</v>
      </c>
      <c r="AV1294" s="49">
        <v>93.181818181818201</v>
      </c>
      <c r="AW1294" s="49">
        <v>6.8181818181818201</v>
      </c>
      <c r="AX1294" s="49">
        <v>0</v>
      </c>
      <c r="AY1294" s="67">
        <v>0</v>
      </c>
      <c r="AZ1294" s="63">
        <v>3.3333333333333298E-2</v>
      </c>
      <c r="BA1294" s="63">
        <v>2.1428571428571401E-2</v>
      </c>
      <c r="BB1294" s="80">
        <v>93.7</v>
      </c>
      <c r="BC1294" s="80"/>
      <c r="BD1294" s="80"/>
      <c r="BE1294" s="80"/>
      <c r="BF1294" s="80"/>
      <c r="BG1294" s="80"/>
      <c r="BH1294" s="80"/>
      <c r="BI1294" s="80"/>
      <c r="BJ1294" s="3">
        <v>20.8</v>
      </c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26" t="s">
        <v>90</v>
      </c>
      <c r="CJ1294" s="18" t="s">
        <v>548</v>
      </c>
      <c r="CK1294" s="20"/>
    </row>
    <row r="1295" spans="1:99" x14ac:dyDescent="0.25">
      <c r="A1295" s="18" t="s">
        <v>548</v>
      </c>
      <c r="B1295" s="19" t="s">
        <v>88</v>
      </c>
      <c r="C1295" s="26" t="s">
        <v>91</v>
      </c>
      <c r="D1295" s="6">
        <v>0</v>
      </c>
      <c r="E1295" s="40" t="s">
        <v>83</v>
      </c>
      <c r="F1295" s="6">
        <v>0</v>
      </c>
      <c r="N1295" s="119">
        <v>0</v>
      </c>
      <c r="O1295" s="119">
        <v>0</v>
      </c>
      <c r="P1295" s="116" t="s">
        <v>83</v>
      </c>
      <c r="Q1295" s="116" t="s">
        <v>83</v>
      </c>
      <c r="R1295" s="116" t="s">
        <v>83</v>
      </c>
      <c r="S1295" s="119">
        <v>0</v>
      </c>
      <c r="T1295" s="119">
        <v>0</v>
      </c>
      <c r="U1295" s="119">
        <v>0</v>
      </c>
      <c r="V1295" s="119">
        <v>0</v>
      </c>
      <c r="W1295" s="6">
        <v>366</v>
      </c>
      <c r="X1295" s="40">
        <f t="shared" si="94"/>
        <v>366</v>
      </c>
      <c r="Y1295" s="40">
        <f t="shared" si="95"/>
        <v>366</v>
      </c>
      <c r="Z1295" s="59">
        <v>0.50549999999999995</v>
      </c>
      <c r="AA1295" s="59">
        <v>0.4945</v>
      </c>
      <c r="AB1295" s="61">
        <v>2.7322404371584699E-2</v>
      </c>
      <c r="AC1295" s="61">
        <v>1.092896174863388E-2</v>
      </c>
      <c r="AD1295" s="61">
        <v>0.17486338797814208</v>
      </c>
      <c r="AE1295" s="61">
        <v>1.6393442622950821E-2</v>
      </c>
      <c r="AF1295" s="61">
        <v>2.7322404371584699E-3</v>
      </c>
      <c r="AG1295" s="61">
        <v>0.72677595628415304</v>
      </c>
      <c r="AH1295" s="61">
        <v>4.0983606557377046E-2</v>
      </c>
      <c r="AI1295" s="61">
        <v>0.27322404371584702</v>
      </c>
      <c r="AJ1295" s="59">
        <v>0.57099999999999995</v>
      </c>
      <c r="AK1295" s="59">
        <v>0</v>
      </c>
      <c r="AL1295" s="3">
        <v>0</v>
      </c>
      <c r="AM1295" s="3">
        <v>0</v>
      </c>
      <c r="AN1295" s="3">
        <v>0</v>
      </c>
      <c r="AO1295" s="3">
        <v>110</v>
      </c>
      <c r="AP1295" s="3">
        <v>96</v>
      </c>
      <c r="AQ1295" s="3">
        <v>88</v>
      </c>
      <c r="AR1295" s="3">
        <v>72</v>
      </c>
      <c r="AS1295" s="59">
        <v>0</v>
      </c>
      <c r="AT1295" s="3">
        <v>9</v>
      </c>
      <c r="AU1295" s="3">
        <v>6</v>
      </c>
      <c r="AV1295" s="49">
        <v>75.336322869955197</v>
      </c>
      <c r="AW1295" s="49">
        <v>22.421524663677101</v>
      </c>
      <c r="AX1295" s="49">
        <v>2.2421524663677102</v>
      </c>
      <c r="AY1295" s="67">
        <v>0</v>
      </c>
      <c r="AZ1295" s="63">
        <v>8.8235294117647106E-2</v>
      </c>
      <c r="BA1295" s="63">
        <v>0.14171122994652399</v>
      </c>
      <c r="BB1295" s="79">
        <v>93.2</v>
      </c>
      <c r="BC1295" s="79"/>
      <c r="BD1295" s="79"/>
      <c r="BE1295" s="79"/>
      <c r="BF1295" s="79"/>
      <c r="BG1295" s="79"/>
      <c r="BH1295" s="79"/>
      <c r="BI1295" s="79"/>
      <c r="BJ1295" s="3">
        <v>20.2</v>
      </c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26" t="s">
        <v>91</v>
      </c>
      <c r="CJ1295" s="18" t="s">
        <v>548</v>
      </c>
      <c r="CK1295" s="20"/>
    </row>
    <row r="1296" spans="1:99" x14ac:dyDescent="0.25">
      <c r="A1296" s="18" t="s">
        <v>548</v>
      </c>
      <c r="B1296" s="19" t="s">
        <v>88</v>
      </c>
      <c r="C1296" s="26" t="s">
        <v>92</v>
      </c>
      <c r="D1296" s="6">
        <v>0</v>
      </c>
      <c r="E1296" s="40" t="s">
        <v>83</v>
      </c>
      <c r="F1296" s="6">
        <v>0</v>
      </c>
      <c r="N1296" s="119">
        <v>0</v>
      </c>
      <c r="O1296" s="119">
        <v>0</v>
      </c>
      <c r="P1296" s="116" t="s">
        <v>83</v>
      </c>
      <c r="Q1296" s="116" t="s">
        <v>83</v>
      </c>
      <c r="R1296" s="116" t="s">
        <v>83</v>
      </c>
      <c r="S1296" s="119">
        <v>0</v>
      </c>
      <c r="T1296" s="119">
        <v>0</v>
      </c>
      <c r="U1296" s="119">
        <v>0</v>
      </c>
      <c r="V1296" s="119">
        <v>0</v>
      </c>
      <c r="W1296" s="6">
        <v>302</v>
      </c>
      <c r="X1296" s="40">
        <f t="shared" si="94"/>
        <v>302</v>
      </c>
      <c r="Y1296" s="40">
        <f t="shared" si="95"/>
        <v>302</v>
      </c>
      <c r="Z1296" s="59">
        <v>0.5232</v>
      </c>
      <c r="AA1296" s="59">
        <v>0.4768</v>
      </c>
      <c r="AB1296" s="61">
        <v>0</v>
      </c>
      <c r="AC1296" s="61">
        <v>9.9337748344370865E-3</v>
      </c>
      <c r="AD1296" s="61">
        <v>0.32119205298013243</v>
      </c>
      <c r="AE1296" s="61">
        <v>2.3178807947019868E-2</v>
      </c>
      <c r="AF1296" s="61">
        <v>0</v>
      </c>
      <c r="AG1296" s="61">
        <v>0.63907284768211925</v>
      </c>
      <c r="AH1296" s="61">
        <v>6.6225165562913907E-3</v>
      </c>
      <c r="AI1296" s="61">
        <v>0.36092715231788081</v>
      </c>
      <c r="AJ1296" s="59">
        <v>0.67220000000000002</v>
      </c>
      <c r="AK1296" s="59">
        <v>0</v>
      </c>
      <c r="AL1296" s="3">
        <v>0</v>
      </c>
      <c r="AM1296" s="3">
        <v>0</v>
      </c>
      <c r="AN1296" s="3">
        <v>0</v>
      </c>
      <c r="AO1296" s="3">
        <v>84</v>
      </c>
      <c r="AP1296" s="3">
        <v>73</v>
      </c>
      <c r="AQ1296" s="3">
        <v>80</v>
      </c>
      <c r="AR1296" s="3">
        <v>65</v>
      </c>
      <c r="AS1296" s="59">
        <v>0</v>
      </c>
      <c r="AT1296" s="3">
        <v>9</v>
      </c>
      <c r="AU1296" s="3">
        <v>6</v>
      </c>
      <c r="AV1296" s="49">
        <v>80.368098159509202</v>
      </c>
      <c r="AW1296" s="49">
        <v>18.404907975460098</v>
      </c>
      <c r="AX1296" s="49">
        <v>1.22699386503067</v>
      </c>
      <c r="AY1296" s="67">
        <v>0</v>
      </c>
      <c r="AZ1296" s="63">
        <v>0.13738019169329099</v>
      </c>
      <c r="BA1296" s="63">
        <v>0.13099041533546299</v>
      </c>
      <c r="BB1296" s="80">
        <v>93</v>
      </c>
      <c r="BC1296" s="80"/>
      <c r="BD1296" s="80"/>
      <c r="BE1296" s="80"/>
      <c r="BF1296" s="80"/>
      <c r="BG1296" s="80"/>
      <c r="BH1296" s="80"/>
      <c r="BI1296" s="80"/>
      <c r="BJ1296" s="3">
        <v>18.2</v>
      </c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26" t="s">
        <v>92</v>
      </c>
      <c r="CJ1296" s="18" t="s">
        <v>548</v>
      </c>
      <c r="CK1296" s="20"/>
    </row>
    <row r="1297" spans="1:89" x14ac:dyDescent="0.25">
      <c r="A1297" s="18" t="s">
        <v>548</v>
      </c>
      <c r="B1297" s="19" t="s">
        <v>88</v>
      </c>
      <c r="C1297" s="26" t="s">
        <v>93</v>
      </c>
      <c r="D1297" s="6">
        <v>0</v>
      </c>
      <c r="E1297" s="6">
        <v>0</v>
      </c>
      <c r="F1297" s="6">
        <v>0</v>
      </c>
      <c r="N1297" s="119">
        <v>0</v>
      </c>
      <c r="O1297" s="119">
        <v>0</v>
      </c>
      <c r="P1297" s="119">
        <v>0</v>
      </c>
      <c r="Q1297" s="119">
        <v>0</v>
      </c>
      <c r="R1297" s="116" t="s">
        <v>83</v>
      </c>
      <c r="S1297" s="119">
        <v>0</v>
      </c>
      <c r="T1297" s="119">
        <v>0</v>
      </c>
      <c r="U1297" s="119">
        <v>0</v>
      </c>
      <c r="V1297" s="119">
        <v>0</v>
      </c>
      <c r="W1297" s="6">
        <v>247</v>
      </c>
      <c r="X1297" s="40">
        <f t="shared" si="94"/>
        <v>160</v>
      </c>
      <c r="Y1297" s="40">
        <f t="shared" si="95"/>
        <v>247</v>
      </c>
      <c r="Z1297" s="59">
        <v>0.502</v>
      </c>
      <c r="AA1297" s="59">
        <v>0.498</v>
      </c>
      <c r="AB1297" s="61">
        <v>1.6194331983805668E-2</v>
      </c>
      <c r="AC1297" s="61">
        <v>0</v>
      </c>
      <c r="AD1297" s="61">
        <v>0.36842105263157893</v>
      </c>
      <c r="AE1297" s="61">
        <v>4.048582995951417E-3</v>
      </c>
      <c r="AF1297" s="61">
        <v>0</v>
      </c>
      <c r="AG1297" s="61">
        <v>0.56275303643724695</v>
      </c>
      <c r="AH1297" s="61">
        <v>4.8582995951417005E-2</v>
      </c>
      <c r="AI1297" s="61">
        <v>0.43724696356275305</v>
      </c>
      <c r="AJ1297" s="59">
        <v>0.71260000000000001</v>
      </c>
      <c r="AK1297" s="59">
        <v>0</v>
      </c>
      <c r="AL1297" s="3">
        <v>42</v>
      </c>
      <c r="AM1297" s="3">
        <v>45</v>
      </c>
      <c r="AN1297" s="3">
        <v>0</v>
      </c>
      <c r="AO1297" s="3">
        <v>36</v>
      </c>
      <c r="AP1297" s="3">
        <v>40</v>
      </c>
      <c r="AQ1297" s="3">
        <v>49</v>
      </c>
      <c r="AR1297" s="3">
        <v>35</v>
      </c>
      <c r="AS1297" s="59">
        <v>0</v>
      </c>
      <c r="AT1297" s="3">
        <v>7</v>
      </c>
      <c r="AU1297" s="3">
        <v>6</v>
      </c>
      <c r="AV1297" s="49">
        <v>87.931034482758591</v>
      </c>
      <c r="AW1297" s="49">
        <v>12.0689655172414</v>
      </c>
      <c r="AX1297" s="49">
        <v>0</v>
      </c>
      <c r="AY1297" s="67">
        <v>0</v>
      </c>
      <c r="AZ1297" s="63">
        <v>5.0387596899224799E-2</v>
      </c>
      <c r="BA1297" s="63">
        <v>0.13178294573643401</v>
      </c>
      <c r="BB1297" s="79">
        <v>93.9</v>
      </c>
      <c r="BC1297" s="79"/>
      <c r="BD1297" s="79"/>
      <c r="BE1297" s="79"/>
      <c r="BF1297" s="79"/>
      <c r="BG1297" s="79"/>
      <c r="BH1297" s="79"/>
      <c r="BI1297" s="79"/>
      <c r="BJ1297" s="3">
        <v>18.2</v>
      </c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26" t="s">
        <v>93</v>
      </c>
      <c r="CJ1297" s="18" t="s">
        <v>548</v>
      </c>
      <c r="CK1297" s="20"/>
    </row>
    <row r="1298" spans="1:89" x14ac:dyDescent="0.25">
      <c r="A1298" s="18" t="s">
        <v>548</v>
      </c>
      <c r="B1298" s="19" t="s">
        <v>88</v>
      </c>
      <c r="C1298" s="26" t="s">
        <v>94</v>
      </c>
      <c r="D1298" s="6">
        <v>3</v>
      </c>
      <c r="E1298" s="6">
        <v>0</v>
      </c>
      <c r="F1298" s="6">
        <v>3</v>
      </c>
      <c r="N1298" s="115">
        <v>2.2058823529411801E-2</v>
      </c>
      <c r="O1298" s="115">
        <v>3.4482758620689703E-2</v>
      </c>
      <c r="P1298" s="119">
        <v>0</v>
      </c>
      <c r="Q1298" s="119">
        <v>0</v>
      </c>
      <c r="R1298" s="116" t="s">
        <v>83</v>
      </c>
      <c r="S1298" s="115">
        <v>0.14285714285714299</v>
      </c>
      <c r="T1298" s="119">
        <v>0</v>
      </c>
      <c r="U1298" s="119">
        <v>0</v>
      </c>
      <c r="V1298" s="115">
        <v>3.3333333333333298E-2</v>
      </c>
      <c r="W1298" s="6">
        <v>289</v>
      </c>
      <c r="X1298" s="40">
        <f t="shared" si="94"/>
        <v>76</v>
      </c>
      <c r="Y1298" s="40">
        <f t="shared" si="95"/>
        <v>120</v>
      </c>
      <c r="Z1298" s="59">
        <v>0.47399999999999998</v>
      </c>
      <c r="AA1298" s="59">
        <v>0.52600000000000002</v>
      </c>
      <c r="AB1298" s="61">
        <v>3.4602076124567475E-3</v>
      </c>
      <c r="AC1298" s="61">
        <v>0</v>
      </c>
      <c r="AD1298" s="61">
        <v>4.8442906574394463E-2</v>
      </c>
      <c r="AE1298" s="61">
        <v>3.4602076124567475E-3</v>
      </c>
      <c r="AF1298" s="61">
        <v>0</v>
      </c>
      <c r="AG1298" s="61">
        <v>0.9307958477508651</v>
      </c>
      <c r="AH1298" s="61">
        <v>1.384083044982699E-2</v>
      </c>
      <c r="AI1298" s="61">
        <v>6.9204152249134954E-2</v>
      </c>
      <c r="AJ1298" s="59">
        <v>0.66439999999999999</v>
      </c>
      <c r="AK1298" s="59">
        <v>0</v>
      </c>
      <c r="AL1298" s="3">
        <v>16</v>
      </c>
      <c r="AM1298" s="3">
        <v>28</v>
      </c>
      <c r="AN1298" s="3">
        <v>0</v>
      </c>
      <c r="AO1298" s="3">
        <v>9</v>
      </c>
      <c r="AP1298" s="3">
        <v>21</v>
      </c>
      <c r="AQ1298" s="3">
        <v>19</v>
      </c>
      <c r="AR1298" s="3">
        <v>27</v>
      </c>
      <c r="AS1298" s="59">
        <v>0</v>
      </c>
      <c r="AT1298" s="3">
        <v>1</v>
      </c>
      <c r="AU1298" s="3">
        <v>6</v>
      </c>
      <c r="AV1298" s="49">
        <v>88.3116883116883</v>
      </c>
      <c r="AW1298" s="49">
        <v>9.0909090909090899</v>
      </c>
      <c r="AX1298" s="49">
        <v>2.5974025974026</v>
      </c>
      <c r="AY1298" s="67">
        <v>0</v>
      </c>
      <c r="AZ1298" s="63">
        <v>1.8633540372670801E-2</v>
      </c>
      <c r="BA1298" s="63">
        <v>3.4161490683229802E-2</v>
      </c>
      <c r="BB1298" s="80">
        <v>94.4</v>
      </c>
      <c r="BC1298" s="80"/>
      <c r="BD1298" s="80"/>
      <c r="BE1298" s="80"/>
      <c r="BF1298" s="80"/>
      <c r="BG1298" s="80"/>
      <c r="BH1298" s="80"/>
      <c r="BI1298" s="80"/>
      <c r="BJ1298" s="3">
        <v>17.8</v>
      </c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26" t="s">
        <v>94</v>
      </c>
      <c r="CJ1298" s="18" t="s">
        <v>548</v>
      </c>
      <c r="CK1298" s="20"/>
    </row>
    <row r="1299" spans="1:89" x14ac:dyDescent="0.25">
      <c r="A1299" s="18" t="s">
        <v>548</v>
      </c>
      <c r="B1299" s="19" t="s">
        <v>95</v>
      </c>
      <c r="C1299" s="26" t="s">
        <v>96</v>
      </c>
      <c r="D1299" s="6">
        <v>19</v>
      </c>
      <c r="E1299" s="40" t="s">
        <v>83</v>
      </c>
      <c r="F1299" s="6">
        <v>19</v>
      </c>
      <c r="N1299" s="115">
        <v>3.8152610441767099E-2</v>
      </c>
      <c r="O1299" s="115">
        <v>3.8152610441767099E-2</v>
      </c>
      <c r="P1299" s="116" t="s">
        <v>83</v>
      </c>
      <c r="Q1299" s="116" t="s">
        <v>83</v>
      </c>
      <c r="R1299" s="116" t="s">
        <v>83</v>
      </c>
      <c r="S1299" s="115">
        <v>2.9126213592233E-2</v>
      </c>
      <c r="T1299" s="115">
        <v>2.2556390977443601E-2</v>
      </c>
      <c r="U1299" s="115">
        <v>7.1428571428571397E-2</v>
      </c>
      <c r="V1299" s="115">
        <v>4.2105263157894701E-2</v>
      </c>
      <c r="W1299" s="6">
        <v>462</v>
      </c>
      <c r="X1299" s="40">
        <f t="shared" si="94"/>
        <v>462</v>
      </c>
      <c r="Y1299" s="40">
        <f t="shared" si="95"/>
        <v>462</v>
      </c>
      <c r="Z1299" s="59">
        <v>0.4481</v>
      </c>
      <c r="AA1299" s="59">
        <v>0.55189999999999995</v>
      </c>
      <c r="AB1299" s="61">
        <v>0</v>
      </c>
      <c r="AC1299" s="61">
        <v>0</v>
      </c>
      <c r="AD1299" s="61">
        <v>0.95238095238095233</v>
      </c>
      <c r="AE1299" s="61">
        <v>1.948051948051948E-2</v>
      </c>
      <c r="AF1299" s="61">
        <v>0</v>
      </c>
      <c r="AG1299" s="61">
        <v>2.813852813852814E-2</v>
      </c>
      <c r="AH1299" s="61">
        <v>0</v>
      </c>
      <c r="AI1299" s="61">
        <v>0.97186147186147187</v>
      </c>
      <c r="AJ1299" s="59">
        <v>0.86150000000000004</v>
      </c>
      <c r="AK1299" s="59">
        <v>1.2999999999999999E-2</v>
      </c>
      <c r="AL1299" s="3">
        <v>0</v>
      </c>
      <c r="AM1299" s="3">
        <v>0</v>
      </c>
      <c r="AN1299" s="3">
        <v>0</v>
      </c>
      <c r="AO1299" s="3">
        <v>135</v>
      </c>
      <c r="AP1299" s="3">
        <v>125</v>
      </c>
      <c r="AQ1299" s="3">
        <v>113</v>
      </c>
      <c r="AR1299" s="3">
        <v>89</v>
      </c>
      <c r="AS1299" s="59">
        <v>0</v>
      </c>
      <c r="AT1299" s="3">
        <v>9</v>
      </c>
      <c r="AU1299" s="3">
        <v>6</v>
      </c>
      <c r="AV1299" s="49">
        <v>80.398671096345495</v>
      </c>
      <c r="AW1299" s="49">
        <v>18.272425249169398</v>
      </c>
      <c r="AX1299" s="49">
        <v>1.3289036544850501</v>
      </c>
      <c r="AY1299" s="67">
        <v>0</v>
      </c>
      <c r="AZ1299" s="63">
        <v>0.13580246913580199</v>
      </c>
      <c r="BA1299" s="63">
        <v>0.14403292181069999</v>
      </c>
      <c r="BB1299" s="79">
        <v>92.1</v>
      </c>
      <c r="BC1299" s="79"/>
      <c r="BD1299" s="79"/>
      <c r="BE1299" s="79"/>
      <c r="BF1299" s="79"/>
      <c r="BG1299" s="79"/>
      <c r="BH1299" s="79"/>
      <c r="BI1299" s="79"/>
      <c r="BJ1299" s="3">
        <v>15.9</v>
      </c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26" t="s">
        <v>96</v>
      </c>
      <c r="CJ1299" s="18" t="s">
        <v>548</v>
      </c>
      <c r="CK1299" s="20"/>
    </row>
    <row r="1300" spans="1:89" x14ac:dyDescent="0.25">
      <c r="A1300" s="18" t="s">
        <v>548</v>
      </c>
      <c r="B1300" s="19" t="s">
        <v>95</v>
      </c>
      <c r="C1300" s="26" t="s">
        <v>97</v>
      </c>
      <c r="D1300" s="6">
        <v>42</v>
      </c>
      <c r="E1300" s="40" t="s">
        <v>83</v>
      </c>
      <c r="F1300" s="6">
        <v>42</v>
      </c>
      <c r="N1300" s="115">
        <v>2.1593830334190201E-2</v>
      </c>
      <c r="O1300" s="115">
        <v>2.1593830334190201E-2</v>
      </c>
      <c r="P1300" s="116" t="s">
        <v>83</v>
      </c>
      <c r="Q1300" s="116" t="s">
        <v>83</v>
      </c>
      <c r="R1300" s="115">
        <v>1.58730158730159E-2</v>
      </c>
      <c r="S1300" s="115">
        <v>1.27388535031847E-2</v>
      </c>
      <c r="T1300" s="115">
        <v>2.50447227191413E-2</v>
      </c>
      <c r="U1300" s="115">
        <v>2.2779043280182199E-2</v>
      </c>
      <c r="V1300" s="115">
        <v>2.6634382566585998E-2</v>
      </c>
      <c r="W1300" s="6">
        <v>1827</v>
      </c>
      <c r="X1300" s="40">
        <f t="shared" si="94"/>
        <v>1827</v>
      </c>
      <c r="Y1300" s="40">
        <f t="shared" si="95"/>
        <v>1827</v>
      </c>
      <c r="Z1300" s="59">
        <v>0.47620000000000001</v>
      </c>
      <c r="AA1300" s="59">
        <v>0.52380000000000004</v>
      </c>
      <c r="AB1300" s="61">
        <v>1.0946907498631637E-3</v>
      </c>
      <c r="AC1300" s="61">
        <v>9.3048713738368913E-3</v>
      </c>
      <c r="AD1300" s="61">
        <v>0.44444444444444442</v>
      </c>
      <c r="AE1300" s="61">
        <v>0.13847837985769021</v>
      </c>
      <c r="AF1300" s="61">
        <v>2.1893814997263274E-3</v>
      </c>
      <c r="AG1300" s="61">
        <v>0.38752052545155996</v>
      </c>
      <c r="AH1300" s="61">
        <v>1.6967706622879036E-2</v>
      </c>
      <c r="AI1300" s="61">
        <v>0.61247947454844009</v>
      </c>
      <c r="AJ1300" s="59">
        <v>0.57199999999999995</v>
      </c>
      <c r="AK1300" s="59">
        <v>3.1699999999999999E-2</v>
      </c>
      <c r="AL1300" s="3">
        <v>0</v>
      </c>
      <c r="AM1300" s="3">
        <v>0</v>
      </c>
      <c r="AN1300" s="3">
        <v>60</v>
      </c>
      <c r="AO1300" s="3">
        <v>428</v>
      </c>
      <c r="AP1300" s="3">
        <v>527</v>
      </c>
      <c r="AQ1300" s="3">
        <v>420</v>
      </c>
      <c r="AR1300" s="3">
        <v>392</v>
      </c>
      <c r="AS1300" s="59">
        <v>0.12295081967213115</v>
      </c>
      <c r="AT1300" s="3">
        <v>9</v>
      </c>
      <c r="AU1300" s="3">
        <v>6</v>
      </c>
      <c r="AV1300" s="49">
        <v>56.9160997732426</v>
      </c>
      <c r="AW1300" s="49">
        <v>21.655328798185899</v>
      </c>
      <c r="AX1300" s="49">
        <v>18.140589569161001</v>
      </c>
      <c r="AY1300" s="67">
        <v>3.2879818594104298</v>
      </c>
      <c r="AZ1300" s="63">
        <v>0.18904958677686001</v>
      </c>
      <c r="BA1300" s="63">
        <v>6.4566115702479304E-2</v>
      </c>
      <c r="BB1300" s="80">
        <v>94.5</v>
      </c>
      <c r="BC1300" s="80"/>
      <c r="BD1300" s="80"/>
      <c r="BE1300" s="80"/>
      <c r="BF1300" s="80"/>
      <c r="BG1300" s="80"/>
      <c r="BH1300" s="80"/>
      <c r="BI1300" s="80"/>
      <c r="BJ1300" s="3">
        <v>19</v>
      </c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26" t="s">
        <v>97</v>
      </c>
      <c r="CJ1300" s="18" t="s">
        <v>548</v>
      </c>
      <c r="CK1300" s="20"/>
    </row>
    <row r="1301" spans="1:89" x14ac:dyDescent="0.25">
      <c r="A1301" s="18" t="s">
        <v>548</v>
      </c>
      <c r="B1301" s="19" t="s">
        <v>95</v>
      </c>
      <c r="C1301" s="26" t="s">
        <v>98</v>
      </c>
      <c r="D1301" s="6">
        <v>27</v>
      </c>
      <c r="E1301" s="40" t="s">
        <v>83</v>
      </c>
      <c r="F1301" s="6">
        <v>27</v>
      </c>
      <c r="N1301" s="115">
        <v>1.27599243856333E-2</v>
      </c>
      <c r="O1301" s="115">
        <v>1.27599243856333E-2</v>
      </c>
      <c r="P1301" s="116" t="s">
        <v>83</v>
      </c>
      <c r="Q1301" s="116" t="s">
        <v>83</v>
      </c>
      <c r="R1301" s="115">
        <v>0.08</v>
      </c>
      <c r="S1301" s="115">
        <v>1.43112701252236E-2</v>
      </c>
      <c r="T1301" s="115">
        <v>1.56521739130435E-2</v>
      </c>
      <c r="U1301" s="115">
        <v>7.7369439071566697E-3</v>
      </c>
      <c r="V1301" s="115">
        <v>9.0909090909090905E-3</v>
      </c>
      <c r="W1301" s="6">
        <v>2064</v>
      </c>
      <c r="X1301" s="40">
        <f t="shared" si="94"/>
        <v>2064</v>
      </c>
      <c r="Y1301" s="40">
        <f t="shared" si="95"/>
        <v>2064</v>
      </c>
      <c r="Z1301" s="59">
        <v>0.49180000000000001</v>
      </c>
      <c r="AA1301" s="59">
        <v>0.50819999999999999</v>
      </c>
      <c r="AB1301" s="61">
        <v>3.3914728682170542E-3</v>
      </c>
      <c r="AC1301" s="61">
        <v>4.8449612403100775E-3</v>
      </c>
      <c r="AD1301" s="61">
        <v>0.15697674418604651</v>
      </c>
      <c r="AE1301" s="61">
        <v>4.9418604651162788E-2</v>
      </c>
      <c r="AF1301" s="61">
        <v>4.8449612403100775E-4</v>
      </c>
      <c r="AG1301" s="61">
        <v>0.7669573643410853</v>
      </c>
      <c r="AH1301" s="61">
        <v>1.7926356589147287E-2</v>
      </c>
      <c r="AI1301" s="61">
        <v>0.23304263565891473</v>
      </c>
      <c r="AJ1301" s="59">
        <v>0.40460000000000002</v>
      </c>
      <c r="AK1301" s="59">
        <v>6.3E-3</v>
      </c>
      <c r="AL1301" s="3">
        <v>0</v>
      </c>
      <c r="AM1301" s="3">
        <v>0</v>
      </c>
      <c r="AN1301" s="3">
        <v>25</v>
      </c>
      <c r="AO1301" s="3">
        <v>537</v>
      </c>
      <c r="AP1301" s="3">
        <v>554</v>
      </c>
      <c r="AQ1301" s="3">
        <v>511</v>
      </c>
      <c r="AR1301" s="3">
        <v>437</v>
      </c>
      <c r="AS1301" s="59">
        <v>4.4483985765124558E-2</v>
      </c>
      <c r="AT1301" s="3">
        <v>9</v>
      </c>
      <c r="AU1301" s="3">
        <v>6</v>
      </c>
      <c r="AV1301" s="49">
        <v>38.128654970760202</v>
      </c>
      <c r="AW1301" s="49">
        <v>34.7368421052632</v>
      </c>
      <c r="AX1301" s="49">
        <v>23.976608187134499</v>
      </c>
      <c r="AY1301" s="67">
        <v>3.1578947368421102</v>
      </c>
      <c r="AZ1301" s="63">
        <v>0.105363075462743</v>
      </c>
      <c r="BA1301" s="63">
        <v>6.6445182724252497E-2</v>
      </c>
      <c r="BB1301" s="79">
        <v>94.6</v>
      </c>
      <c r="BC1301" s="79"/>
      <c r="BD1301" s="79"/>
      <c r="BE1301" s="79"/>
      <c r="BF1301" s="79"/>
      <c r="BG1301" s="79"/>
      <c r="BH1301" s="79"/>
      <c r="BI1301" s="79"/>
      <c r="BJ1301" s="3">
        <v>20.6</v>
      </c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26" t="s">
        <v>98</v>
      </c>
      <c r="CJ1301" s="18" t="s">
        <v>548</v>
      </c>
      <c r="CK1301" s="20"/>
    </row>
    <row r="1302" spans="1:89" x14ac:dyDescent="0.25">
      <c r="A1302" s="18" t="s">
        <v>548</v>
      </c>
      <c r="B1302" s="19" t="s">
        <v>95</v>
      </c>
      <c r="C1302" s="26" t="s">
        <v>99</v>
      </c>
      <c r="D1302" s="6">
        <v>40</v>
      </c>
      <c r="E1302" s="40" t="s">
        <v>83</v>
      </c>
      <c r="F1302" s="6">
        <v>40</v>
      </c>
      <c r="N1302" s="115">
        <v>1.6246953696181999E-2</v>
      </c>
      <c r="O1302" s="115">
        <v>1.6246953696181999E-2</v>
      </c>
      <c r="P1302" s="116" t="s">
        <v>83</v>
      </c>
      <c r="Q1302" s="116" t="s">
        <v>83</v>
      </c>
      <c r="R1302" s="115">
        <v>2.1276595744680899E-2</v>
      </c>
      <c r="S1302" s="115">
        <v>1.07692307692308E-2</v>
      </c>
      <c r="T1302" s="115">
        <v>2.69360269360269E-2</v>
      </c>
      <c r="U1302" s="115">
        <v>1.44E-2</v>
      </c>
      <c r="V1302" s="115">
        <v>1.2820512820512799E-2</v>
      </c>
      <c r="W1302" s="6">
        <v>2362</v>
      </c>
      <c r="X1302" s="40">
        <f t="shared" si="94"/>
        <v>2362</v>
      </c>
      <c r="Y1302" s="40">
        <f t="shared" si="95"/>
        <v>2362</v>
      </c>
      <c r="Z1302" s="59">
        <v>0.50719999999999998</v>
      </c>
      <c r="AA1302" s="59">
        <v>0.49280000000000002</v>
      </c>
      <c r="AB1302" s="61">
        <v>2.5402201524132089E-3</v>
      </c>
      <c r="AC1302" s="61">
        <v>3.3022861981371721E-2</v>
      </c>
      <c r="AD1302" s="61">
        <v>0.21210838272650295</v>
      </c>
      <c r="AE1302" s="61">
        <v>5.5884843353090602E-2</v>
      </c>
      <c r="AF1302" s="61">
        <v>4.2337002540220151E-4</v>
      </c>
      <c r="AG1302" s="61">
        <v>0.67696867061812027</v>
      </c>
      <c r="AH1302" s="61">
        <v>1.905165114309907E-2</v>
      </c>
      <c r="AI1302" s="61">
        <v>0.32303132938187978</v>
      </c>
      <c r="AJ1302" s="59">
        <v>0.30099999999999999</v>
      </c>
      <c r="AK1302" s="59">
        <v>1.0200000000000001E-2</v>
      </c>
      <c r="AL1302" s="3">
        <v>0</v>
      </c>
      <c r="AM1302" s="3">
        <v>0</v>
      </c>
      <c r="AN1302" s="3">
        <v>46</v>
      </c>
      <c r="AO1302" s="3">
        <v>611</v>
      </c>
      <c r="AP1302" s="3">
        <v>566</v>
      </c>
      <c r="AQ1302" s="3">
        <v>604</v>
      </c>
      <c r="AR1302" s="3">
        <v>535</v>
      </c>
      <c r="AS1302" s="59">
        <v>7.0015220700152203E-2</v>
      </c>
      <c r="AT1302" s="3">
        <v>9</v>
      </c>
      <c r="AU1302" s="3">
        <v>6</v>
      </c>
      <c r="AV1302" s="49">
        <v>41.324921135646704</v>
      </c>
      <c r="AW1302" s="49">
        <v>34.700315457413296</v>
      </c>
      <c r="AX1302" s="49">
        <v>22.923238696109401</v>
      </c>
      <c r="AY1302" s="67">
        <v>1.0515247108307</v>
      </c>
      <c r="AZ1302" s="63">
        <v>0.112797374897457</v>
      </c>
      <c r="BA1302" s="63">
        <v>3.19934372436423E-2</v>
      </c>
      <c r="BB1302" s="80">
        <v>95.1</v>
      </c>
      <c r="BC1302" s="80"/>
      <c r="BD1302" s="80"/>
      <c r="BE1302" s="80"/>
      <c r="BF1302" s="80"/>
      <c r="BG1302" s="80"/>
      <c r="BH1302" s="80"/>
      <c r="BI1302" s="80"/>
      <c r="BJ1302" s="3">
        <v>22.4</v>
      </c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26" t="s">
        <v>99</v>
      </c>
      <c r="CJ1302" s="18" t="s">
        <v>548</v>
      </c>
      <c r="CK1302" s="20"/>
    </row>
    <row r="1303" spans="1:89" x14ac:dyDescent="0.25">
      <c r="A1303" s="18" t="s">
        <v>548</v>
      </c>
      <c r="B1303" s="19" t="s">
        <v>100</v>
      </c>
      <c r="C1303" s="26" t="s">
        <v>101</v>
      </c>
      <c r="D1303" s="6">
        <v>4</v>
      </c>
      <c r="E1303" s="40" t="s">
        <v>83</v>
      </c>
      <c r="F1303" s="6">
        <v>4</v>
      </c>
      <c r="N1303" s="115">
        <v>3.9138943248532296E-3</v>
      </c>
      <c r="O1303" s="115">
        <v>3.9138943248532296E-3</v>
      </c>
      <c r="P1303" s="116" t="s">
        <v>83</v>
      </c>
      <c r="Q1303" s="116" t="s">
        <v>83</v>
      </c>
      <c r="R1303" s="119">
        <v>0</v>
      </c>
      <c r="S1303" s="115">
        <v>4.3859649122806998E-3</v>
      </c>
      <c r="T1303" s="119">
        <v>0</v>
      </c>
      <c r="U1303" s="119">
        <v>0</v>
      </c>
      <c r="V1303" s="115">
        <v>1.21457489878543E-2</v>
      </c>
      <c r="W1303" s="6">
        <v>957</v>
      </c>
      <c r="X1303" s="40">
        <f t="shared" si="94"/>
        <v>957</v>
      </c>
      <c r="Y1303" s="40">
        <f t="shared" si="95"/>
        <v>957</v>
      </c>
      <c r="Z1303" s="59">
        <v>0.50049999999999994</v>
      </c>
      <c r="AA1303" s="59">
        <v>0.4995</v>
      </c>
      <c r="AB1303" s="61">
        <v>4.1797283176593526E-3</v>
      </c>
      <c r="AC1303" s="61">
        <v>4.1797283176593526E-3</v>
      </c>
      <c r="AD1303" s="61">
        <v>0.41588296760710552</v>
      </c>
      <c r="AE1303" s="61">
        <v>2.4033437826541274E-2</v>
      </c>
      <c r="AF1303" s="61">
        <v>0</v>
      </c>
      <c r="AG1303" s="61">
        <v>0.54963427377220486</v>
      </c>
      <c r="AH1303" s="61">
        <v>2.0898641588296763E-3</v>
      </c>
      <c r="AI1303" s="61">
        <v>0.45036572622779519</v>
      </c>
      <c r="AJ1303" s="59">
        <v>0.67290000000000005</v>
      </c>
      <c r="AK1303" s="59">
        <v>9.4000000000000004E-3</v>
      </c>
      <c r="AL1303" s="3">
        <v>0</v>
      </c>
      <c r="AM1303" s="3">
        <v>0</v>
      </c>
      <c r="AN1303" s="3">
        <v>51</v>
      </c>
      <c r="AO1303" s="3">
        <v>199</v>
      </c>
      <c r="AP1303" s="3">
        <v>230</v>
      </c>
      <c r="AQ1303" s="3">
        <v>238</v>
      </c>
      <c r="AR1303" s="3">
        <v>239</v>
      </c>
      <c r="AS1303" s="59">
        <v>0.20399999999999999</v>
      </c>
      <c r="AT1303" s="3">
        <v>9</v>
      </c>
      <c r="AU1303" s="3">
        <v>6</v>
      </c>
      <c r="AV1303" s="49">
        <v>64.142538975501097</v>
      </c>
      <c r="AW1303" s="49">
        <v>27.6169265033408</v>
      </c>
      <c r="AX1303" s="49">
        <v>7.3496659242761702</v>
      </c>
      <c r="AY1303" s="67">
        <v>0.89086859688196007</v>
      </c>
      <c r="AZ1303" s="63">
        <v>0.106967615309127</v>
      </c>
      <c r="BA1303" s="63">
        <v>9.5191364082433796E-2</v>
      </c>
      <c r="BB1303" s="79">
        <v>92.3</v>
      </c>
      <c r="BC1303" s="79"/>
      <c r="BD1303" s="79"/>
      <c r="BE1303" s="79"/>
      <c r="BF1303" s="79"/>
      <c r="BG1303" s="79"/>
      <c r="BH1303" s="79"/>
      <c r="BI1303" s="79"/>
      <c r="BJ1303" s="3">
        <v>17.7</v>
      </c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26" t="s">
        <v>101</v>
      </c>
      <c r="CJ1303" s="18" t="s">
        <v>548</v>
      </c>
      <c r="CK1303" s="20"/>
    </row>
    <row r="1304" spans="1:89" x14ac:dyDescent="0.25">
      <c r="A1304" s="18" t="s">
        <v>548</v>
      </c>
      <c r="B1304" s="19" t="s">
        <v>102</v>
      </c>
      <c r="C1304" s="26" t="s">
        <v>490</v>
      </c>
      <c r="D1304" s="6">
        <v>4</v>
      </c>
      <c r="E1304" s="6">
        <v>0</v>
      </c>
      <c r="F1304" s="6">
        <v>4</v>
      </c>
      <c r="N1304" s="115">
        <v>5.9880239520958096E-3</v>
      </c>
      <c r="O1304" s="115">
        <v>8.8888888888888906E-3</v>
      </c>
      <c r="P1304" s="119">
        <v>0</v>
      </c>
      <c r="Q1304" s="119">
        <v>0</v>
      </c>
      <c r="R1304" s="119">
        <v>0</v>
      </c>
      <c r="S1304" s="119">
        <v>0</v>
      </c>
      <c r="T1304" s="119">
        <v>0</v>
      </c>
      <c r="U1304" s="115">
        <v>9.8039215686274508E-3</v>
      </c>
      <c r="V1304" s="115">
        <v>5.0847457627118599E-2</v>
      </c>
      <c r="W1304" s="6">
        <v>598</v>
      </c>
      <c r="X1304" s="40">
        <f t="shared" si="94"/>
        <v>404</v>
      </c>
      <c r="Y1304" s="40">
        <f t="shared" si="95"/>
        <v>598</v>
      </c>
      <c r="Z1304" s="59">
        <v>0.46489999999999998</v>
      </c>
      <c r="AA1304" s="59">
        <v>0.53510000000000002</v>
      </c>
      <c r="AB1304" s="61">
        <v>5.016722408026756E-3</v>
      </c>
      <c r="AC1304" s="61">
        <v>3.3444816053511705E-3</v>
      </c>
      <c r="AD1304" s="61">
        <v>0.55351170568561869</v>
      </c>
      <c r="AE1304" s="61">
        <v>2.1739130434782608E-2</v>
      </c>
      <c r="AF1304" s="61">
        <v>0</v>
      </c>
      <c r="AG1304" s="61">
        <v>0.41471571906354515</v>
      </c>
      <c r="AH1304" s="61">
        <v>1.6722408026755853E-3</v>
      </c>
      <c r="AI1304" s="61">
        <v>0.5852842809364549</v>
      </c>
      <c r="AJ1304" s="59">
        <v>0.78090000000000004</v>
      </c>
      <c r="AK1304" s="59">
        <v>6.7000000000000002E-3</v>
      </c>
      <c r="AL1304" s="3">
        <v>99</v>
      </c>
      <c r="AM1304" s="3">
        <v>95</v>
      </c>
      <c r="AN1304" s="3">
        <v>41</v>
      </c>
      <c r="AO1304" s="3">
        <v>119</v>
      </c>
      <c r="AP1304" s="3">
        <v>97</v>
      </c>
      <c r="AQ1304" s="3">
        <v>92</v>
      </c>
      <c r="AR1304" s="3">
        <v>55</v>
      </c>
      <c r="AS1304" s="59">
        <v>0.25624999999999998</v>
      </c>
      <c r="AT1304" s="3">
        <v>7</v>
      </c>
      <c r="AU1304" s="3">
        <v>6</v>
      </c>
      <c r="AV1304" s="49">
        <v>65.944272445820388</v>
      </c>
      <c r="AW1304" s="49">
        <v>6.5015479876161004</v>
      </c>
      <c r="AX1304" s="49">
        <v>23.219814241486102</v>
      </c>
      <c r="AY1304" s="67">
        <v>4.3343653250774006</v>
      </c>
      <c r="AZ1304" s="63">
        <v>0.26204819277108399</v>
      </c>
      <c r="BA1304" s="63">
        <v>0.40060240963855398</v>
      </c>
      <c r="BB1304" s="80">
        <v>90.9</v>
      </c>
      <c r="BC1304" s="80"/>
      <c r="BD1304" s="80"/>
      <c r="BE1304" s="80"/>
      <c r="BF1304" s="80"/>
      <c r="BG1304" s="80"/>
      <c r="BH1304" s="80"/>
      <c r="BI1304" s="80"/>
      <c r="BJ1304" s="3">
        <v>17.100000000000001</v>
      </c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26" t="s">
        <v>490</v>
      </c>
      <c r="CJ1304" s="18" t="s">
        <v>548</v>
      </c>
      <c r="CK1304" s="20"/>
    </row>
    <row r="1305" spans="1:89" x14ac:dyDescent="0.25">
      <c r="A1305" s="18" t="s">
        <v>548</v>
      </c>
      <c r="B1305" s="19" t="s">
        <v>102</v>
      </c>
      <c r="C1305" s="26" t="s">
        <v>104</v>
      </c>
      <c r="D1305" s="6">
        <v>13</v>
      </c>
      <c r="E1305" s="6">
        <v>0</v>
      </c>
      <c r="F1305" s="6">
        <v>13</v>
      </c>
      <c r="N1305" s="115">
        <v>1.6331658291457302E-2</v>
      </c>
      <c r="O1305" s="115">
        <v>2.4390243902439001E-2</v>
      </c>
      <c r="P1305" s="119">
        <v>0</v>
      </c>
      <c r="Q1305" s="119">
        <v>0</v>
      </c>
      <c r="R1305" s="119">
        <v>0</v>
      </c>
      <c r="S1305" s="115">
        <v>5.9523809523809503E-3</v>
      </c>
      <c r="T1305" s="119">
        <v>0</v>
      </c>
      <c r="U1305" s="115">
        <v>8.4033613445378096E-3</v>
      </c>
      <c r="V1305" s="115">
        <v>8.2706766917293201E-2</v>
      </c>
      <c r="W1305" s="6">
        <v>696</v>
      </c>
      <c r="X1305" s="40">
        <f t="shared" si="94"/>
        <v>477</v>
      </c>
      <c r="Y1305" s="40">
        <f t="shared" si="95"/>
        <v>696</v>
      </c>
      <c r="Z1305" s="59">
        <v>0.51149999999999995</v>
      </c>
      <c r="AA1305" s="59">
        <v>0.48849999999999999</v>
      </c>
      <c r="AB1305" s="61">
        <v>2.442528735632184E-2</v>
      </c>
      <c r="AC1305" s="61">
        <v>1.1494252873563218E-2</v>
      </c>
      <c r="AD1305" s="61">
        <v>0.50143678160919536</v>
      </c>
      <c r="AE1305" s="61">
        <v>7.1839080459770114E-3</v>
      </c>
      <c r="AF1305" s="61">
        <v>0</v>
      </c>
      <c r="AG1305" s="61">
        <v>0.43821839080459768</v>
      </c>
      <c r="AH1305" s="61">
        <v>1.7241379310344827E-2</v>
      </c>
      <c r="AI1305" s="61">
        <v>0.56178160919540232</v>
      </c>
      <c r="AJ1305" s="59">
        <v>0.8649</v>
      </c>
      <c r="AK1305" s="59">
        <v>1.29E-2</v>
      </c>
      <c r="AL1305" s="3">
        <v>99</v>
      </c>
      <c r="AM1305" s="3">
        <v>120</v>
      </c>
      <c r="AN1305" s="3">
        <v>37</v>
      </c>
      <c r="AO1305" s="3">
        <v>113</v>
      </c>
      <c r="AP1305" s="3">
        <v>100</v>
      </c>
      <c r="AQ1305" s="3">
        <v>106</v>
      </c>
      <c r="AR1305" s="3">
        <v>121</v>
      </c>
      <c r="AS1305" s="59">
        <v>0.24666666666666667</v>
      </c>
      <c r="AT1305" s="3">
        <v>7</v>
      </c>
      <c r="AU1305" s="3">
        <v>6</v>
      </c>
      <c r="AV1305" s="49">
        <v>52.982456140350898</v>
      </c>
      <c r="AW1305" s="49">
        <v>19.649122807017498</v>
      </c>
      <c r="AX1305" s="49">
        <v>24.5614035087719</v>
      </c>
      <c r="AY1305" s="67">
        <v>2.8070175438596499</v>
      </c>
      <c r="AZ1305" s="63">
        <v>0.18112244897959201</v>
      </c>
      <c r="BA1305" s="63">
        <v>0.27423469387755101</v>
      </c>
      <c r="BB1305" s="79">
        <v>90.9</v>
      </c>
      <c r="BC1305" s="79"/>
      <c r="BD1305" s="79"/>
      <c r="BE1305" s="79"/>
      <c r="BF1305" s="79"/>
      <c r="BG1305" s="79"/>
      <c r="BH1305" s="79"/>
      <c r="BI1305" s="79"/>
      <c r="BJ1305" s="3">
        <v>15.7</v>
      </c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26" t="s">
        <v>104</v>
      </c>
      <c r="CJ1305" s="18" t="s">
        <v>548</v>
      </c>
      <c r="CK1305" s="20"/>
    </row>
    <row r="1306" spans="1:89" x14ac:dyDescent="0.25">
      <c r="A1306" s="18" t="s">
        <v>548</v>
      </c>
      <c r="B1306" s="19" t="s">
        <v>102</v>
      </c>
      <c r="C1306" s="26" t="s">
        <v>105</v>
      </c>
      <c r="D1306" s="6">
        <v>0</v>
      </c>
      <c r="E1306" s="6">
        <v>0</v>
      </c>
      <c r="F1306" s="6">
        <v>0</v>
      </c>
      <c r="N1306" s="119">
        <v>0</v>
      </c>
      <c r="O1306" s="119">
        <v>0</v>
      </c>
      <c r="P1306" s="119">
        <v>0</v>
      </c>
      <c r="Q1306" s="119">
        <v>0</v>
      </c>
      <c r="R1306" s="119">
        <v>0</v>
      </c>
      <c r="S1306" s="119">
        <v>0</v>
      </c>
      <c r="T1306" s="119">
        <v>0</v>
      </c>
      <c r="U1306" s="119">
        <v>0</v>
      </c>
      <c r="V1306" s="119">
        <v>0</v>
      </c>
      <c r="W1306" s="6">
        <v>633</v>
      </c>
      <c r="X1306" s="40">
        <f t="shared" si="94"/>
        <v>398</v>
      </c>
      <c r="Y1306" s="40">
        <f t="shared" si="95"/>
        <v>633</v>
      </c>
      <c r="Z1306" s="59">
        <v>0.44390000000000002</v>
      </c>
      <c r="AA1306" s="59">
        <v>0.55610000000000004</v>
      </c>
      <c r="AB1306" s="61">
        <v>1.2638230647709321E-2</v>
      </c>
      <c r="AC1306" s="61">
        <v>0</v>
      </c>
      <c r="AD1306" s="61">
        <v>0.4755134281200632</v>
      </c>
      <c r="AE1306" s="61">
        <v>7.8988941548183249E-3</v>
      </c>
      <c r="AF1306" s="61">
        <v>0</v>
      </c>
      <c r="AG1306" s="61">
        <v>0.48499210110584517</v>
      </c>
      <c r="AH1306" s="61">
        <v>1.8957345971563982E-2</v>
      </c>
      <c r="AI1306" s="61">
        <v>0.51500789889415477</v>
      </c>
      <c r="AJ1306" s="59">
        <v>0.81669999999999998</v>
      </c>
      <c r="AK1306" s="59">
        <v>0</v>
      </c>
      <c r="AL1306" s="3">
        <v>103</v>
      </c>
      <c r="AM1306" s="3">
        <v>132</v>
      </c>
      <c r="AN1306" s="3">
        <v>61</v>
      </c>
      <c r="AO1306" s="3">
        <v>80</v>
      </c>
      <c r="AP1306" s="3">
        <v>97</v>
      </c>
      <c r="AQ1306" s="3">
        <v>79</v>
      </c>
      <c r="AR1306" s="3">
        <v>81</v>
      </c>
      <c r="AS1306" s="59">
        <v>0.43262411347517732</v>
      </c>
      <c r="AT1306" s="3">
        <v>7</v>
      </c>
      <c r="AU1306" s="3">
        <v>6</v>
      </c>
      <c r="AV1306" s="49">
        <v>60</v>
      </c>
      <c r="AW1306" s="49">
        <v>10.819672131147499</v>
      </c>
      <c r="AX1306" s="49">
        <v>22.9508196721311</v>
      </c>
      <c r="AY1306" s="67">
        <v>6.2295081967213104</v>
      </c>
      <c r="AZ1306" s="63">
        <v>0.36058394160583901</v>
      </c>
      <c r="BA1306" s="63">
        <v>0.41459854014598502</v>
      </c>
      <c r="BB1306" s="80">
        <v>91.4</v>
      </c>
      <c r="BC1306" s="80"/>
      <c r="BD1306" s="80"/>
      <c r="BE1306" s="80"/>
      <c r="BF1306" s="80"/>
      <c r="BG1306" s="80"/>
      <c r="BH1306" s="80"/>
      <c r="BI1306" s="80"/>
      <c r="BJ1306" s="3">
        <v>16.2</v>
      </c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26" t="s">
        <v>105</v>
      </c>
      <c r="CJ1306" s="18" t="s">
        <v>548</v>
      </c>
      <c r="CK1306" s="20"/>
    </row>
    <row r="1307" spans="1:89" x14ac:dyDescent="0.25">
      <c r="A1307" s="18" t="s">
        <v>548</v>
      </c>
      <c r="B1307" s="19" t="s">
        <v>102</v>
      </c>
      <c r="C1307" s="26" t="s">
        <v>106</v>
      </c>
      <c r="D1307" s="6">
        <v>2</v>
      </c>
      <c r="E1307" s="6">
        <v>1</v>
      </c>
      <c r="F1307" s="6">
        <v>1</v>
      </c>
      <c r="N1307" s="115">
        <v>4.6838407494145199E-3</v>
      </c>
      <c r="O1307" s="115">
        <v>3.7313432835820899E-3</v>
      </c>
      <c r="P1307" s="115">
        <v>1.2345679012345699E-2</v>
      </c>
      <c r="Q1307" s="119">
        <v>0</v>
      </c>
      <c r="R1307" s="116" t="s">
        <v>83</v>
      </c>
      <c r="S1307" s="119">
        <v>0</v>
      </c>
      <c r="T1307" s="119">
        <v>0</v>
      </c>
      <c r="U1307" s="115">
        <v>1.5151515151515201E-2</v>
      </c>
      <c r="V1307" s="119">
        <v>0</v>
      </c>
      <c r="W1307" s="6">
        <v>424</v>
      </c>
      <c r="X1307" s="40">
        <f t="shared" si="94"/>
        <v>267</v>
      </c>
      <c r="Y1307" s="40">
        <f t="shared" si="95"/>
        <v>424</v>
      </c>
      <c r="Z1307" s="59">
        <v>0.5071</v>
      </c>
      <c r="AA1307" s="59">
        <v>0.4929</v>
      </c>
      <c r="AB1307" s="61">
        <v>9.433962264150943E-3</v>
      </c>
      <c r="AC1307" s="61">
        <v>2.3584905660377358E-3</v>
      </c>
      <c r="AD1307" s="61">
        <v>0.33490566037735847</v>
      </c>
      <c r="AE1307" s="61">
        <v>1.4150943396226415E-2</v>
      </c>
      <c r="AF1307" s="61">
        <v>0</v>
      </c>
      <c r="AG1307" s="61">
        <v>0.62028301886792447</v>
      </c>
      <c r="AH1307" s="61">
        <v>1.8867924528301886E-2</v>
      </c>
      <c r="AI1307" s="61">
        <v>0.37971698113207547</v>
      </c>
      <c r="AJ1307" s="59">
        <v>0.53769999999999996</v>
      </c>
      <c r="AK1307" s="59">
        <v>0</v>
      </c>
      <c r="AL1307" s="3">
        <v>79</v>
      </c>
      <c r="AM1307" s="3">
        <v>78</v>
      </c>
      <c r="AN1307" s="3">
        <v>0</v>
      </c>
      <c r="AO1307" s="3">
        <v>77</v>
      </c>
      <c r="AP1307" s="3">
        <v>69</v>
      </c>
      <c r="AQ1307" s="3">
        <v>65</v>
      </c>
      <c r="AR1307" s="3">
        <v>56</v>
      </c>
      <c r="AS1307" s="59">
        <v>0</v>
      </c>
      <c r="AT1307" s="3">
        <v>7</v>
      </c>
      <c r="AU1307" s="3">
        <v>4</v>
      </c>
      <c r="AV1307" s="49">
        <v>53.012048192771097</v>
      </c>
      <c r="AW1307" s="49">
        <v>31.927710843373504</v>
      </c>
      <c r="AX1307" s="49">
        <v>15.060240963855401</v>
      </c>
      <c r="AY1307" s="67">
        <v>0</v>
      </c>
      <c r="AZ1307" s="63">
        <v>9.8360655737704902E-2</v>
      </c>
      <c r="BA1307" s="63">
        <v>0.149882903981265</v>
      </c>
      <c r="BB1307" s="79">
        <v>94.5</v>
      </c>
      <c r="BC1307" s="79"/>
      <c r="BD1307" s="79"/>
      <c r="BE1307" s="79"/>
      <c r="BF1307" s="79"/>
      <c r="BG1307" s="79"/>
      <c r="BH1307" s="79"/>
      <c r="BI1307" s="79"/>
      <c r="BJ1307" s="3">
        <v>19.600000000000001</v>
      </c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26" t="s">
        <v>106</v>
      </c>
      <c r="CJ1307" s="18" t="s">
        <v>548</v>
      </c>
      <c r="CK1307" s="20" t="s">
        <v>549</v>
      </c>
    </row>
    <row r="1308" spans="1:89" x14ac:dyDescent="0.25">
      <c r="A1308" s="18" t="s">
        <v>548</v>
      </c>
      <c r="B1308" s="19" t="s">
        <v>107</v>
      </c>
      <c r="C1308" s="26" t="s">
        <v>108</v>
      </c>
      <c r="D1308" s="6">
        <v>6</v>
      </c>
      <c r="E1308" s="40" t="s">
        <v>83</v>
      </c>
      <c r="F1308" s="6">
        <v>6</v>
      </c>
      <c r="N1308" s="115">
        <v>7.8226857887874791E-3</v>
      </c>
      <c r="O1308" s="115">
        <v>7.8226857887874791E-3</v>
      </c>
      <c r="P1308" s="116" t="s">
        <v>83</v>
      </c>
      <c r="Q1308" s="116" t="s">
        <v>83</v>
      </c>
      <c r="R1308" s="119">
        <v>0</v>
      </c>
      <c r="S1308" s="115">
        <v>4.78468899521531E-3</v>
      </c>
      <c r="T1308" s="115">
        <v>0.01</v>
      </c>
      <c r="U1308" s="115">
        <v>6.0606060606060597E-3</v>
      </c>
      <c r="V1308" s="115">
        <v>1.0638297872340399E-2</v>
      </c>
      <c r="W1308" s="6">
        <v>724</v>
      </c>
      <c r="X1308" s="40">
        <f t="shared" si="94"/>
        <v>724</v>
      </c>
      <c r="Y1308" s="40">
        <f t="shared" si="95"/>
        <v>724</v>
      </c>
      <c r="Z1308" s="59">
        <v>0.4834</v>
      </c>
      <c r="AA1308" s="59">
        <v>0.51659999999999995</v>
      </c>
      <c r="AB1308" s="61">
        <v>8.2872928176795577E-3</v>
      </c>
      <c r="AC1308" s="61">
        <v>1.3812154696132596E-2</v>
      </c>
      <c r="AD1308" s="61">
        <v>0.28453038674033149</v>
      </c>
      <c r="AE1308" s="61">
        <v>7.3204419889502756E-2</v>
      </c>
      <c r="AF1308" s="61">
        <v>1.3812154696132596E-3</v>
      </c>
      <c r="AG1308" s="61">
        <v>0.56491712707182318</v>
      </c>
      <c r="AH1308" s="61">
        <v>5.3867403314917128E-2</v>
      </c>
      <c r="AI1308" s="61">
        <v>0.43508287292817682</v>
      </c>
      <c r="AJ1308" s="59">
        <v>0.56220000000000003</v>
      </c>
      <c r="AK1308" s="59">
        <v>1.0999999999999999E-2</v>
      </c>
      <c r="AL1308" s="3">
        <v>0</v>
      </c>
      <c r="AM1308" s="3">
        <v>0</v>
      </c>
      <c r="AN1308" s="3">
        <v>4</v>
      </c>
      <c r="AO1308" s="3">
        <v>198</v>
      </c>
      <c r="AP1308" s="3">
        <v>187</v>
      </c>
      <c r="AQ1308" s="3">
        <v>157</v>
      </c>
      <c r="AR1308" s="3">
        <v>178</v>
      </c>
      <c r="AS1308" s="59">
        <v>1.9801980198019802E-2</v>
      </c>
      <c r="AT1308" s="3">
        <v>9</v>
      </c>
      <c r="AU1308" s="3">
        <v>6</v>
      </c>
      <c r="AV1308" s="49">
        <v>78.740157480314991</v>
      </c>
      <c r="AW1308" s="49">
        <v>13.188976377952798</v>
      </c>
      <c r="AX1308" s="49">
        <v>7.4803149606299204</v>
      </c>
      <c r="AY1308" s="67">
        <v>0.59055118110236204</v>
      </c>
      <c r="AZ1308" s="63">
        <v>0.27617801047120399</v>
      </c>
      <c r="BA1308" s="63">
        <v>0.17015706806282699</v>
      </c>
      <c r="BB1308" s="80">
        <v>93</v>
      </c>
      <c r="BC1308" s="80"/>
      <c r="BD1308" s="80"/>
      <c r="BE1308" s="80"/>
      <c r="BF1308" s="80"/>
      <c r="BG1308" s="80"/>
      <c r="BH1308" s="80"/>
      <c r="BI1308" s="80"/>
      <c r="BJ1308" s="3">
        <v>18.899999999999999</v>
      </c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26" t="s">
        <v>108</v>
      </c>
      <c r="CJ1308" s="18" t="s">
        <v>548</v>
      </c>
      <c r="CK1308" s="20"/>
    </row>
    <row r="1309" spans="1:89" x14ac:dyDescent="0.25">
      <c r="A1309" s="18" t="s">
        <v>548</v>
      </c>
      <c r="B1309" s="19" t="s">
        <v>107</v>
      </c>
      <c r="C1309" s="26" t="s">
        <v>109</v>
      </c>
      <c r="D1309" s="6">
        <v>0</v>
      </c>
      <c r="E1309" s="6">
        <v>0</v>
      </c>
      <c r="F1309" s="6">
        <v>0</v>
      </c>
      <c r="N1309" s="119">
        <v>0</v>
      </c>
      <c r="O1309" s="119">
        <v>0</v>
      </c>
      <c r="P1309" s="119">
        <v>0</v>
      </c>
      <c r="Q1309" s="119">
        <v>0</v>
      </c>
      <c r="R1309" s="116" t="s">
        <v>83</v>
      </c>
      <c r="S1309" s="119">
        <v>0</v>
      </c>
      <c r="T1309" s="119">
        <v>0</v>
      </c>
      <c r="U1309" s="119">
        <v>0</v>
      </c>
      <c r="V1309" s="119">
        <v>0</v>
      </c>
      <c r="W1309" s="6">
        <v>446</v>
      </c>
      <c r="X1309" s="40">
        <f t="shared" si="94"/>
        <v>242</v>
      </c>
      <c r="Y1309" s="40">
        <f t="shared" si="95"/>
        <v>380</v>
      </c>
      <c r="Z1309" s="59">
        <v>0.435</v>
      </c>
      <c r="AA1309" s="59">
        <v>0.56499999999999995</v>
      </c>
      <c r="AB1309" s="61">
        <v>4.4843049327354259E-3</v>
      </c>
      <c r="AC1309" s="61">
        <v>0</v>
      </c>
      <c r="AD1309" s="61">
        <v>2.242152466367713E-3</v>
      </c>
      <c r="AE1309" s="61">
        <v>1.5695067264573991E-2</v>
      </c>
      <c r="AF1309" s="61">
        <v>0</v>
      </c>
      <c r="AG1309" s="61">
        <v>0.93273542600896864</v>
      </c>
      <c r="AH1309" s="61">
        <v>4.4843049327354258E-2</v>
      </c>
      <c r="AI1309" s="61">
        <v>6.726457399103139E-2</v>
      </c>
      <c r="AJ1309" s="59">
        <v>0.58069999999999999</v>
      </c>
      <c r="AK1309" s="59">
        <v>2.2000000000000001E-3</v>
      </c>
      <c r="AL1309" s="3">
        <v>69</v>
      </c>
      <c r="AM1309" s="3">
        <v>69</v>
      </c>
      <c r="AN1309" s="3">
        <v>0</v>
      </c>
      <c r="AO1309" s="3">
        <v>58</v>
      </c>
      <c r="AP1309" s="3">
        <v>59</v>
      </c>
      <c r="AQ1309" s="3">
        <v>70</v>
      </c>
      <c r="AR1309" s="3">
        <v>55</v>
      </c>
      <c r="AS1309" s="59">
        <v>0</v>
      </c>
      <c r="AT1309" s="3">
        <v>6</v>
      </c>
      <c r="AU1309" s="3">
        <v>6</v>
      </c>
      <c r="AV1309" s="49">
        <v>80.864197530864203</v>
      </c>
      <c r="AW1309" s="49">
        <v>17.901234567901199</v>
      </c>
      <c r="AX1309" s="49">
        <v>1.2345679012345698</v>
      </c>
      <c r="AY1309" s="67">
        <v>0</v>
      </c>
      <c r="AZ1309" s="63">
        <v>0.164210526315789</v>
      </c>
      <c r="BA1309" s="63">
        <v>4.8421052631578899E-2</v>
      </c>
      <c r="BB1309" s="79">
        <v>93.7</v>
      </c>
      <c r="BC1309" s="79"/>
      <c r="BD1309" s="79"/>
      <c r="BE1309" s="79"/>
      <c r="BF1309" s="79"/>
      <c r="BG1309" s="79"/>
      <c r="BH1309" s="79"/>
      <c r="BI1309" s="79"/>
      <c r="BJ1309" s="3">
        <v>19.5</v>
      </c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26" t="s">
        <v>109</v>
      </c>
      <c r="CJ1309" s="18" t="s">
        <v>548</v>
      </c>
      <c r="CK1309" s="20"/>
    </row>
    <row r="1310" spans="1:89" x14ac:dyDescent="0.25">
      <c r="A1310" s="18" t="s">
        <v>548</v>
      </c>
      <c r="B1310" s="19" t="s">
        <v>107</v>
      </c>
      <c r="C1310" s="26" t="s">
        <v>110</v>
      </c>
      <c r="D1310" s="6">
        <v>0</v>
      </c>
      <c r="E1310" s="6">
        <v>0</v>
      </c>
      <c r="F1310" s="6">
        <v>0</v>
      </c>
      <c r="N1310" s="119">
        <v>0</v>
      </c>
      <c r="O1310" s="119">
        <v>0</v>
      </c>
      <c r="P1310" s="119">
        <v>0</v>
      </c>
      <c r="Q1310" s="119">
        <v>0</v>
      </c>
      <c r="R1310" s="116" t="s">
        <v>83</v>
      </c>
      <c r="S1310" s="119">
        <v>0</v>
      </c>
      <c r="T1310" s="119">
        <v>0</v>
      </c>
      <c r="U1310" s="119">
        <v>0</v>
      </c>
      <c r="V1310" s="119">
        <v>0</v>
      </c>
      <c r="W1310" s="6">
        <v>505</v>
      </c>
      <c r="X1310" s="40">
        <f t="shared" si="94"/>
        <v>153</v>
      </c>
      <c r="Y1310" s="40">
        <f t="shared" si="95"/>
        <v>234</v>
      </c>
      <c r="Z1310" s="59">
        <v>0.497</v>
      </c>
      <c r="AA1310" s="59">
        <v>0.503</v>
      </c>
      <c r="AB1310" s="61">
        <v>7.9207920792079209E-3</v>
      </c>
      <c r="AC1310" s="61">
        <v>1.9801980198019802E-3</v>
      </c>
      <c r="AD1310" s="61">
        <v>7.5247524752475245E-2</v>
      </c>
      <c r="AE1310" s="61">
        <v>2.5742574257425741E-2</v>
      </c>
      <c r="AF1310" s="61">
        <v>0</v>
      </c>
      <c r="AG1310" s="61">
        <v>0.83960396039603957</v>
      </c>
      <c r="AH1310" s="61">
        <v>4.9504950495049507E-2</v>
      </c>
      <c r="AI1310" s="61">
        <v>0.1603960396039604</v>
      </c>
      <c r="AJ1310" s="59">
        <v>0.59009999999999996</v>
      </c>
      <c r="AK1310" s="59">
        <v>0</v>
      </c>
      <c r="AL1310" s="3">
        <v>43</v>
      </c>
      <c r="AM1310" s="3">
        <v>38</v>
      </c>
      <c r="AN1310" s="3">
        <v>0</v>
      </c>
      <c r="AO1310" s="3">
        <v>39</v>
      </c>
      <c r="AP1310" s="3">
        <v>45</v>
      </c>
      <c r="AQ1310" s="3">
        <v>29</v>
      </c>
      <c r="AR1310" s="3">
        <v>40</v>
      </c>
      <c r="AS1310" s="59">
        <v>0</v>
      </c>
      <c r="AT1310" s="3">
        <v>1</v>
      </c>
      <c r="AU1310" s="3">
        <v>6</v>
      </c>
      <c r="AV1310" s="49">
        <v>83.695652173913004</v>
      </c>
      <c r="AW1310" s="49">
        <v>14.130434782608701</v>
      </c>
      <c r="AX1310" s="49">
        <v>2.1739130434782603</v>
      </c>
      <c r="AY1310" s="67">
        <v>0</v>
      </c>
      <c r="AZ1310" s="63">
        <v>0.16964285714285701</v>
      </c>
      <c r="BA1310" s="63">
        <v>6.4285714285714293E-2</v>
      </c>
      <c r="BB1310" s="80">
        <v>93.3</v>
      </c>
      <c r="BC1310" s="80"/>
      <c r="BD1310" s="80"/>
      <c r="BE1310" s="80"/>
      <c r="BF1310" s="80"/>
      <c r="BG1310" s="80"/>
      <c r="BH1310" s="80"/>
      <c r="BI1310" s="80"/>
      <c r="BJ1310" s="3">
        <v>17.899999999999999</v>
      </c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26" t="s">
        <v>110</v>
      </c>
      <c r="CJ1310" s="18" t="s">
        <v>548</v>
      </c>
      <c r="CK1310" s="20"/>
    </row>
    <row r="1311" spans="1:89" x14ac:dyDescent="0.25">
      <c r="A1311" s="18" t="s">
        <v>548</v>
      </c>
      <c r="B1311" s="19" t="s">
        <v>107</v>
      </c>
      <c r="C1311" s="26" t="s">
        <v>111</v>
      </c>
      <c r="D1311" s="6">
        <v>11</v>
      </c>
      <c r="E1311" s="6">
        <v>0</v>
      </c>
      <c r="F1311" s="6">
        <v>11</v>
      </c>
      <c r="N1311" s="115">
        <v>5.8201058201058198E-2</v>
      </c>
      <c r="O1311" s="115">
        <v>8.7301587301587297E-2</v>
      </c>
      <c r="P1311" s="119">
        <v>0</v>
      </c>
      <c r="Q1311" s="119">
        <v>0</v>
      </c>
      <c r="R1311" s="116" t="s">
        <v>83</v>
      </c>
      <c r="S1311" s="115">
        <v>3.3333333333333298E-2</v>
      </c>
      <c r="T1311" s="115">
        <v>9.6774193548387094E-2</v>
      </c>
      <c r="U1311" s="115">
        <v>0.2</v>
      </c>
      <c r="V1311" s="115">
        <v>0.05</v>
      </c>
      <c r="W1311" s="6">
        <v>342</v>
      </c>
      <c r="X1311" s="40">
        <f t="shared" si="94"/>
        <v>111</v>
      </c>
      <c r="Y1311" s="40">
        <f t="shared" si="95"/>
        <v>165</v>
      </c>
      <c r="Z1311" s="59">
        <v>0.45910000000000001</v>
      </c>
      <c r="AA1311" s="59">
        <v>0.54090000000000005</v>
      </c>
      <c r="AB1311" s="61">
        <v>5.8479532163742687E-3</v>
      </c>
      <c r="AC1311" s="61">
        <v>0</v>
      </c>
      <c r="AD1311" s="61">
        <v>4.0935672514619881E-2</v>
      </c>
      <c r="AE1311" s="61">
        <v>2.6315789473684209E-2</v>
      </c>
      <c r="AF1311" s="61">
        <v>0</v>
      </c>
      <c r="AG1311" s="61">
        <v>0.90058479532163738</v>
      </c>
      <c r="AH1311" s="61">
        <v>2.6315789473684209E-2</v>
      </c>
      <c r="AI1311" s="61">
        <v>9.9415204678362568E-2</v>
      </c>
      <c r="AJ1311" s="59">
        <v>0.75439999999999996</v>
      </c>
      <c r="AK1311" s="59">
        <v>0</v>
      </c>
      <c r="AL1311" s="3">
        <v>31</v>
      </c>
      <c r="AM1311" s="3">
        <v>23</v>
      </c>
      <c r="AN1311" s="3">
        <v>0</v>
      </c>
      <c r="AO1311" s="3">
        <v>23</v>
      </c>
      <c r="AP1311" s="3">
        <v>28</v>
      </c>
      <c r="AQ1311" s="3">
        <v>24</v>
      </c>
      <c r="AR1311" s="3">
        <v>36</v>
      </c>
      <c r="AS1311" s="59">
        <v>0</v>
      </c>
      <c r="AT1311" s="3">
        <v>1</v>
      </c>
      <c r="AU1311" s="3">
        <v>6</v>
      </c>
      <c r="AV1311" s="49">
        <v>87.218045112781994</v>
      </c>
      <c r="AW1311" s="49">
        <v>10.150375939849599</v>
      </c>
      <c r="AX1311" s="49">
        <v>2.6315789473684199</v>
      </c>
      <c r="AY1311" s="67">
        <v>0</v>
      </c>
      <c r="AZ1311" s="63">
        <v>0.14728682170542601</v>
      </c>
      <c r="BA1311" s="63">
        <v>0.11111111111111099</v>
      </c>
      <c r="BB1311" s="79">
        <v>92.7</v>
      </c>
      <c r="BC1311" s="79"/>
      <c r="BD1311" s="79"/>
      <c r="BE1311" s="79"/>
      <c r="BF1311" s="79"/>
      <c r="BG1311" s="79"/>
      <c r="BH1311" s="79"/>
      <c r="BI1311" s="79"/>
      <c r="BJ1311" s="3">
        <v>17.100000000000001</v>
      </c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26" t="s">
        <v>111</v>
      </c>
      <c r="CJ1311" s="18" t="s">
        <v>548</v>
      </c>
      <c r="CK1311" s="20"/>
    </row>
    <row r="1312" spans="1:89" x14ac:dyDescent="0.25">
      <c r="A1312" s="18" t="s">
        <v>548</v>
      </c>
      <c r="B1312" s="19" t="s">
        <v>107</v>
      </c>
      <c r="C1312" s="26" t="s">
        <v>112</v>
      </c>
      <c r="D1312" s="6">
        <v>0</v>
      </c>
      <c r="E1312" s="6">
        <v>0</v>
      </c>
      <c r="F1312" s="6">
        <v>0</v>
      </c>
      <c r="N1312" s="119">
        <v>0</v>
      </c>
      <c r="O1312" s="119">
        <v>0</v>
      </c>
      <c r="P1312" s="119">
        <v>0</v>
      </c>
      <c r="Q1312" s="119">
        <v>0</v>
      </c>
      <c r="R1312" s="119">
        <v>0</v>
      </c>
      <c r="S1312" s="119">
        <v>0</v>
      </c>
      <c r="T1312" s="119">
        <v>0</v>
      </c>
      <c r="U1312" s="119">
        <v>0</v>
      </c>
      <c r="V1312" s="119">
        <v>0</v>
      </c>
      <c r="W1312" s="6">
        <v>727</v>
      </c>
      <c r="X1312" s="40">
        <f t="shared" si="94"/>
        <v>478</v>
      </c>
      <c r="Y1312" s="40">
        <f t="shared" si="95"/>
        <v>727</v>
      </c>
      <c r="Z1312" s="59">
        <v>0.4869</v>
      </c>
      <c r="AA1312" s="59">
        <v>0.5131</v>
      </c>
      <c r="AB1312" s="61">
        <v>6.8775790921595595E-3</v>
      </c>
      <c r="AC1312" s="61">
        <v>0</v>
      </c>
      <c r="AD1312" s="61">
        <v>2.4759284731774415E-2</v>
      </c>
      <c r="AE1312" s="61">
        <v>2.4759284731774415E-2</v>
      </c>
      <c r="AF1312" s="61">
        <v>0</v>
      </c>
      <c r="AG1312" s="61">
        <v>0.92022008253094911</v>
      </c>
      <c r="AH1312" s="61">
        <v>2.3383768913342505E-2</v>
      </c>
      <c r="AI1312" s="61">
        <v>7.9779917469050887E-2</v>
      </c>
      <c r="AJ1312" s="59">
        <v>0.45119999999999999</v>
      </c>
      <c r="AK1312" s="59">
        <v>0</v>
      </c>
      <c r="AL1312" s="3">
        <v>123</v>
      </c>
      <c r="AM1312" s="3">
        <v>126</v>
      </c>
      <c r="AN1312" s="3">
        <v>4</v>
      </c>
      <c r="AO1312" s="3">
        <v>106</v>
      </c>
      <c r="AP1312" s="3">
        <v>139</v>
      </c>
      <c r="AQ1312" s="3">
        <v>114</v>
      </c>
      <c r="AR1312" s="3">
        <v>115</v>
      </c>
      <c r="AS1312" s="59">
        <v>3.6363636363636362E-2</v>
      </c>
      <c r="AT1312" s="3">
        <v>7</v>
      </c>
      <c r="AU1312" s="3">
        <v>6</v>
      </c>
      <c r="AV1312" s="49">
        <v>69.135802469135797</v>
      </c>
      <c r="AW1312" s="49">
        <v>17.530864197530899</v>
      </c>
      <c r="AX1312" s="49">
        <v>12.3456790123457</v>
      </c>
      <c r="AY1312" s="67">
        <v>0.98765432098765393</v>
      </c>
      <c r="AZ1312" s="63">
        <v>8.3003952569169995E-2</v>
      </c>
      <c r="BA1312" s="63">
        <v>4.7430830039525702E-2</v>
      </c>
      <c r="BB1312" s="80">
        <v>94.7</v>
      </c>
      <c r="BC1312" s="80"/>
      <c r="BD1312" s="80"/>
      <c r="BE1312" s="80"/>
      <c r="BF1312" s="80"/>
      <c r="BG1312" s="80"/>
      <c r="BH1312" s="80"/>
      <c r="BI1312" s="80"/>
      <c r="BJ1312" s="3">
        <v>19.7</v>
      </c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26" t="s">
        <v>112</v>
      </c>
      <c r="CJ1312" s="18" t="s">
        <v>548</v>
      </c>
      <c r="CK1312" s="20"/>
    </row>
    <row r="1313" spans="1:99" x14ac:dyDescent="0.25">
      <c r="A1313" s="18" t="s">
        <v>548</v>
      </c>
      <c r="B1313" s="19" t="s">
        <v>113</v>
      </c>
      <c r="C1313" s="26" t="s">
        <v>114</v>
      </c>
      <c r="D1313" s="6">
        <v>1</v>
      </c>
      <c r="E1313" s="6">
        <v>0</v>
      </c>
      <c r="F1313" s="6">
        <v>1</v>
      </c>
      <c r="N1313" s="115">
        <v>3.9525691699604697E-3</v>
      </c>
      <c r="O1313" s="115">
        <v>6.2111801242236003E-3</v>
      </c>
      <c r="P1313" s="119">
        <v>0</v>
      </c>
      <c r="Q1313" s="119">
        <v>0</v>
      </c>
      <c r="R1313" s="119">
        <v>0</v>
      </c>
      <c r="S1313" s="119">
        <v>0</v>
      </c>
      <c r="T1313" s="115">
        <v>2.5641025641025599E-2</v>
      </c>
      <c r="U1313" s="119">
        <v>0</v>
      </c>
      <c r="V1313" s="119">
        <v>0</v>
      </c>
      <c r="W1313" s="6">
        <v>281</v>
      </c>
      <c r="X1313" s="40">
        <f t="shared" si="94"/>
        <v>154</v>
      </c>
      <c r="Y1313" s="40">
        <f t="shared" si="95"/>
        <v>232</v>
      </c>
      <c r="Z1313" s="59">
        <v>0.49469999999999997</v>
      </c>
      <c r="AA1313" s="59">
        <v>0.50529999999999997</v>
      </c>
      <c r="AB1313" s="61">
        <v>0</v>
      </c>
      <c r="AC1313" s="61">
        <v>0</v>
      </c>
      <c r="AD1313" s="61">
        <v>0.94661921708185048</v>
      </c>
      <c r="AE1313" s="61">
        <v>7.1174377224199285E-3</v>
      </c>
      <c r="AF1313" s="61">
        <v>0</v>
      </c>
      <c r="AG1313" s="61">
        <v>4.6263345195729534E-2</v>
      </c>
      <c r="AH1313" s="61">
        <v>0</v>
      </c>
      <c r="AI1313" s="61">
        <v>0.9537366548042705</v>
      </c>
      <c r="AJ1313" s="59">
        <v>0.89319999999999999</v>
      </c>
      <c r="AK1313" s="59">
        <v>3.5999999999999999E-3</v>
      </c>
      <c r="AL1313" s="3">
        <v>39</v>
      </c>
      <c r="AM1313" s="3">
        <v>39</v>
      </c>
      <c r="AN1313" s="3">
        <v>6</v>
      </c>
      <c r="AO1313" s="3">
        <v>35</v>
      </c>
      <c r="AP1313" s="3">
        <v>37</v>
      </c>
      <c r="AQ1313" s="3">
        <v>39</v>
      </c>
      <c r="AR1313" s="3">
        <v>37</v>
      </c>
      <c r="AS1313" s="59">
        <v>0.14634146341463414</v>
      </c>
      <c r="AT1313" s="3">
        <v>6</v>
      </c>
      <c r="AU1313" s="3">
        <v>6</v>
      </c>
      <c r="AV1313" s="49">
        <v>92.814371257484993</v>
      </c>
      <c r="AW1313" s="49">
        <v>3.59281437125748</v>
      </c>
      <c r="AX1313" s="49">
        <v>1.79640718562874</v>
      </c>
      <c r="AY1313" s="67">
        <v>1.79640718562874</v>
      </c>
      <c r="AZ1313" s="63">
        <v>7.4433656957928807E-2</v>
      </c>
      <c r="BA1313" s="63">
        <v>0.168284789644013</v>
      </c>
      <c r="BB1313" s="79">
        <v>95.4</v>
      </c>
      <c r="BC1313" s="79"/>
      <c r="BD1313" s="79"/>
      <c r="BE1313" s="79"/>
      <c r="BF1313" s="79"/>
      <c r="BG1313" s="79"/>
      <c r="BH1313" s="79"/>
      <c r="BI1313" s="79"/>
      <c r="BJ1313" s="3">
        <v>17.100000000000001</v>
      </c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26" t="s">
        <v>114</v>
      </c>
      <c r="CJ1313" s="18" t="s">
        <v>548</v>
      </c>
      <c r="CK1313" s="20"/>
    </row>
    <row r="1314" spans="1:99" x14ac:dyDescent="0.25">
      <c r="A1314" s="18" t="s">
        <v>548</v>
      </c>
      <c r="B1314" s="19" t="s">
        <v>113</v>
      </c>
      <c r="C1314" s="26" t="s">
        <v>115</v>
      </c>
      <c r="D1314" s="6">
        <v>0</v>
      </c>
      <c r="E1314" s="6">
        <v>0</v>
      </c>
      <c r="F1314" s="6">
        <v>0</v>
      </c>
      <c r="N1314" s="119">
        <v>0</v>
      </c>
      <c r="O1314" s="119">
        <v>0</v>
      </c>
      <c r="P1314" s="119">
        <v>0</v>
      </c>
      <c r="Q1314" s="116" t="s">
        <v>83</v>
      </c>
      <c r="R1314" s="116" t="s">
        <v>83</v>
      </c>
      <c r="S1314" s="116" t="s">
        <v>83</v>
      </c>
      <c r="T1314" s="116" t="s">
        <v>83</v>
      </c>
      <c r="U1314" s="119">
        <v>0</v>
      </c>
      <c r="V1314" s="119">
        <v>0</v>
      </c>
      <c r="W1314" s="6">
        <v>25</v>
      </c>
      <c r="X1314" s="40">
        <f t="shared" si="94"/>
        <v>5</v>
      </c>
      <c r="Y1314" s="40">
        <f t="shared" si="95"/>
        <v>6</v>
      </c>
      <c r="Z1314" s="59">
        <v>0.4</v>
      </c>
      <c r="AA1314" s="59">
        <v>0.6</v>
      </c>
      <c r="AB1314" s="61">
        <v>0</v>
      </c>
      <c r="AC1314" s="61">
        <v>0</v>
      </c>
      <c r="AD1314" s="61">
        <v>0.64</v>
      </c>
      <c r="AE1314" s="61">
        <v>0</v>
      </c>
      <c r="AF1314" s="61">
        <v>0</v>
      </c>
      <c r="AG1314" s="61">
        <v>0.36</v>
      </c>
      <c r="AH1314" s="61">
        <v>0</v>
      </c>
      <c r="AI1314" s="61">
        <v>0.64</v>
      </c>
      <c r="AJ1314" s="59">
        <v>0.96</v>
      </c>
      <c r="AK1314" s="59">
        <v>0</v>
      </c>
      <c r="AL1314" s="3">
        <v>1</v>
      </c>
      <c r="AM1314" s="3">
        <v>0</v>
      </c>
      <c r="AN1314" s="3">
        <v>0</v>
      </c>
      <c r="AO1314" s="3">
        <v>0</v>
      </c>
      <c r="AP1314" s="3">
        <v>0</v>
      </c>
      <c r="AQ1314" s="3">
        <v>1</v>
      </c>
      <c r="AR1314" s="3">
        <v>4</v>
      </c>
      <c r="AS1314" s="59" t="s">
        <v>83</v>
      </c>
      <c r="AT1314" s="3">
        <v>1</v>
      </c>
      <c r="AU1314" s="3">
        <v>6</v>
      </c>
      <c r="AV1314" s="49">
        <v>100</v>
      </c>
      <c r="AW1314" s="49">
        <v>0</v>
      </c>
      <c r="AX1314" s="49">
        <v>0</v>
      </c>
      <c r="AY1314" s="67">
        <v>0</v>
      </c>
      <c r="AZ1314" s="63">
        <v>0</v>
      </c>
      <c r="BA1314" s="63">
        <v>3.3333333333333298E-2</v>
      </c>
      <c r="BB1314" s="80">
        <v>87</v>
      </c>
      <c r="BC1314" s="80"/>
      <c r="BD1314" s="80"/>
      <c r="BE1314" s="80"/>
      <c r="BF1314" s="80"/>
      <c r="BG1314" s="80"/>
      <c r="BH1314" s="80"/>
      <c r="BI1314" s="80"/>
      <c r="BJ1314" s="80"/>
      <c r="BK1314" s="80"/>
      <c r="BL1314" s="80"/>
      <c r="BM1314" s="80"/>
      <c r="BN1314" s="80"/>
      <c r="BO1314" s="80"/>
      <c r="BP1314" s="80"/>
      <c r="BQ1314" s="80"/>
      <c r="BR1314" s="80"/>
      <c r="BS1314" s="80"/>
      <c r="BT1314" s="80"/>
      <c r="BU1314" s="80"/>
      <c r="BV1314" s="80"/>
      <c r="BW1314" s="80"/>
      <c r="BX1314" s="80"/>
      <c r="BY1314" s="80"/>
      <c r="BZ1314" s="80"/>
      <c r="CA1314" s="80"/>
      <c r="CB1314" s="80"/>
      <c r="CC1314" s="80"/>
      <c r="CD1314" s="80"/>
      <c r="CE1314" s="80"/>
      <c r="CF1314" s="80"/>
      <c r="CG1314" s="80"/>
      <c r="CH1314" s="80"/>
      <c r="CI1314" s="26" t="s">
        <v>115</v>
      </c>
      <c r="CJ1314" s="18" t="s">
        <v>548</v>
      </c>
      <c r="CK1314" s="20"/>
    </row>
    <row r="1315" spans="1:99" x14ac:dyDescent="0.25">
      <c r="A1315" s="18" t="s">
        <v>548</v>
      </c>
      <c r="B1315" s="19" t="s">
        <v>113</v>
      </c>
      <c r="C1315" s="26" t="s">
        <v>116</v>
      </c>
      <c r="D1315" s="6">
        <v>1</v>
      </c>
      <c r="E1315" s="6">
        <v>1</v>
      </c>
      <c r="F1315" s="6">
        <v>0</v>
      </c>
      <c r="N1315" s="115">
        <v>4.0160642570281103E-3</v>
      </c>
      <c r="O1315" s="119">
        <v>0</v>
      </c>
      <c r="P1315" s="115">
        <v>2.1276595744680899E-2</v>
      </c>
      <c r="Q1315" s="119">
        <v>0</v>
      </c>
      <c r="R1315" s="116" t="s">
        <v>83</v>
      </c>
      <c r="S1315" s="119">
        <v>0</v>
      </c>
      <c r="T1315" s="119">
        <v>0</v>
      </c>
      <c r="U1315" s="119">
        <v>0</v>
      </c>
      <c r="V1315" s="119">
        <v>0</v>
      </c>
      <c r="W1315" s="6">
        <v>569</v>
      </c>
      <c r="X1315" s="40">
        <f t="shared" si="94"/>
        <v>158</v>
      </c>
      <c r="Y1315" s="40">
        <f t="shared" si="95"/>
        <v>234</v>
      </c>
      <c r="Z1315" s="59">
        <v>0.51849999999999996</v>
      </c>
      <c r="AA1315" s="59">
        <v>0.48149999999999998</v>
      </c>
      <c r="AB1315" s="61">
        <v>1.7574692442882249E-3</v>
      </c>
      <c r="AC1315" s="61">
        <v>3.5149384885764497E-3</v>
      </c>
      <c r="AD1315" s="61">
        <v>6.1511423550087874E-2</v>
      </c>
      <c r="AE1315" s="61">
        <v>1.7574692442882249E-3</v>
      </c>
      <c r="AF1315" s="61">
        <v>0</v>
      </c>
      <c r="AG1315" s="61">
        <v>0.9086115992970123</v>
      </c>
      <c r="AH1315" s="61">
        <v>2.2847100175746926E-2</v>
      </c>
      <c r="AI1315" s="61">
        <v>9.1388400702987704E-2</v>
      </c>
      <c r="AJ1315" s="59">
        <v>0.58350000000000002</v>
      </c>
      <c r="AK1315" s="59">
        <v>0</v>
      </c>
      <c r="AL1315" s="3">
        <v>43</v>
      </c>
      <c r="AM1315" s="3">
        <v>33</v>
      </c>
      <c r="AN1315" s="3">
        <v>0</v>
      </c>
      <c r="AO1315" s="3">
        <v>42</v>
      </c>
      <c r="AP1315" s="3">
        <v>35</v>
      </c>
      <c r="AQ1315" s="3">
        <v>39</v>
      </c>
      <c r="AR1315" s="3">
        <v>42</v>
      </c>
      <c r="AS1315" s="59">
        <v>0</v>
      </c>
      <c r="AT1315" s="3">
        <v>1</v>
      </c>
      <c r="AU1315" s="3">
        <v>6</v>
      </c>
      <c r="AV1315" s="49">
        <v>84.935897435897402</v>
      </c>
      <c r="AW1315" s="49">
        <v>13.461538461538499</v>
      </c>
      <c r="AX1315" s="49">
        <v>0.9615384615384619</v>
      </c>
      <c r="AY1315" s="67">
        <v>0.64102564102564097</v>
      </c>
      <c r="AZ1315" s="63">
        <v>1.29659643435981E-2</v>
      </c>
      <c r="BA1315" s="63">
        <v>8.5899513776337102E-2</v>
      </c>
      <c r="BB1315" s="79">
        <v>93.4</v>
      </c>
      <c r="BC1315" s="79"/>
      <c r="BD1315" s="79"/>
      <c r="BE1315" s="79"/>
      <c r="BF1315" s="79"/>
      <c r="BG1315" s="79"/>
      <c r="BH1315" s="79"/>
      <c r="BI1315" s="79"/>
      <c r="BJ1315" s="3">
        <v>19.899999999999999</v>
      </c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26" t="s">
        <v>116</v>
      </c>
      <c r="CJ1315" s="18" t="s">
        <v>548</v>
      </c>
      <c r="CK1315" s="20"/>
    </row>
    <row r="1316" spans="1:99" x14ac:dyDescent="0.25">
      <c r="A1316" s="18" t="s">
        <v>548</v>
      </c>
      <c r="B1316" s="19" t="s">
        <v>113</v>
      </c>
      <c r="C1316" s="26" t="s">
        <v>117</v>
      </c>
      <c r="D1316" s="6">
        <v>1</v>
      </c>
      <c r="E1316" s="6">
        <v>0</v>
      </c>
      <c r="F1316" s="6">
        <v>1</v>
      </c>
      <c r="N1316" s="115">
        <v>1.20481927710843E-2</v>
      </c>
      <c r="O1316" s="115">
        <v>1.72413793103448E-2</v>
      </c>
      <c r="P1316" s="119">
        <v>0</v>
      </c>
      <c r="Q1316" s="119">
        <v>0</v>
      </c>
      <c r="R1316" s="116" t="s">
        <v>83</v>
      </c>
      <c r="S1316" s="119">
        <v>0</v>
      </c>
      <c r="T1316" s="119">
        <v>0</v>
      </c>
      <c r="U1316" s="119">
        <v>0</v>
      </c>
      <c r="V1316" s="115">
        <v>0.11111111111111099</v>
      </c>
      <c r="W1316" s="6">
        <v>159</v>
      </c>
      <c r="X1316" s="40">
        <f t="shared" si="94"/>
        <v>50</v>
      </c>
      <c r="Y1316" s="40">
        <f t="shared" si="95"/>
        <v>72</v>
      </c>
      <c r="Z1316" s="59">
        <v>0.45910000000000001</v>
      </c>
      <c r="AA1316" s="59">
        <v>0.54090000000000005</v>
      </c>
      <c r="AB1316" s="61">
        <v>0</v>
      </c>
      <c r="AC1316" s="61">
        <v>0</v>
      </c>
      <c r="AD1316" s="61">
        <v>0.86163522012578619</v>
      </c>
      <c r="AE1316" s="61">
        <v>1.2578616352201259E-2</v>
      </c>
      <c r="AF1316" s="61">
        <v>0</v>
      </c>
      <c r="AG1316" s="61">
        <v>8.1761006289308172E-2</v>
      </c>
      <c r="AH1316" s="61">
        <v>4.40251572327044E-2</v>
      </c>
      <c r="AI1316" s="61">
        <v>0.91823899371069184</v>
      </c>
      <c r="AJ1316" s="59">
        <v>0.84909999999999997</v>
      </c>
      <c r="AK1316" s="59">
        <v>6.3E-3</v>
      </c>
      <c r="AL1316" s="3">
        <v>8</v>
      </c>
      <c r="AM1316" s="3">
        <v>14</v>
      </c>
      <c r="AN1316" s="3">
        <v>0</v>
      </c>
      <c r="AO1316" s="3">
        <v>25</v>
      </c>
      <c r="AP1316" s="3">
        <v>8</v>
      </c>
      <c r="AQ1316" s="3">
        <v>8</v>
      </c>
      <c r="AR1316" s="3">
        <v>9</v>
      </c>
      <c r="AS1316" s="59">
        <v>0</v>
      </c>
      <c r="AT1316" s="3">
        <v>1</v>
      </c>
      <c r="AU1316" s="3">
        <v>6</v>
      </c>
      <c r="AV1316" s="49">
        <v>95.575221238938099</v>
      </c>
      <c r="AW1316" s="49">
        <v>4.4247787610619502</v>
      </c>
      <c r="AX1316" s="49">
        <v>0</v>
      </c>
      <c r="AY1316" s="67">
        <v>0</v>
      </c>
      <c r="AZ1316" s="63">
        <v>5.6818181818181802E-3</v>
      </c>
      <c r="BA1316" s="63">
        <v>0.125</v>
      </c>
      <c r="BB1316" s="80">
        <v>97.2</v>
      </c>
      <c r="BC1316" s="80"/>
      <c r="BD1316" s="80"/>
      <c r="BE1316" s="80"/>
      <c r="BF1316" s="80"/>
      <c r="BG1316" s="80"/>
      <c r="BH1316" s="80"/>
      <c r="BI1316" s="80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26" t="s">
        <v>117</v>
      </c>
      <c r="CJ1316" s="18" t="s">
        <v>548</v>
      </c>
      <c r="CK1316" s="20"/>
    </row>
    <row r="1317" spans="1:99" x14ac:dyDescent="0.25">
      <c r="A1317" s="18" t="s">
        <v>548</v>
      </c>
      <c r="B1317" s="19" t="s">
        <v>113</v>
      </c>
      <c r="C1317" s="26" t="s">
        <v>118</v>
      </c>
      <c r="D1317" s="6">
        <v>3</v>
      </c>
      <c r="E1317" s="6">
        <v>0</v>
      </c>
      <c r="F1317" s="6">
        <v>3</v>
      </c>
      <c r="N1317" s="115">
        <v>1.2448132780083001E-2</v>
      </c>
      <c r="O1317" s="115">
        <v>2.1276595744680899E-2</v>
      </c>
      <c r="P1317" s="119">
        <v>0</v>
      </c>
      <c r="Q1317" s="119">
        <v>0</v>
      </c>
      <c r="R1317" s="116" t="s">
        <v>83</v>
      </c>
      <c r="S1317" s="115">
        <v>2.2222222222222199E-2</v>
      </c>
      <c r="T1317" s="115">
        <v>2.7777777777777801E-2</v>
      </c>
      <c r="U1317" s="115">
        <v>3.7037037037037E-2</v>
      </c>
      <c r="V1317" s="119">
        <v>0</v>
      </c>
      <c r="W1317" s="6">
        <v>252</v>
      </c>
      <c r="X1317" s="40">
        <f t="shared" si="94"/>
        <v>128</v>
      </c>
      <c r="Y1317" s="40">
        <f t="shared" si="95"/>
        <v>211</v>
      </c>
      <c r="Z1317" s="59">
        <v>0.47620000000000001</v>
      </c>
      <c r="AA1317" s="59">
        <v>0.52380000000000004</v>
      </c>
      <c r="AB1317" s="61">
        <v>3.968253968253968E-3</v>
      </c>
      <c r="AC1317" s="61">
        <v>1.1904761904761904E-2</v>
      </c>
      <c r="AD1317" s="61">
        <v>0.50396825396825395</v>
      </c>
      <c r="AE1317" s="61">
        <v>1.5873015873015872E-2</v>
      </c>
      <c r="AF1317" s="61">
        <v>0</v>
      </c>
      <c r="AG1317" s="61">
        <v>0.43253968253968256</v>
      </c>
      <c r="AH1317" s="61">
        <v>3.1746031746031744E-2</v>
      </c>
      <c r="AI1317" s="61">
        <v>0.56746031746031744</v>
      </c>
      <c r="AJ1317" s="59">
        <v>0.85319999999999996</v>
      </c>
      <c r="AK1317" s="59">
        <v>1.9800000000000002E-2</v>
      </c>
      <c r="AL1317" s="3">
        <v>55</v>
      </c>
      <c r="AM1317" s="3">
        <v>28</v>
      </c>
      <c r="AN1317" s="3">
        <v>0</v>
      </c>
      <c r="AO1317" s="3">
        <v>39</v>
      </c>
      <c r="AP1317" s="3">
        <v>33</v>
      </c>
      <c r="AQ1317" s="3">
        <v>25</v>
      </c>
      <c r="AR1317" s="3">
        <v>31</v>
      </c>
      <c r="AS1317" s="59">
        <v>0</v>
      </c>
      <c r="AT1317" s="3">
        <v>6</v>
      </c>
      <c r="AU1317" s="3">
        <v>6</v>
      </c>
      <c r="AV1317" s="49">
        <v>73.239436619718305</v>
      </c>
      <c r="AW1317" s="49">
        <v>24.647887323943703</v>
      </c>
      <c r="AX1317" s="49">
        <v>2.1126760563380298</v>
      </c>
      <c r="AY1317" s="67">
        <v>0</v>
      </c>
      <c r="AZ1317" s="63">
        <v>0.114583333333333</v>
      </c>
      <c r="BA1317" s="63">
        <v>3.8194444444444399E-2</v>
      </c>
      <c r="BB1317" s="79">
        <v>92.4</v>
      </c>
      <c r="BC1317" s="79"/>
      <c r="BD1317" s="79"/>
      <c r="BE1317" s="79"/>
      <c r="BF1317" s="79"/>
      <c r="BG1317" s="79"/>
      <c r="BH1317" s="79"/>
      <c r="BI1317" s="79"/>
      <c r="BJ1317" s="3">
        <v>18</v>
      </c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26" t="s">
        <v>118</v>
      </c>
      <c r="CJ1317" s="18" t="s">
        <v>548</v>
      </c>
      <c r="CK1317" s="20"/>
    </row>
    <row r="1318" spans="1:99" x14ac:dyDescent="0.25">
      <c r="A1318" s="18" t="s">
        <v>548</v>
      </c>
      <c r="B1318" s="19" t="s">
        <v>113</v>
      </c>
      <c r="C1318" s="26" t="s">
        <v>119</v>
      </c>
      <c r="D1318" s="6">
        <v>4</v>
      </c>
      <c r="E1318" s="6">
        <v>0</v>
      </c>
      <c r="F1318" s="6">
        <v>4</v>
      </c>
      <c r="N1318" s="115">
        <v>2.0833333333333301E-2</v>
      </c>
      <c r="O1318" s="115">
        <v>2.96296296296296E-2</v>
      </c>
      <c r="P1318" s="119">
        <v>0</v>
      </c>
      <c r="Q1318" s="119">
        <v>0</v>
      </c>
      <c r="R1318" s="116" t="s">
        <v>83</v>
      </c>
      <c r="S1318" s="119">
        <v>0</v>
      </c>
      <c r="T1318" s="115">
        <v>5.5555555555555601E-2</v>
      </c>
      <c r="U1318" s="115">
        <v>5.1282051282051301E-2</v>
      </c>
      <c r="V1318" s="119">
        <v>0</v>
      </c>
      <c r="W1318" s="6">
        <v>376</v>
      </c>
      <c r="X1318" s="40">
        <f t="shared" si="94"/>
        <v>117</v>
      </c>
      <c r="Y1318" s="40">
        <f t="shared" si="95"/>
        <v>166</v>
      </c>
      <c r="Z1318" s="59">
        <v>0.53990000000000005</v>
      </c>
      <c r="AA1318" s="59">
        <v>0.46010000000000001</v>
      </c>
      <c r="AB1318" s="61">
        <v>2.6595744680851063E-3</v>
      </c>
      <c r="AC1318" s="61">
        <v>0</v>
      </c>
      <c r="AD1318" s="61">
        <v>0.20212765957446807</v>
      </c>
      <c r="AE1318" s="61">
        <v>2.1276595744680851E-2</v>
      </c>
      <c r="AF1318" s="61">
        <v>0</v>
      </c>
      <c r="AG1318" s="61">
        <v>0.75265957446808507</v>
      </c>
      <c r="AH1318" s="61">
        <v>2.1276595744680851E-2</v>
      </c>
      <c r="AI1318" s="61">
        <v>0.2473404255319149</v>
      </c>
      <c r="AJ1318" s="59">
        <v>0.50529999999999997</v>
      </c>
      <c r="AK1318" s="59">
        <v>2.7000000000000001E-3</v>
      </c>
      <c r="AL1318" s="3">
        <v>29</v>
      </c>
      <c r="AM1318" s="3">
        <v>20</v>
      </c>
      <c r="AN1318" s="3">
        <v>0</v>
      </c>
      <c r="AO1318" s="3">
        <v>32</v>
      </c>
      <c r="AP1318" s="3">
        <v>28</v>
      </c>
      <c r="AQ1318" s="3">
        <v>34</v>
      </c>
      <c r="AR1318" s="3">
        <v>23</v>
      </c>
      <c r="AS1318" s="59">
        <v>0</v>
      </c>
      <c r="AT1318" s="3">
        <v>1</v>
      </c>
      <c r="AU1318" s="3">
        <v>6</v>
      </c>
      <c r="AV1318" s="49">
        <v>87.1111111111111</v>
      </c>
      <c r="AW1318" s="49">
        <v>8</v>
      </c>
      <c r="AX1318" s="49">
        <v>4.8888888888888902</v>
      </c>
      <c r="AY1318" s="67">
        <v>0</v>
      </c>
      <c r="AZ1318" s="63">
        <v>7.4592074592074606E-2</v>
      </c>
      <c r="BA1318" s="63">
        <v>2.7972027972028E-2</v>
      </c>
      <c r="BB1318" s="80">
        <v>93.9</v>
      </c>
      <c r="BC1318" s="80"/>
      <c r="BD1318" s="80"/>
      <c r="BE1318" s="80"/>
      <c r="BF1318" s="80"/>
      <c r="BG1318" s="80"/>
      <c r="BH1318" s="80"/>
      <c r="BI1318" s="80"/>
      <c r="BJ1318" s="3">
        <v>20.100000000000001</v>
      </c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26" t="s">
        <v>119</v>
      </c>
      <c r="CJ1318" s="18" t="s">
        <v>548</v>
      </c>
      <c r="CK1318" s="20"/>
    </row>
    <row r="1319" spans="1:99" x14ac:dyDescent="0.25">
      <c r="A1319" s="18" t="s">
        <v>548</v>
      </c>
      <c r="B1319" s="19" t="s">
        <v>120</v>
      </c>
      <c r="C1319" s="26" t="s">
        <v>121</v>
      </c>
      <c r="D1319" s="6">
        <v>15</v>
      </c>
      <c r="E1319" s="40" t="s">
        <v>83</v>
      </c>
      <c r="F1319" s="6">
        <v>15</v>
      </c>
      <c r="N1319" s="115">
        <v>7.6297049847405896E-3</v>
      </c>
      <c r="O1319" s="115">
        <v>7.6297049847405896E-3</v>
      </c>
      <c r="P1319" s="116" t="s">
        <v>83</v>
      </c>
      <c r="Q1319" s="116" t="s">
        <v>83</v>
      </c>
      <c r="R1319" s="115">
        <v>1.35135135135135E-2</v>
      </c>
      <c r="S1319" s="115">
        <v>1.07296137339056E-2</v>
      </c>
      <c r="T1319" s="115">
        <v>3.85356454720617E-3</v>
      </c>
      <c r="U1319" s="115">
        <v>6.5359477124183E-3</v>
      </c>
      <c r="V1319" s="115">
        <v>8.9285714285714298E-3</v>
      </c>
      <c r="W1319" s="6">
        <v>1854</v>
      </c>
      <c r="X1319" s="40">
        <f t="shared" si="94"/>
        <v>1854</v>
      </c>
      <c r="Y1319" s="40">
        <f t="shared" si="95"/>
        <v>1854</v>
      </c>
      <c r="Z1319" s="59">
        <v>0.47089999999999999</v>
      </c>
      <c r="AA1319" s="59">
        <v>0.52910000000000001</v>
      </c>
      <c r="AB1319" s="61">
        <v>1.6181229773462784E-3</v>
      </c>
      <c r="AC1319" s="61">
        <v>2.2653721682847898E-2</v>
      </c>
      <c r="AD1319" s="61">
        <v>0.36515641855447678</v>
      </c>
      <c r="AE1319" s="61">
        <v>7.1736785329018338E-2</v>
      </c>
      <c r="AF1319" s="61">
        <v>1.6181229773462784E-3</v>
      </c>
      <c r="AG1319" s="61">
        <v>0.51186623516720609</v>
      </c>
      <c r="AH1319" s="61">
        <v>2.535059331175836E-2</v>
      </c>
      <c r="AI1319" s="61">
        <v>0.48813376483279397</v>
      </c>
      <c r="AJ1319" s="59">
        <v>0.48220000000000002</v>
      </c>
      <c r="AK1319" s="59">
        <v>2.1000000000000001E-2</v>
      </c>
      <c r="AL1319" s="3">
        <v>0</v>
      </c>
      <c r="AM1319" s="3">
        <v>0</v>
      </c>
      <c r="AN1319" s="3">
        <v>64</v>
      </c>
      <c r="AO1319" s="3">
        <v>437</v>
      </c>
      <c r="AP1319" s="3">
        <v>480</v>
      </c>
      <c r="AQ1319" s="3">
        <v>441</v>
      </c>
      <c r="AR1319" s="3">
        <v>432</v>
      </c>
      <c r="AS1319" s="59">
        <v>0.1277445109780439</v>
      </c>
      <c r="AT1319" s="3">
        <v>9</v>
      </c>
      <c r="AU1319" s="3">
        <v>6</v>
      </c>
      <c r="AV1319" s="49">
        <v>51.918465227817698</v>
      </c>
      <c r="AW1319" s="49">
        <v>21.3429256594724</v>
      </c>
      <c r="AX1319" s="49">
        <v>25.0599520383693</v>
      </c>
      <c r="AY1319" s="67">
        <v>1.67865707434053</v>
      </c>
      <c r="AZ1319" s="63">
        <v>0.13710499490316</v>
      </c>
      <c r="BA1319" s="63">
        <v>0.109072375127421</v>
      </c>
      <c r="BB1319" s="79">
        <v>92.2</v>
      </c>
      <c r="BC1319" s="79"/>
      <c r="BD1319" s="79"/>
      <c r="BE1319" s="79"/>
      <c r="BF1319" s="79"/>
      <c r="BG1319" s="79"/>
      <c r="BH1319" s="79"/>
      <c r="BI1319" s="79"/>
      <c r="BJ1319" s="3">
        <v>20.6</v>
      </c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26" t="s">
        <v>121</v>
      </c>
      <c r="CJ1319" s="18" t="s">
        <v>548</v>
      </c>
      <c r="CK1319" s="20"/>
    </row>
    <row r="1320" spans="1:99" x14ac:dyDescent="0.25">
      <c r="A1320" s="18" t="s">
        <v>548</v>
      </c>
      <c r="B1320" s="19" t="s">
        <v>120</v>
      </c>
      <c r="C1320" s="26" t="s">
        <v>122</v>
      </c>
      <c r="D1320" s="6">
        <v>8</v>
      </c>
      <c r="E1320" s="40" t="s">
        <v>83</v>
      </c>
      <c r="F1320" s="6">
        <v>8</v>
      </c>
      <c r="N1320" s="115">
        <v>6.0105184072126198E-3</v>
      </c>
      <c r="O1320" s="115">
        <v>6.0105184072126198E-3</v>
      </c>
      <c r="P1320" s="116" t="s">
        <v>83</v>
      </c>
      <c r="Q1320" s="116" t="s">
        <v>83</v>
      </c>
      <c r="R1320" s="115">
        <v>2.3809523809523801E-2</v>
      </c>
      <c r="S1320" s="115">
        <v>2.7548209366391198E-3</v>
      </c>
      <c r="T1320" s="115">
        <v>5.5401662049861496E-3</v>
      </c>
      <c r="U1320" s="115">
        <v>9.8360655737704892E-3</v>
      </c>
      <c r="V1320" s="115">
        <v>3.8461538461538498E-3</v>
      </c>
      <c r="W1320" s="6">
        <v>1267</v>
      </c>
      <c r="X1320" s="40">
        <f t="shared" si="94"/>
        <v>1267</v>
      </c>
      <c r="Y1320" s="40">
        <f t="shared" si="95"/>
        <v>1267</v>
      </c>
      <c r="Z1320" s="59">
        <v>0.4743</v>
      </c>
      <c r="AA1320" s="59">
        <v>0.52569999999999995</v>
      </c>
      <c r="AB1320" s="61">
        <v>6.314127861089187E-3</v>
      </c>
      <c r="AC1320" s="61">
        <v>8.6819258089976328E-3</v>
      </c>
      <c r="AD1320" s="61">
        <v>0.1452249408050513</v>
      </c>
      <c r="AE1320" s="61">
        <v>4.9723756906077346E-2</v>
      </c>
      <c r="AF1320" s="61">
        <v>0</v>
      </c>
      <c r="AG1320" s="61">
        <v>0.76558800315706388</v>
      </c>
      <c r="AH1320" s="61">
        <v>2.4467245461720601E-2</v>
      </c>
      <c r="AI1320" s="61">
        <v>0.23441199684293607</v>
      </c>
      <c r="AJ1320" s="59">
        <v>0.23680000000000001</v>
      </c>
      <c r="AK1320" s="59">
        <v>3.2000000000000002E-3</v>
      </c>
      <c r="AL1320" s="3">
        <v>0</v>
      </c>
      <c r="AM1320" s="3">
        <v>0</v>
      </c>
      <c r="AN1320" s="3">
        <v>38</v>
      </c>
      <c r="AO1320" s="3">
        <v>344</v>
      </c>
      <c r="AP1320" s="3">
        <v>342</v>
      </c>
      <c r="AQ1320" s="3">
        <v>290</v>
      </c>
      <c r="AR1320" s="3">
        <v>253</v>
      </c>
      <c r="AS1320" s="59">
        <v>9.947643979057591E-2</v>
      </c>
      <c r="AT1320" s="3">
        <v>9</v>
      </c>
      <c r="AU1320" s="3">
        <v>6</v>
      </c>
      <c r="AV1320" s="49">
        <v>45.940594059405896</v>
      </c>
      <c r="AW1320" s="49">
        <v>28.910891089108897</v>
      </c>
      <c r="AX1320" s="49">
        <v>22.7722772277228</v>
      </c>
      <c r="AY1320" s="67">
        <v>2.3762376237623801</v>
      </c>
      <c r="AZ1320" s="63">
        <v>0.14307228915662701</v>
      </c>
      <c r="BA1320" s="63">
        <v>9.6385542168674704E-2</v>
      </c>
      <c r="BB1320" s="80">
        <v>93.2</v>
      </c>
      <c r="BC1320" s="80"/>
      <c r="BD1320" s="80"/>
      <c r="BE1320" s="80"/>
      <c r="BF1320" s="80"/>
      <c r="BG1320" s="80"/>
      <c r="BH1320" s="80"/>
      <c r="BI1320" s="80"/>
      <c r="BJ1320" s="3">
        <v>20.9</v>
      </c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26" t="s">
        <v>122</v>
      </c>
      <c r="CJ1320" s="18" t="s">
        <v>548</v>
      </c>
      <c r="CK1320" s="20"/>
    </row>
    <row r="1321" spans="1:99" x14ac:dyDescent="0.25">
      <c r="A1321" s="18" t="s">
        <v>548</v>
      </c>
      <c r="B1321" s="19" t="s">
        <v>120</v>
      </c>
      <c r="C1321" s="26" t="s">
        <v>123</v>
      </c>
      <c r="D1321" s="6">
        <v>3</v>
      </c>
      <c r="E1321" s="40" t="s">
        <v>83</v>
      </c>
      <c r="F1321" s="6">
        <v>3</v>
      </c>
      <c r="N1321" s="115">
        <v>4.0106951871657802E-3</v>
      </c>
      <c r="O1321" s="115">
        <v>4.0106951871657802E-3</v>
      </c>
      <c r="P1321" s="116" t="s">
        <v>83</v>
      </c>
      <c r="Q1321" s="116" t="s">
        <v>83</v>
      </c>
      <c r="R1321" s="119">
        <v>0</v>
      </c>
      <c r="S1321" s="115">
        <v>6.4935064935064896E-3</v>
      </c>
      <c r="T1321" s="115">
        <v>5.2910052910052898E-3</v>
      </c>
      <c r="U1321" s="115">
        <v>0</v>
      </c>
      <c r="V1321" s="115">
        <v>6.0240963855421699E-3</v>
      </c>
      <c r="W1321" s="6">
        <v>621</v>
      </c>
      <c r="X1321" s="40">
        <f t="shared" si="94"/>
        <v>621</v>
      </c>
      <c r="Y1321" s="40">
        <f t="shared" si="95"/>
        <v>621</v>
      </c>
      <c r="Z1321" s="59">
        <v>0.48949999999999999</v>
      </c>
      <c r="AA1321" s="59">
        <v>0.51049999999999995</v>
      </c>
      <c r="AB1321" s="61">
        <v>3.2206119162640902E-3</v>
      </c>
      <c r="AC1321" s="61">
        <v>6.4412238325281803E-3</v>
      </c>
      <c r="AD1321" s="61">
        <v>0.59581320450885666</v>
      </c>
      <c r="AE1321" s="61">
        <v>0.19162640901771336</v>
      </c>
      <c r="AF1321" s="61">
        <v>0</v>
      </c>
      <c r="AG1321" s="61">
        <v>0.17552334943639292</v>
      </c>
      <c r="AH1321" s="61">
        <v>2.7375201288244767E-2</v>
      </c>
      <c r="AI1321" s="61">
        <v>0.82447665056360708</v>
      </c>
      <c r="AJ1321" s="59">
        <v>0.81799999999999995</v>
      </c>
      <c r="AK1321" s="59">
        <v>7.4099999999999999E-2</v>
      </c>
      <c r="AL1321" s="3">
        <v>0</v>
      </c>
      <c r="AM1321" s="3">
        <v>0</v>
      </c>
      <c r="AN1321" s="3">
        <v>44</v>
      </c>
      <c r="AO1321" s="3">
        <v>123</v>
      </c>
      <c r="AP1321" s="3">
        <v>156</v>
      </c>
      <c r="AQ1321" s="3">
        <v>156</v>
      </c>
      <c r="AR1321" s="3">
        <v>142</v>
      </c>
      <c r="AS1321" s="59">
        <v>0.26347305389221559</v>
      </c>
      <c r="AT1321" s="3">
        <v>9</v>
      </c>
      <c r="AU1321" s="3">
        <v>6</v>
      </c>
      <c r="AV1321" s="49">
        <v>81.887755102040799</v>
      </c>
      <c r="AW1321" s="49">
        <v>14.540816326530601</v>
      </c>
      <c r="AX1321" s="49">
        <v>2.8061224489795902</v>
      </c>
      <c r="AY1321" s="67">
        <v>0.76530612244898</v>
      </c>
      <c r="AZ1321" s="63">
        <v>9.5302013422818799E-2</v>
      </c>
      <c r="BA1321" s="63">
        <v>0.13288590604026801</v>
      </c>
      <c r="BB1321" s="79">
        <v>90</v>
      </c>
      <c r="BC1321" s="79"/>
      <c r="BD1321" s="79"/>
      <c r="BE1321" s="79"/>
      <c r="BF1321" s="79"/>
      <c r="BG1321" s="79"/>
      <c r="BH1321" s="79"/>
      <c r="BI1321" s="79"/>
      <c r="BJ1321" s="3">
        <v>16.8</v>
      </c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26" t="s">
        <v>123</v>
      </c>
      <c r="CJ1321" s="18" t="s">
        <v>548</v>
      </c>
      <c r="CK1321" s="20"/>
    </row>
    <row r="1322" spans="1:99" x14ac:dyDescent="0.25">
      <c r="A1322" s="18" t="s">
        <v>548</v>
      </c>
      <c r="B1322" s="19" t="s">
        <v>120</v>
      </c>
      <c r="C1322" s="26" t="s">
        <v>124</v>
      </c>
      <c r="D1322" s="6">
        <v>20</v>
      </c>
      <c r="E1322" s="40" t="s">
        <v>83</v>
      </c>
      <c r="F1322" s="6">
        <v>20</v>
      </c>
      <c r="N1322" s="115">
        <v>1.50489089541008E-2</v>
      </c>
      <c r="O1322" s="115">
        <v>1.50489089541008E-2</v>
      </c>
      <c r="P1322" s="116" t="s">
        <v>83</v>
      </c>
      <c r="Q1322" s="116" t="s">
        <v>83</v>
      </c>
      <c r="R1322" s="119">
        <v>0</v>
      </c>
      <c r="S1322" s="115">
        <v>9.0634441087613302E-3</v>
      </c>
      <c r="T1322" s="115">
        <v>8.6956521739130401E-3</v>
      </c>
      <c r="U1322" s="115">
        <v>2.2801302931596101E-2</v>
      </c>
      <c r="V1322" s="115">
        <v>2.40549828178694E-2</v>
      </c>
      <c r="W1322" s="6">
        <v>1257</v>
      </c>
      <c r="X1322" s="40">
        <f t="shared" si="94"/>
        <v>1257</v>
      </c>
      <c r="Y1322" s="40">
        <f t="shared" si="95"/>
        <v>1257</v>
      </c>
      <c r="Z1322" s="59">
        <v>0.4511</v>
      </c>
      <c r="AA1322" s="59">
        <v>0.54890000000000005</v>
      </c>
      <c r="AB1322" s="61">
        <v>5.5688146380270488E-3</v>
      </c>
      <c r="AC1322" s="61">
        <v>6.3643595863166272E-3</v>
      </c>
      <c r="AD1322" s="61">
        <v>0.16547334924423229</v>
      </c>
      <c r="AE1322" s="61">
        <v>6.8416865552903744E-2</v>
      </c>
      <c r="AF1322" s="61">
        <v>7.955449482895784E-4</v>
      </c>
      <c r="AG1322" s="61">
        <v>0.72076372315035797</v>
      </c>
      <c r="AH1322" s="61">
        <v>3.261734287987271E-2</v>
      </c>
      <c r="AI1322" s="61">
        <v>0.27923627684964203</v>
      </c>
      <c r="AJ1322" s="59">
        <v>0.46779999999999999</v>
      </c>
      <c r="AK1322" s="59">
        <v>1.5100000000000001E-2</v>
      </c>
      <c r="AL1322" s="3">
        <v>0</v>
      </c>
      <c r="AM1322" s="3">
        <v>0</v>
      </c>
      <c r="AN1322" s="3">
        <v>35</v>
      </c>
      <c r="AO1322" s="3">
        <v>326</v>
      </c>
      <c r="AP1322" s="3">
        <v>328</v>
      </c>
      <c r="AQ1322" s="3">
        <v>288</v>
      </c>
      <c r="AR1322" s="3">
        <v>280</v>
      </c>
      <c r="AS1322" s="59">
        <v>9.6952908587257622E-2</v>
      </c>
      <c r="AT1322" s="3">
        <v>9</v>
      </c>
      <c r="AU1322" s="3">
        <v>6</v>
      </c>
      <c r="AV1322" s="49">
        <v>47.599999999999994</v>
      </c>
      <c r="AW1322" s="49">
        <v>27.400000000000002</v>
      </c>
      <c r="AX1322" s="49">
        <v>21.8</v>
      </c>
      <c r="AY1322" s="67">
        <v>3.2</v>
      </c>
      <c r="AZ1322" s="63">
        <v>0.200151630022745</v>
      </c>
      <c r="BA1322" s="63">
        <v>0.106899166034875</v>
      </c>
      <c r="BB1322" s="80">
        <v>92</v>
      </c>
      <c r="BC1322" s="80"/>
      <c r="BD1322" s="80"/>
      <c r="BE1322" s="80"/>
      <c r="BF1322" s="80"/>
      <c r="BG1322" s="80"/>
      <c r="BH1322" s="80"/>
      <c r="BI1322" s="80"/>
      <c r="BJ1322" s="3">
        <v>19.8</v>
      </c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26" t="s">
        <v>124</v>
      </c>
      <c r="CJ1322" s="18" t="s">
        <v>548</v>
      </c>
      <c r="CK1322" s="20"/>
    </row>
    <row r="1323" spans="1:99" x14ac:dyDescent="0.25">
      <c r="A1323" s="18" t="s">
        <v>548</v>
      </c>
      <c r="B1323" s="19" t="s">
        <v>120</v>
      </c>
      <c r="C1323" s="26" t="s">
        <v>125</v>
      </c>
      <c r="D1323" s="6">
        <v>11</v>
      </c>
      <c r="E1323" s="40" t="s">
        <v>83</v>
      </c>
      <c r="F1323" s="6">
        <v>11</v>
      </c>
      <c r="N1323" s="115">
        <v>8.0409356725146194E-3</v>
      </c>
      <c r="O1323" s="115">
        <v>8.0409356725146194E-3</v>
      </c>
      <c r="P1323" s="116" t="s">
        <v>83</v>
      </c>
      <c r="Q1323" s="116" t="s">
        <v>83</v>
      </c>
      <c r="R1323" s="115">
        <v>3.03030303030303E-2</v>
      </c>
      <c r="S1323" s="115">
        <v>3.0030030030029999E-3</v>
      </c>
      <c r="T1323" s="115">
        <v>0</v>
      </c>
      <c r="U1323" s="115">
        <v>2.8248587570621499E-3</v>
      </c>
      <c r="V1323" s="115">
        <v>2.53164556962025E-2</v>
      </c>
      <c r="W1323" s="6">
        <v>1295</v>
      </c>
      <c r="X1323" s="40">
        <f t="shared" si="94"/>
        <v>1295</v>
      </c>
      <c r="Y1323" s="40">
        <f t="shared" si="95"/>
        <v>1295</v>
      </c>
      <c r="Z1323" s="59">
        <v>0.4718</v>
      </c>
      <c r="AA1323" s="59">
        <v>0.5282</v>
      </c>
      <c r="AB1323" s="61">
        <v>3.8610038610038611E-3</v>
      </c>
      <c r="AC1323" s="61">
        <v>1.9305019305019305E-2</v>
      </c>
      <c r="AD1323" s="61">
        <v>0.24633204633204633</v>
      </c>
      <c r="AE1323" s="61">
        <v>7.8764478764478771E-2</v>
      </c>
      <c r="AF1323" s="61">
        <v>3.8610038610038611E-3</v>
      </c>
      <c r="AG1323" s="61">
        <v>0.6</v>
      </c>
      <c r="AH1323" s="61">
        <v>4.7876447876447875E-2</v>
      </c>
      <c r="AI1323" s="61">
        <v>0.4</v>
      </c>
      <c r="AJ1323" s="59">
        <v>0.4224</v>
      </c>
      <c r="AK1323" s="59">
        <v>1.3100000000000001E-2</v>
      </c>
      <c r="AL1323" s="3">
        <v>0</v>
      </c>
      <c r="AM1323" s="3">
        <v>0</v>
      </c>
      <c r="AN1323" s="3">
        <v>29</v>
      </c>
      <c r="AO1323" s="3">
        <v>313</v>
      </c>
      <c r="AP1323" s="3">
        <v>320</v>
      </c>
      <c r="AQ1323" s="3">
        <v>332</v>
      </c>
      <c r="AR1323" s="3">
        <v>301</v>
      </c>
      <c r="AS1323" s="59">
        <v>8.4795321637426896E-2</v>
      </c>
      <c r="AT1323" s="3">
        <v>9</v>
      </c>
      <c r="AU1323" s="3">
        <v>6</v>
      </c>
      <c r="AV1323" s="49">
        <v>55.944055944055904</v>
      </c>
      <c r="AW1323" s="49">
        <v>19.230769230769202</v>
      </c>
      <c r="AX1323" s="49">
        <v>23.426573426573398</v>
      </c>
      <c r="AY1323" s="67">
        <v>1.3986013986014001</v>
      </c>
      <c r="AZ1323" s="63">
        <v>0.23711340206185599</v>
      </c>
      <c r="BA1323" s="63">
        <v>9.0574374079528702E-2</v>
      </c>
      <c r="BB1323" s="79">
        <v>90.9</v>
      </c>
      <c r="BC1323" s="79"/>
      <c r="BD1323" s="79"/>
      <c r="BE1323" s="79"/>
      <c r="BF1323" s="79"/>
      <c r="BG1323" s="79"/>
      <c r="BH1323" s="79"/>
      <c r="BI1323" s="79"/>
      <c r="BJ1323" s="3">
        <v>19.8</v>
      </c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26" t="s">
        <v>125</v>
      </c>
      <c r="CJ1323" s="18" t="s">
        <v>548</v>
      </c>
      <c r="CK1323" s="20"/>
    </row>
    <row r="1324" spans="1:99" x14ac:dyDescent="0.25">
      <c r="A1324" s="18" t="s">
        <v>548</v>
      </c>
      <c r="B1324" s="19" t="s">
        <v>120</v>
      </c>
      <c r="C1324" s="26" t="s">
        <v>126</v>
      </c>
      <c r="D1324" s="6">
        <v>0</v>
      </c>
      <c r="E1324" s="6">
        <v>0</v>
      </c>
      <c r="F1324" s="6">
        <v>0</v>
      </c>
      <c r="N1324" s="119">
        <v>0</v>
      </c>
      <c r="O1324" s="119">
        <v>0</v>
      </c>
      <c r="P1324" s="119">
        <v>0</v>
      </c>
      <c r="Q1324" s="119">
        <v>0</v>
      </c>
      <c r="R1324" s="119">
        <v>0</v>
      </c>
      <c r="S1324" s="119">
        <v>0</v>
      </c>
      <c r="T1324" s="119">
        <v>0</v>
      </c>
      <c r="U1324" s="119">
        <v>0</v>
      </c>
      <c r="V1324" s="119">
        <v>0</v>
      </c>
      <c r="W1324" s="6">
        <v>333</v>
      </c>
      <c r="X1324" s="40">
        <f t="shared" si="94"/>
        <v>123</v>
      </c>
      <c r="Y1324" s="40">
        <f t="shared" si="95"/>
        <v>172</v>
      </c>
      <c r="Z1324" s="59">
        <v>0.48649999999999999</v>
      </c>
      <c r="AA1324" s="59">
        <v>0.51349999999999996</v>
      </c>
      <c r="AB1324" s="61">
        <v>0</v>
      </c>
      <c r="AC1324" s="61">
        <v>0</v>
      </c>
      <c r="AD1324" s="61">
        <v>0.57357357357357353</v>
      </c>
      <c r="AE1324" s="61">
        <v>9.0090090090090089E-3</v>
      </c>
      <c r="AF1324" s="61">
        <v>3.003003003003003E-3</v>
      </c>
      <c r="AG1324" s="61">
        <v>0.39339339339339341</v>
      </c>
      <c r="AH1324" s="61">
        <v>2.1021021021021023E-2</v>
      </c>
      <c r="AI1324" s="61">
        <v>0.60660660660660659</v>
      </c>
      <c r="AJ1324" s="59">
        <v>0.78979999999999995</v>
      </c>
      <c r="AK1324" s="59">
        <v>0</v>
      </c>
      <c r="AL1324" s="3">
        <v>24</v>
      </c>
      <c r="AM1324" s="3">
        <v>25</v>
      </c>
      <c r="AN1324" s="3">
        <v>2</v>
      </c>
      <c r="AO1324" s="3">
        <v>22</v>
      </c>
      <c r="AP1324" s="3">
        <v>30</v>
      </c>
      <c r="AQ1324" s="3">
        <v>32</v>
      </c>
      <c r="AR1324" s="3">
        <v>37</v>
      </c>
      <c r="AS1324" s="59">
        <v>8.3333333333333329E-2</v>
      </c>
      <c r="AT1324" s="3">
        <v>1</v>
      </c>
      <c r="AU1324" s="3">
        <v>6</v>
      </c>
      <c r="AV1324" s="49">
        <v>90.869565217391298</v>
      </c>
      <c r="AW1324" s="49">
        <v>9.1304347826087007</v>
      </c>
      <c r="AX1324" s="49">
        <v>0</v>
      </c>
      <c r="AY1324" s="67">
        <v>0</v>
      </c>
      <c r="AZ1324" s="63">
        <v>0.20375335120643401</v>
      </c>
      <c r="BA1324" s="63">
        <v>0.101876675603217</v>
      </c>
      <c r="BB1324" s="80">
        <v>91.6</v>
      </c>
      <c r="BC1324" s="80"/>
      <c r="BD1324" s="80"/>
      <c r="BE1324" s="80"/>
      <c r="BF1324" s="80"/>
      <c r="BG1324" s="80"/>
      <c r="BH1324" s="80"/>
      <c r="BI1324" s="80"/>
      <c r="BJ1324" s="3">
        <v>15.9</v>
      </c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26" t="s">
        <v>126</v>
      </c>
      <c r="CJ1324" s="18" t="s">
        <v>548</v>
      </c>
      <c r="CK1324" s="20"/>
    </row>
    <row r="1325" spans="1:99" s="1" customFormat="1" ht="21" customHeight="1" x14ac:dyDescent="0.25">
      <c r="A1325" s="21" t="s">
        <v>0</v>
      </c>
      <c r="B1325" s="22" t="s">
        <v>1</v>
      </c>
      <c r="C1325" s="22" t="s">
        <v>2</v>
      </c>
      <c r="D1325" s="9" t="s">
        <v>3</v>
      </c>
      <c r="E1325" s="9" t="s">
        <v>4</v>
      </c>
      <c r="F1325" s="9" t="s">
        <v>5</v>
      </c>
      <c r="G1325" s="167"/>
      <c r="H1325" s="168"/>
      <c r="I1325" s="168"/>
      <c r="J1325" s="168"/>
      <c r="K1325" s="168"/>
      <c r="L1325" s="168"/>
      <c r="M1325" s="168"/>
      <c r="N1325" s="120" t="s">
        <v>6</v>
      </c>
      <c r="O1325" s="120" t="s">
        <v>7</v>
      </c>
      <c r="P1325" s="120" t="s">
        <v>8</v>
      </c>
      <c r="Q1325" s="120" t="s">
        <v>9</v>
      </c>
      <c r="R1325" s="120" t="s">
        <v>10</v>
      </c>
      <c r="S1325" s="120" t="s">
        <v>11</v>
      </c>
      <c r="T1325" s="120" t="s">
        <v>12</v>
      </c>
      <c r="U1325" s="120" t="s">
        <v>13</v>
      </c>
      <c r="V1325" s="120" t="s">
        <v>14</v>
      </c>
      <c r="W1325" s="41" t="s">
        <v>15</v>
      </c>
      <c r="X1325" s="41" t="s">
        <v>16</v>
      </c>
      <c r="Y1325" s="41" t="s">
        <v>17</v>
      </c>
      <c r="Z1325" s="107" t="s">
        <v>18</v>
      </c>
      <c r="AA1325" s="107" t="s">
        <v>19</v>
      </c>
      <c r="AB1325" s="95" t="s">
        <v>20</v>
      </c>
      <c r="AC1325" s="95" t="s">
        <v>21</v>
      </c>
      <c r="AD1325" s="95" t="s">
        <v>22</v>
      </c>
      <c r="AE1325" s="95" t="s">
        <v>23</v>
      </c>
      <c r="AF1325" s="95" t="s">
        <v>24</v>
      </c>
      <c r="AG1325" s="95" t="s">
        <v>25</v>
      </c>
      <c r="AH1325" s="95" t="s">
        <v>26</v>
      </c>
      <c r="AI1325" s="95" t="s">
        <v>27</v>
      </c>
      <c r="AJ1325" s="95" t="s">
        <v>28</v>
      </c>
      <c r="AK1325" s="107" t="s">
        <v>29</v>
      </c>
      <c r="AL1325" s="42" t="s">
        <v>30</v>
      </c>
      <c r="AM1325" s="42" t="s">
        <v>31</v>
      </c>
      <c r="AN1325" s="42" t="s">
        <v>32</v>
      </c>
      <c r="AO1325" s="42" t="s">
        <v>33</v>
      </c>
      <c r="AP1325" s="42" t="s">
        <v>34</v>
      </c>
      <c r="AQ1325" s="42" t="s">
        <v>35</v>
      </c>
      <c r="AR1325" s="42" t="s">
        <v>36</v>
      </c>
      <c r="AS1325" s="100" t="s">
        <v>37</v>
      </c>
      <c r="AT1325" s="41" t="s">
        <v>38</v>
      </c>
      <c r="AU1325" s="23" t="s">
        <v>39</v>
      </c>
      <c r="AV1325" s="51" t="s">
        <v>40</v>
      </c>
      <c r="AW1325" s="51" t="s">
        <v>41</v>
      </c>
      <c r="AX1325" s="51" t="s">
        <v>42</v>
      </c>
      <c r="AY1325" s="66" t="s">
        <v>43</v>
      </c>
      <c r="AZ1325" s="58" t="s">
        <v>44</v>
      </c>
      <c r="BA1325" s="58" t="s">
        <v>45</v>
      </c>
      <c r="BB1325" s="75" t="s">
        <v>46</v>
      </c>
      <c r="BC1325" s="75" t="s">
        <v>47</v>
      </c>
      <c r="BD1325" s="89" t="s">
        <v>48</v>
      </c>
      <c r="BE1325" s="89" t="s">
        <v>49</v>
      </c>
      <c r="BF1325" s="89" t="s">
        <v>50</v>
      </c>
      <c r="BG1325" s="89" t="s">
        <v>51</v>
      </c>
      <c r="BH1325" s="89" t="s">
        <v>52</v>
      </c>
      <c r="BI1325" s="89" t="s">
        <v>53</v>
      </c>
      <c r="BJ1325" s="86" t="s">
        <v>54</v>
      </c>
      <c r="BK1325" s="123" t="s">
        <v>55</v>
      </c>
      <c r="BL1325" s="123" t="s">
        <v>56</v>
      </c>
      <c r="BM1325" s="123" t="s">
        <v>57</v>
      </c>
      <c r="BN1325" s="123" t="s">
        <v>58</v>
      </c>
      <c r="BO1325" s="131" t="s">
        <v>59</v>
      </c>
      <c r="BP1325" s="131" t="s">
        <v>60</v>
      </c>
      <c r="BQ1325" s="131" t="s">
        <v>61</v>
      </c>
      <c r="BR1325" s="131" t="s">
        <v>62</v>
      </c>
      <c r="BS1325" s="131" t="s">
        <v>63</v>
      </c>
      <c r="BT1325" s="131" t="s">
        <v>64</v>
      </c>
      <c r="BU1325" s="131" t="s">
        <v>65</v>
      </c>
      <c r="BV1325" s="132" t="s">
        <v>66</v>
      </c>
      <c r="BW1325" s="132" t="s">
        <v>67</v>
      </c>
      <c r="BX1325" s="132" t="s">
        <v>68</v>
      </c>
      <c r="BY1325" s="132" t="s">
        <v>69</v>
      </c>
      <c r="BZ1325" s="132" t="s">
        <v>70</v>
      </c>
      <c r="CA1325" s="132" t="s">
        <v>71</v>
      </c>
      <c r="CB1325" s="132" t="s">
        <v>72</v>
      </c>
      <c r="CC1325" s="123" t="s">
        <v>73</v>
      </c>
      <c r="CD1325" s="123" t="s">
        <v>74</v>
      </c>
      <c r="CE1325" s="123" t="s">
        <v>75</v>
      </c>
      <c r="CF1325" s="123" t="s">
        <v>76</v>
      </c>
      <c r="CG1325" s="123" t="s">
        <v>77</v>
      </c>
      <c r="CH1325" s="123" t="s">
        <v>78</v>
      </c>
      <c r="CI1325" s="22" t="s">
        <v>2</v>
      </c>
      <c r="CJ1325" s="21" t="s">
        <v>0</v>
      </c>
      <c r="CK1325" s="24" t="s">
        <v>79</v>
      </c>
      <c r="CL1325"/>
      <c r="CM1325"/>
      <c r="CN1325"/>
      <c r="CO1325"/>
      <c r="CP1325"/>
      <c r="CQ1325"/>
      <c r="CR1325"/>
      <c r="CS1325"/>
      <c r="CT1325"/>
      <c r="CU1325"/>
    </row>
    <row r="1326" spans="1:99" x14ac:dyDescent="0.25">
      <c r="A1326" s="18" t="s">
        <v>548</v>
      </c>
      <c r="B1326" s="29" t="s">
        <v>127</v>
      </c>
      <c r="C1326" s="29" t="s">
        <v>128</v>
      </c>
      <c r="D1326" s="6">
        <v>38</v>
      </c>
      <c r="E1326" s="40" t="s">
        <v>83</v>
      </c>
      <c r="F1326" s="6">
        <v>38</v>
      </c>
      <c r="N1326" s="115">
        <v>1.8313253012048201E-2</v>
      </c>
      <c r="O1326" s="115">
        <v>1.8313253012048201E-2</v>
      </c>
      <c r="P1326" s="116" t="s">
        <v>83</v>
      </c>
      <c r="Q1326" s="116" t="s">
        <v>83</v>
      </c>
      <c r="R1326" s="115">
        <v>0.16666666666666699</v>
      </c>
      <c r="S1326" s="115">
        <v>2.23463687150838E-2</v>
      </c>
      <c r="T1326" s="115">
        <v>1.9607843137254902E-2</v>
      </c>
      <c r="U1326" s="115">
        <v>1.7543859649122799E-2</v>
      </c>
      <c r="V1326" s="115">
        <v>1.17878192534381E-2</v>
      </c>
      <c r="W1326" s="6">
        <v>1955</v>
      </c>
      <c r="X1326" s="40">
        <f t="shared" ref="X1326:X1362" si="96">SUM(AN1326:AR1326)</f>
        <v>1955</v>
      </c>
      <c r="Y1326" s="40">
        <f t="shared" ref="Y1326:Y1362" si="97">SUM(AL1326:AR1326)</f>
        <v>1955</v>
      </c>
      <c r="Z1326" s="59">
        <v>0.57340153452685427</v>
      </c>
      <c r="AA1326" s="59">
        <v>0.42659846547314578</v>
      </c>
      <c r="AB1326" s="61">
        <v>1.5345268542199489E-3</v>
      </c>
      <c r="AC1326" s="61">
        <v>1.278772378516624E-2</v>
      </c>
      <c r="AD1326" s="61">
        <v>0.47314578005115088</v>
      </c>
      <c r="AE1326" s="61">
        <v>4.0920716112531973E-2</v>
      </c>
      <c r="AF1326" s="61">
        <v>5.1150895140664957E-4</v>
      </c>
      <c r="AG1326" s="61">
        <v>0.45728900255754473</v>
      </c>
      <c r="AH1326" s="61">
        <v>1.3810741687979539E-2</v>
      </c>
      <c r="AI1326" s="61">
        <v>0.54271099744245521</v>
      </c>
      <c r="AJ1326" s="59">
        <v>0.47468030690537083</v>
      </c>
      <c r="AK1326" s="59">
        <v>1.4833759590792838E-2</v>
      </c>
      <c r="AL1326" s="4">
        <v>0</v>
      </c>
      <c r="AM1326" s="4">
        <v>0</v>
      </c>
      <c r="AN1326" s="4">
        <v>41</v>
      </c>
      <c r="AO1326" s="4">
        <v>453</v>
      </c>
      <c r="AP1326" s="4">
        <v>473</v>
      </c>
      <c r="AQ1326" s="4">
        <v>491</v>
      </c>
      <c r="AR1326" s="4">
        <v>497</v>
      </c>
      <c r="AS1326" s="59">
        <v>8.2995951417004055E-2</v>
      </c>
      <c r="AT1326" s="5" t="s">
        <v>550</v>
      </c>
      <c r="AU1326" s="3">
        <v>6</v>
      </c>
      <c r="AV1326" s="49">
        <v>59.832635983263607</v>
      </c>
      <c r="AW1326" s="49">
        <v>10.2510460251046</v>
      </c>
      <c r="AX1326" s="49">
        <v>22.489539748953998</v>
      </c>
      <c r="AY1326" s="67">
        <v>7.4267782426778197</v>
      </c>
      <c r="AZ1326" s="63">
        <v>0.17687074829932001</v>
      </c>
      <c r="BA1326" s="63">
        <v>0.121477162293489</v>
      </c>
      <c r="BB1326" s="80">
        <v>93</v>
      </c>
      <c r="BC1326" s="80"/>
      <c r="BD1326" s="80"/>
      <c r="BE1326" s="80"/>
      <c r="BF1326" s="80"/>
      <c r="BG1326" s="80"/>
      <c r="BH1326" s="80"/>
      <c r="BI1326" s="80"/>
      <c r="BJ1326" s="3">
        <v>21.2</v>
      </c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29" t="s">
        <v>128</v>
      </c>
      <c r="CJ1326" s="18" t="s">
        <v>548</v>
      </c>
      <c r="CK1326" s="20"/>
    </row>
    <row r="1327" spans="1:99" x14ac:dyDescent="0.25">
      <c r="A1327" s="18" t="s">
        <v>548</v>
      </c>
      <c r="B1327" s="29" t="s">
        <v>127</v>
      </c>
      <c r="C1327" s="29" t="s">
        <v>129</v>
      </c>
      <c r="D1327" s="6">
        <v>0</v>
      </c>
      <c r="E1327" s="40" t="s">
        <v>83</v>
      </c>
      <c r="F1327" s="6">
        <v>0</v>
      </c>
      <c r="N1327" s="119">
        <v>0</v>
      </c>
      <c r="O1327" s="119">
        <v>0</v>
      </c>
      <c r="P1327" s="116" t="s">
        <v>83</v>
      </c>
      <c r="Q1327" s="116" t="s">
        <v>83</v>
      </c>
      <c r="R1327" s="116" t="s">
        <v>83</v>
      </c>
      <c r="S1327" s="119">
        <v>0</v>
      </c>
      <c r="T1327" s="119">
        <v>0</v>
      </c>
      <c r="U1327" s="119">
        <v>0</v>
      </c>
      <c r="V1327" s="119">
        <v>0</v>
      </c>
      <c r="W1327" s="6">
        <v>1025</v>
      </c>
      <c r="X1327" s="40">
        <f t="shared" si="96"/>
        <v>1025</v>
      </c>
      <c r="Y1327" s="40">
        <f t="shared" si="97"/>
        <v>1025</v>
      </c>
      <c r="Z1327" s="59">
        <v>0.60097560975609754</v>
      </c>
      <c r="AA1327" s="59">
        <v>0.39902439024390246</v>
      </c>
      <c r="AB1327" s="61">
        <v>5.8536585365853658E-3</v>
      </c>
      <c r="AC1327" s="61">
        <v>8.9756097560975606E-2</v>
      </c>
      <c r="AD1327" s="61">
        <v>0.19902439024390245</v>
      </c>
      <c r="AE1327" s="61">
        <v>3.8048780487804877E-2</v>
      </c>
      <c r="AF1327" s="61">
        <v>9.7560975609756097E-4</v>
      </c>
      <c r="AG1327" s="61">
        <v>0.62146341463414634</v>
      </c>
      <c r="AH1327" s="61">
        <v>4.4878048780487803E-2</v>
      </c>
      <c r="AI1327" s="61">
        <v>0.37853658536585366</v>
      </c>
      <c r="AJ1327" s="59">
        <v>0.23902439024390243</v>
      </c>
      <c r="AK1327" s="59">
        <v>1.9512195121951219E-3</v>
      </c>
      <c r="AL1327" s="4">
        <v>0</v>
      </c>
      <c r="AM1327" s="4">
        <v>0</v>
      </c>
      <c r="AN1327" s="4">
        <v>0</v>
      </c>
      <c r="AO1327" s="4">
        <v>243</v>
      </c>
      <c r="AP1327" s="4">
        <v>294</v>
      </c>
      <c r="AQ1327" s="4">
        <v>256</v>
      </c>
      <c r="AR1327" s="4">
        <v>232</v>
      </c>
      <c r="AS1327" s="59">
        <v>0</v>
      </c>
      <c r="AT1327" s="5" t="s">
        <v>550</v>
      </c>
      <c r="AU1327" s="3">
        <v>7</v>
      </c>
      <c r="AV1327" s="49">
        <v>71.735241502683394</v>
      </c>
      <c r="AW1327" s="49">
        <v>16.457960644007201</v>
      </c>
      <c r="AX1327" s="49">
        <v>10.733452593917701</v>
      </c>
      <c r="AY1327" s="67">
        <v>1.0733452593917701</v>
      </c>
      <c r="AZ1327" s="63">
        <v>1.5414258188824701E-2</v>
      </c>
      <c r="BA1327" s="63">
        <v>2.0231213872832401E-2</v>
      </c>
      <c r="BB1327" s="79">
        <v>96.3</v>
      </c>
      <c r="BC1327" s="79"/>
      <c r="BD1327" s="79"/>
      <c r="BE1327" s="79"/>
      <c r="BF1327" s="79"/>
      <c r="BG1327" s="79"/>
      <c r="BH1327" s="79"/>
      <c r="BI1327" s="79"/>
      <c r="BJ1327" s="3">
        <v>26.7</v>
      </c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29" t="s">
        <v>129</v>
      </c>
      <c r="CJ1327" s="18" t="s">
        <v>548</v>
      </c>
      <c r="CK1327" s="20"/>
    </row>
    <row r="1328" spans="1:99" x14ac:dyDescent="0.25">
      <c r="A1328" s="18" t="s">
        <v>548</v>
      </c>
      <c r="B1328" s="29" t="s">
        <v>127</v>
      </c>
      <c r="C1328" s="29" t="s">
        <v>130</v>
      </c>
      <c r="D1328" s="6">
        <v>20</v>
      </c>
      <c r="E1328" s="40" t="s">
        <v>83</v>
      </c>
      <c r="F1328" s="6">
        <v>20</v>
      </c>
      <c r="N1328" s="115">
        <v>1.1655011655011699E-2</v>
      </c>
      <c r="O1328" s="115">
        <v>1.1655011655011699E-2</v>
      </c>
      <c r="P1328" s="116" t="s">
        <v>83</v>
      </c>
      <c r="Q1328" s="116" t="s">
        <v>83</v>
      </c>
      <c r="R1328" s="119">
        <v>0</v>
      </c>
      <c r="S1328" s="115">
        <v>1.1904761904761901E-2</v>
      </c>
      <c r="T1328" s="115">
        <v>8.4745762711864406E-3</v>
      </c>
      <c r="U1328" s="115">
        <v>1.00755667506297E-2</v>
      </c>
      <c r="V1328" s="115">
        <v>1.7699115044247801E-2</v>
      </c>
      <c r="W1328" s="6">
        <v>1635</v>
      </c>
      <c r="X1328" s="40">
        <f t="shared" si="96"/>
        <v>1635</v>
      </c>
      <c r="Y1328" s="40">
        <f t="shared" si="97"/>
        <v>1635</v>
      </c>
      <c r="Z1328" s="59">
        <v>0.51131498470948011</v>
      </c>
      <c r="AA1328" s="59">
        <v>0.48868501529051989</v>
      </c>
      <c r="AB1328" s="61">
        <v>1.834862385321101E-3</v>
      </c>
      <c r="AC1328" s="61">
        <v>7.9510703363914366E-3</v>
      </c>
      <c r="AD1328" s="61">
        <v>0.55779816513761471</v>
      </c>
      <c r="AE1328" s="61">
        <v>3.3639143730886847E-2</v>
      </c>
      <c r="AF1328" s="61">
        <v>6.116207951070336E-4</v>
      </c>
      <c r="AG1328" s="61">
        <v>0.38165137614678901</v>
      </c>
      <c r="AH1328" s="61">
        <v>1.6513761467889909E-2</v>
      </c>
      <c r="AI1328" s="61">
        <v>0.61834862385321099</v>
      </c>
      <c r="AJ1328" s="59">
        <v>0.49235474006116209</v>
      </c>
      <c r="AK1328" s="59">
        <v>1.2232415902140673E-2</v>
      </c>
      <c r="AL1328" s="4">
        <v>0</v>
      </c>
      <c r="AM1328" s="4">
        <v>0</v>
      </c>
      <c r="AN1328" s="4">
        <v>36</v>
      </c>
      <c r="AO1328" s="4">
        <v>443</v>
      </c>
      <c r="AP1328" s="4">
        <v>449</v>
      </c>
      <c r="AQ1328" s="4">
        <v>380</v>
      </c>
      <c r="AR1328" s="4">
        <v>327</v>
      </c>
      <c r="AS1328" s="59">
        <v>7.5156576200417533E-2</v>
      </c>
      <c r="AT1328" s="5" t="s">
        <v>550</v>
      </c>
      <c r="AU1328" s="3">
        <v>6</v>
      </c>
      <c r="AV1328" s="49">
        <v>73.036649214659704</v>
      </c>
      <c r="AW1328" s="49">
        <v>7.6788830715532299</v>
      </c>
      <c r="AX1328" s="49">
        <v>14.485165794066299</v>
      </c>
      <c r="AY1328" s="67">
        <v>4.7993019197207696</v>
      </c>
      <c r="AZ1328" s="63">
        <v>0.162858816637376</v>
      </c>
      <c r="BA1328" s="63">
        <v>6.5612185120093702E-2</v>
      </c>
      <c r="BB1328" s="80">
        <v>94.5</v>
      </c>
      <c r="BC1328" s="80"/>
      <c r="BD1328" s="80"/>
      <c r="BE1328" s="80"/>
      <c r="BF1328" s="80"/>
      <c r="BG1328" s="80"/>
      <c r="BH1328" s="80"/>
      <c r="BI1328" s="80"/>
      <c r="BJ1328" s="3">
        <v>19.399999999999999</v>
      </c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29" t="s">
        <v>130</v>
      </c>
      <c r="CJ1328" s="18" t="s">
        <v>548</v>
      </c>
      <c r="CK1328" s="20"/>
    </row>
    <row r="1329" spans="1:89" x14ac:dyDescent="0.25">
      <c r="A1329" s="18" t="s">
        <v>548</v>
      </c>
      <c r="B1329" s="29" t="s">
        <v>127</v>
      </c>
      <c r="C1329" s="29" t="s">
        <v>132</v>
      </c>
      <c r="D1329" s="6">
        <v>14</v>
      </c>
      <c r="E1329" s="6">
        <v>1</v>
      </c>
      <c r="F1329" s="6">
        <v>13</v>
      </c>
      <c r="N1329" s="115">
        <v>2.0057306590257899E-2</v>
      </c>
      <c r="O1329" s="115">
        <v>2.8508771929824601E-2</v>
      </c>
      <c r="P1329" s="119">
        <v>0</v>
      </c>
      <c r="Q1329" s="115">
        <v>8.6956521739130401E-3</v>
      </c>
      <c r="R1329" s="119">
        <v>0</v>
      </c>
      <c r="S1329" s="115">
        <v>2.2058823529411801E-2</v>
      </c>
      <c r="T1329" s="115">
        <v>3.5398230088495602E-2</v>
      </c>
      <c r="U1329" s="115">
        <v>3.1914893617021302E-2</v>
      </c>
      <c r="V1329" s="115">
        <v>2.7027027027027001E-2</v>
      </c>
      <c r="W1329" s="6">
        <v>611</v>
      </c>
      <c r="X1329" s="40">
        <f t="shared" si="96"/>
        <v>414</v>
      </c>
      <c r="Y1329" s="40">
        <f t="shared" si="97"/>
        <v>611</v>
      </c>
      <c r="Z1329" s="59">
        <v>0.50081833060556469</v>
      </c>
      <c r="AA1329" s="59">
        <v>0.49918166939443537</v>
      </c>
      <c r="AB1329" s="61">
        <v>0</v>
      </c>
      <c r="AC1329" s="61">
        <v>0</v>
      </c>
      <c r="AD1329" s="61">
        <v>0.99181669394435357</v>
      </c>
      <c r="AE1329" s="61">
        <v>1.6366612111292963E-3</v>
      </c>
      <c r="AF1329" s="61">
        <v>0</v>
      </c>
      <c r="AG1329" s="61">
        <v>4.9099836333878887E-3</v>
      </c>
      <c r="AH1329" s="61">
        <v>1.6366612111292963E-3</v>
      </c>
      <c r="AI1329" s="61">
        <v>0.9950900163666121</v>
      </c>
      <c r="AJ1329" s="59">
        <v>0.93617021276595747</v>
      </c>
      <c r="AK1329" s="59">
        <v>1.6366612111292963E-3</v>
      </c>
      <c r="AL1329" s="4">
        <v>104</v>
      </c>
      <c r="AM1329" s="4">
        <v>93</v>
      </c>
      <c r="AN1329" s="4">
        <v>41</v>
      </c>
      <c r="AO1329" s="4">
        <v>82</v>
      </c>
      <c r="AP1329" s="4">
        <v>97</v>
      </c>
      <c r="AQ1329" s="4">
        <v>92</v>
      </c>
      <c r="AR1329" s="4">
        <v>102</v>
      </c>
      <c r="AS1329" s="59">
        <v>0.33333333333333331</v>
      </c>
      <c r="AT1329" s="5" t="s">
        <v>551</v>
      </c>
      <c r="AU1329" s="3">
        <v>6</v>
      </c>
      <c r="AV1329" s="49">
        <v>74.651810584958199</v>
      </c>
      <c r="AW1329" s="49">
        <v>20.055710306406699</v>
      </c>
      <c r="AX1329" s="49">
        <v>5.2924791086351002</v>
      </c>
      <c r="AY1329" s="67">
        <v>0</v>
      </c>
      <c r="AZ1329" s="63">
        <v>6.23188405797101E-2</v>
      </c>
      <c r="BA1329" s="63">
        <v>0.14637681159420299</v>
      </c>
      <c r="BB1329" s="79">
        <v>89.8</v>
      </c>
      <c r="BC1329" s="79"/>
      <c r="BD1329" s="79"/>
      <c r="BE1329" s="79"/>
      <c r="BF1329" s="79"/>
      <c r="BG1329" s="79"/>
      <c r="BH1329" s="79"/>
      <c r="BI1329" s="79"/>
      <c r="BJ1329" s="3">
        <v>16.2</v>
      </c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29" t="s">
        <v>132</v>
      </c>
      <c r="CJ1329" s="18" t="s">
        <v>548</v>
      </c>
      <c r="CK1329" s="20"/>
    </row>
    <row r="1330" spans="1:89" x14ac:dyDescent="0.25">
      <c r="A1330" s="18" t="s">
        <v>548</v>
      </c>
      <c r="B1330" s="29" t="s">
        <v>127</v>
      </c>
      <c r="C1330" s="29" t="s">
        <v>133</v>
      </c>
      <c r="D1330" s="6">
        <v>8</v>
      </c>
      <c r="E1330" s="40" t="s">
        <v>83</v>
      </c>
      <c r="F1330" s="6">
        <v>8</v>
      </c>
      <c r="N1330" s="115">
        <v>8.0645161290322596E-3</v>
      </c>
      <c r="O1330" s="115">
        <v>8.0645161290322596E-3</v>
      </c>
      <c r="P1330" s="116" t="s">
        <v>83</v>
      </c>
      <c r="Q1330" s="116" t="s">
        <v>83</v>
      </c>
      <c r="R1330" s="119">
        <v>0</v>
      </c>
      <c r="S1330" s="115">
        <v>1.00334448160535E-2</v>
      </c>
      <c r="T1330" s="115">
        <v>7.4349442379182196E-3</v>
      </c>
      <c r="U1330" s="115">
        <v>0</v>
      </c>
      <c r="V1330" s="115">
        <v>1.43540669856459E-2</v>
      </c>
      <c r="W1330" s="6">
        <v>888</v>
      </c>
      <c r="X1330" s="40">
        <f t="shared" si="96"/>
        <v>888</v>
      </c>
      <c r="Y1330" s="40">
        <f t="shared" si="97"/>
        <v>888</v>
      </c>
      <c r="Z1330" s="59">
        <v>0.46846846846846846</v>
      </c>
      <c r="AA1330" s="59">
        <v>0.53153153153153154</v>
      </c>
      <c r="AB1330" s="61">
        <v>5.6306306306306304E-3</v>
      </c>
      <c r="AC1330" s="61">
        <v>0</v>
      </c>
      <c r="AD1330" s="61">
        <v>0.83671171171171166</v>
      </c>
      <c r="AE1330" s="61">
        <v>6.3063063063063057E-2</v>
      </c>
      <c r="AF1330" s="61">
        <v>0</v>
      </c>
      <c r="AG1330" s="61">
        <v>8.7837837837837843E-2</v>
      </c>
      <c r="AH1330" s="61">
        <v>6.7567567567567571E-3</v>
      </c>
      <c r="AI1330" s="61">
        <v>0.91216216216216217</v>
      </c>
      <c r="AJ1330" s="59">
        <v>0.7927927927927928</v>
      </c>
      <c r="AK1330" s="59">
        <v>2.9279279279279279E-2</v>
      </c>
      <c r="AL1330" s="4">
        <v>0</v>
      </c>
      <c r="AM1330" s="4">
        <v>0</v>
      </c>
      <c r="AN1330" s="4">
        <v>65</v>
      </c>
      <c r="AO1330" s="4">
        <v>196</v>
      </c>
      <c r="AP1330" s="4">
        <v>242</v>
      </c>
      <c r="AQ1330" s="4">
        <v>200</v>
      </c>
      <c r="AR1330" s="4">
        <v>185</v>
      </c>
      <c r="AS1330" s="59">
        <v>0.24904214559386972</v>
      </c>
      <c r="AT1330" s="5" t="s">
        <v>550</v>
      </c>
      <c r="AU1330" s="3">
        <v>6</v>
      </c>
      <c r="AV1330" s="49">
        <v>68.518518518518505</v>
      </c>
      <c r="AW1330" s="49">
        <v>11.1111111111111</v>
      </c>
      <c r="AX1330" s="49">
        <v>15.432098765432102</v>
      </c>
      <c r="AY1330" s="67">
        <v>4.9382716049382696</v>
      </c>
      <c r="AZ1330" s="63">
        <v>0.235055724417427</v>
      </c>
      <c r="BA1330" s="63">
        <v>0.119554204660588</v>
      </c>
      <c r="BB1330" s="80">
        <v>90.7</v>
      </c>
      <c r="BC1330" s="80"/>
      <c r="BD1330" s="80"/>
      <c r="BE1330" s="80"/>
      <c r="BF1330" s="80"/>
      <c r="BG1330" s="80"/>
      <c r="BH1330" s="80"/>
      <c r="BI1330" s="80"/>
      <c r="BJ1330" s="3">
        <v>15.7</v>
      </c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29" t="s">
        <v>133</v>
      </c>
      <c r="CJ1330" s="18" t="s">
        <v>548</v>
      </c>
      <c r="CK1330" s="20"/>
    </row>
    <row r="1331" spans="1:89" x14ac:dyDescent="0.25">
      <c r="A1331" s="18" t="s">
        <v>548</v>
      </c>
      <c r="B1331" s="29" t="s">
        <v>127</v>
      </c>
      <c r="C1331" s="29" t="s">
        <v>134</v>
      </c>
      <c r="D1331" s="6">
        <v>5</v>
      </c>
      <c r="E1331" s="40" t="s">
        <v>83</v>
      </c>
      <c r="F1331" s="6">
        <v>5</v>
      </c>
      <c r="N1331" s="115">
        <v>1.1792452830188699E-2</v>
      </c>
      <c r="O1331" s="115">
        <v>1.1792452830188699E-2</v>
      </c>
      <c r="P1331" s="116" t="s">
        <v>83</v>
      </c>
      <c r="Q1331" s="116" t="s">
        <v>83</v>
      </c>
      <c r="R1331" s="115">
        <v>3.5714285714285698E-2</v>
      </c>
      <c r="S1331" s="115">
        <v>0</v>
      </c>
      <c r="T1331" s="115">
        <v>8.6956521739130401E-3</v>
      </c>
      <c r="U1331" s="115">
        <v>0</v>
      </c>
      <c r="V1331" s="115">
        <v>3.03030303030303E-2</v>
      </c>
      <c r="W1331" s="6">
        <v>377</v>
      </c>
      <c r="X1331" s="40">
        <f t="shared" si="96"/>
        <v>377</v>
      </c>
      <c r="Y1331" s="40">
        <f t="shared" si="97"/>
        <v>377</v>
      </c>
      <c r="Z1331" s="59">
        <v>0.46949602122015915</v>
      </c>
      <c r="AA1331" s="59">
        <v>0.5305039787798409</v>
      </c>
      <c r="AB1331" s="61">
        <v>2.6525198938992041E-3</v>
      </c>
      <c r="AC1331" s="61">
        <v>2.6525198938992041E-3</v>
      </c>
      <c r="AD1331" s="61">
        <v>0.40318302387267907</v>
      </c>
      <c r="AE1331" s="61">
        <v>4.2440318302387266E-2</v>
      </c>
      <c r="AF1331" s="61">
        <v>0</v>
      </c>
      <c r="AG1331" s="61">
        <v>0.52785145888594165</v>
      </c>
      <c r="AH1331" s="61">
        <v>2.1220159151193633E-2</v>
      </c>
      <c r="AI1331" s="61">
        <v>0.47214854111405835</v>
      </c>
      <c r="AJ1331" s="59">
        <v>0.75331564986737398</v>
      </c>
      <c r="AK1331" s="59">
        <v>1.5915119363395226E-2</v>
      </c>
      <c r="AL1331" s="4">
        <v>0</v>
      </c>
      <c r="AM1331" s="4">
        <v>0</v>
      </c>
      <c r="AN1331" s="4">
        <v>25</v>
      </c>
      <c r="AO1331" s="4">
        <v>65</v>
      </c>
      <c r="AP1331" s="4">
        <v>97</v>
      </c>
      <c r="AQ1331" s="4">
        <v>95</v>
      </c>
      <c r="AR1331" s="4">
        <v>95</v>
      </c>
      <c r="AS1331" s="59">
        <v>0.27777777777777779</v>
      </c>
      <c r="AT1331" s="5" t="s">
        <v>550</v>
      </c>
      <c r="AU1331" s="3">
        <v>6</v>
      </c>
      <c r="AV1331" s="49">
        <v>79.422382671480094</v>
      </c>
      <c r="AW1331" s="49">
        <v>17.689530685920598</v>
      </c>
      <c r="AX1331" s="49">
        <v>2.8880866425992799</v>
      </c>
      <c r="AY1331" s="67">
        <v>0</v>
      </c>
      <c r="AZ1331" s="63">
        <v>0.17772511848341199</v>
      </c>
      <c r="BA1331" s="63">
        <v>0.104265402843602</v>
      </c>
      <c r="BB1331" s="79">
        <v>90.5</v>
      </c>
      <c r="BC1331" s="79"/>
      <c r="BD1331" s="79"/>
      <c r="BE1331" s="79"/>
      <c r="BF1331" s="79"/>
      <c r="BG1331" s="79"/>
      <c r="BH1331" s="79"/>
      <c r="BI1331" s="79"/>
      <c r="BJ1331" s="3">
        <v>18</v>
      </c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29" t="s">
        <v>134</v>
      </c>
      <c r="CJ1331" s="18" t="s">
        <v>548</v>
      </c>
      <c r="CK1331" s="20"/>
    </row>
    <row r="1332" spans="1:89" x14ac:dyDescent="0.25">
      <c r="A1332" s="18" t="s">
        <v>548</v>
      </c>
      <c r="B1332" s="29" t="s">
        <v>127</v>
      </c>
      <c r="C1332" s="29" t="s">
        <v>135</v>
      </c>
      <c r="D1332" s="6">
        <v>28</v>
      </c>
      <c r="E1332" s="40" t="s">
        <v>83</v>
      </c>
      <c r="F1332" s="6">
        <v>28</v>
      </c>
      <c r="N1332" s="115">
        <v>2.4582967515364401E-2</v>
      </c>
      <c r="O1332" s="115">
        <v>2.4582967515364401E-2</v>
      </c>
      <c r="P1332" s="116" t="s">
        <v>83</v>
      </c>
      <c r="Q1332" s="116" t="s">
        <v>83</v>
      </c>
      <c r="R1332" s="119">
        <v>0</v>
      </c>
      <c r="S1332" s="115">
        <v>9.0909090909090905E-3</v>
      </c>
      <c r="T1332" s="115">
        <v>2.7303754266211601E-2</v>
      </c>
      <c r="U1332" s="115">
        <v>2.9090909090909101E-2</v>
      </c>
      <c r="V1332" s="115">
        <v>3.7974683544303799E-2</v>
      </c>
      <c r="W1332" s="6">
        <v>1053</v>
      </c>
      <c r="X1332" s="40">
        <f t="shared" si="96"/>
        <v>1053</v>
      </c>
      <c r="Y1332" s="40">
        <f t="shared" si="97"/>
        <v>1053</v>
      </c>
      <c r="Z1332" s="59">
        <v>0.48338081671415006</v>
      </c>
      <c r="AA1332" s="59">
        <v>0.51661918328584999</v>
      </c>
      <c r="AB1332" s="61">
        <v>1.8993352326685661E-3</v>
      </c>
      <c r="AC1332" s="61">
        <v>4.7483380816714148E-3</v>
      </c>
      <c r="AD1332" s="61">
        <v>0.37226970560303896</v>
      </c>
      <c r="AE1332" s="61">
        <v>3.9886039886039885E-2</v>
      </c>
      <c r="AF1332" s="61">
        <v>0</v>
      </c>
      <c r="AG1332" s="61">
        <v>0.5679012345679012</v>
      </c>
      <c r="AH1332" s="61">
        <v>1.3295346628679962E-2</v>
      </c>
      <c r="AI1332" s="61">
        <v>0.43209876543209874</v>
      </c>
      <c r="AJ1332" s="59">
        <v>0.60493827160493829</v>
      </c>
      <c r="AK1332" s="59">
        <v>1.2345679012345678E-2</v>
      </c>
      <c r="AL1332" s="4">
        <v>0</v>
      </c>
      <c r="AM1332" s="4">
        <v>0</v>
      </c>
      <c r="AN1332" s="4">
        <v>60</v>
      </c>
      <c r="AO1332" s="4">
        <v>249</v>
      </c>
      <c r="AP1332" s="4">
        <v>267</v>
      </c>
      <c r="AQ1332" s="4">
        <v>258</v>
      </c>
      <c r="AR1332" s="4">
        <v>219</v>
      </c>
      <c r="AS1332" s="59">
        <v>0.1941747572815534</v>
      </c>
      <c r="AT1332" s="5" t="s">
        <v>550</v>
      </c>
      <c r="AU1332" s="3">
        <v>6</v>
      </c>
      <c r="AV1332" s="49">
        <v>64.899451553930504</v>
      </c>
      <c r="AW1332" s="49">
        <v>14.8080438756856</v>
      </c>
      <c r="AX1332" s="49">
        <v>18.647166361974399</v>
      </c>
      <c r="AY1332" s="67">
        <v>1.6453382084095101</v>
      </c>
      <c r="AZ1332" s="63">
        <v>0.11121076233183901</v>
      </c>
      <c r="BA1332" s="63">
        <v>9.1479820627802702E-2</v>
      </c>
      <c r="BB1332" s="80">
        <v>93.1</v>
      </c>
      <c r="BC1332" s="80"/>
      <c r="BD1332" s="80"/>
      <c r="BE1332" s="80"/>
      <c r="BF1332" s="80"/>
      <c r="BG1332" s="80"/>
      <c r="BH1332" s="80"/>
      <c r="BI1332" s="80"/>
      <c r="BJ1332" s="3">
        <v>18.2</v>
      </c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29" t="s">
        <v>135</v>
      </c>
      <c r="CJ1332" s="18" t="s">
        <v>548</v>
      </c>
      <c r="CK1332" s="20"/>
    </row>
    <row r="1333" spans="1:89" x14ac:dyDescent="0.25">
      <c r="A1333" s="18" t="s">
        <v>548</v>
      </c>
      <c r="B1333" s="29" t="s">
        <v>127</v>
      </c>
      <c r="C1333" s="29" t="s">
        <v>136</v>
      </c>
      <c r="D1333" s="6">
        <v>50</v>
      </c>
      <c r="E1333" s="40" t="s">
        <v>83</v>
      </c>
      <c r="F1333" s="6">
        <v>50</v>
      </c>
      <c r="N1333" s="115">
        <v>2.8506271379703501E-2</v>
      </c>
      <c r="O1333" s="115">
        <v>2.8506271379703501E-2</v>
      </c>
      <c r="P1333" s="116" t="s">
        <v>83</v>
      </c>
      <c r="Q1333" s="116" t="s">
        <v>83</v>
      </c>
      <c r="R1333" s="115">
        <v>3.2608695652173898E-2</v>
      </c>
      <c r="S1333" s="115">
        <v>1.0582010582010601E-2</v>
      </c>
      <c r="T1333" s="115">
        <v>2.66666666666667E-2</v>
      </c>
      <c r="U1333" s="115">
        <v>2.5171624713958798E-2</v>
      </c>
      <c r="V1333" s="115">
        <v>5.0377833753148603E-2</v>
      </c>
      <c r="W1333" s="6">
        <v>1577</v>
      </c>
      <c r="X1333" s="40">
        <f t="shared" si="96"/>
        <v>1577</v>
      </c>
      <c r="Y1333" s="40">
        <f t="shared" si="97"/>
        <v>1577</v>
      </c>
      <c r="Z1333" s="59">
        <v>0.50285351934052003</v>
      </c>
      <c r="AA1333" s="59">
        <v>0.49714648065948003</v>
      </c>
      <c r="AB1333" s="61">
        <v>1.9023462270133164E-3</v>
      </c>
      <c r="AC1333" s="61">
        <v>2.5364616360177552E-3</v>
      </c>
      <c r="AD1333" s="61">
        <v>0.74191502853519342</v>
      </c>
      <c r="AE1333" s="61">
        <v>3.1071655041217502E-2</v>
      </c>
      <c r="AF1333" s="61">
        <v>6.3411540900443881E-4</v>
      </c>
      <c r="AG1333" s="61">
        <v>0.20798985415345592</v>
      </c>
      <c r="AH1333" s="61">
        <v>1.3950538998097653E-2</v>
      </c>
      <c r="AI1333" s="61">
        <v>0.79201014584654406</v>
      </c>
      <c r="AJ1333" s="59">
        <v>0.70069752694990484</v>
      </c>
      <c r="AK1333" s="59">
        <v>6.9752694990488267E-3</v>
      </c>
      <c r="AL1333" s="4">
        <v>0</v>
      </c>
      <c r="AM1333" s="4">
        <v>0</v>
      </c>
      <c r="AN1333" s="4">
        <v>85</v>
      </c>
      <c r="AO1333" s="4">
        <v>328</v>
      </c>
      <c r="AP1333" s="4">
        <v>406</v>
      </c>
      <c r="AQ1333" s="4">
        <v>408</v>
      </c>
      <c r="AR1333" s="4">
        <v>350</v>
      </c>
      <c r="AS1333" s="59">
        <v>0.20581113801452786</v>
      </c>
      <c r="AT1333" s="5" t="s">
        <v>550</v>
      </c>
      <c r="AU1333" s="3">
        <v>6</v>
      </c>
      <c r="AV1333" s="49">
        <v>39.155470249520199</v>
      </c>
      <c r="AW1333" s="49">
        <v>19.001919385796501</v>
      </c>
      <c r="AX1333" s="49">
        <v>31.477927063339699</v>
      </c>
      <c r="AY1333" s="67">
        <v>10.3646833013436</v>
      </c>
      <c r="AZ1333" s="63">
        <v>0.131166569936158</v>
      </c>
      <c r="BA1333" s="63">
        <v>0.11027278003482301</v>
      </c>
      <c r="BB1333" s="79">
        <v>92.1</v>
      </c>
      <c r="BC1333" s="79"/>
      <c r="BD1333" s="79"/>
      <c r="BE1333" s="79"/>
      <c r="BF1333" s="79"/>
      <c r="BG1333" s="79"/>
      <c r="BH1333" s="79"/>
      <c r="BI1333" s="79"/>
      <c r="BJ1333" s="3">
        <v>16.399999999999999</v>
      </c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29" t="s">
        <v>136</v>
      </c>
      <c r="CJ1333" s="18" t="s">
        <v>548</v>
      </c>
      <c r="CK1333" s="20"/>
    </row>
    <row r="1334" spans="1:89" x14ac:dyDescent="0.25">
      <c r="A1334" s="18" t="s">
        <v>548</v>
      </c>
      <c r="B1334" s="29" t="s">
        <v>127</v>
      </c>
      <c r="C1334" s="29" t="s">
        <v>137</v>
      </c>
      <c r="D1334" s="6">
        <v>40</v>
      </c>
      <c r="E1334" s="40" t="s">
        <v>83</v>
      </c>
      <c r="F1334" s="6">
        <v>40</v>
      </c>
      <c r="N1334" s="115">
        <v>4.0609137055837602E-2</v>
      </c>
      <c r="O1334" s="115">
        <v>4.0609137055837602E-2</v>
      </c>
      <c r="P1334" s="116" t="s">
        <v>83</v>
      </c>
      <c r="Q1334" s="116" t="s">
        <v>83</v>
      </c>
      <c r="R1334" s="115">
        <v>0.1</v>
      </c>
      <c r="S1334" s="115">
        <v>4.0268456375838903E-2</v>
      </c>
      <c r="T1334" s="115">
        <v>4.3824701195219098E-2</v>
      </c>
      <c r="U1334" s="115">
        <v>2.9126213592233E-2</v>
      </c>
      <c r="V1334" s="115">
        <v>4.5454545454545497E-2</v>
      </c>
      <c r="W1334" s="6">
        <v>849</v>
      </c>
      <c r="X1334" s="40">
        <f t="shared" si="96"/>
        <v>849</v>
      </c>
      <c r="Y1334" s="40">
        <f t="shared" si="97"/>
        <v>849</v>
      </c>
      <c r="Z1334" s="59">
        <v>0.52061248527679627</v>
      </c>
      <c r="AA1334" s="59">
        <v>0.47938751472320379</v>
      </c>
      <c r="AB1334" s="61">
        <v>1.1778563015312131E-3</v>
      </c>
      <c r="AC1334" s="61">
        <v>0</v>
      </c>
      <c r="AD1334" s="61">
        <v>0.9882214369846879</v>
      </c>
      <c r="AE1334" s="61">
        <v>4.7114252061248524E-3</v>
      </c>
      <c r="AF1334" s="61">
        <v>0</v>
      </c>
      <c r="AG1334" s="61">
        <v>3.5335689045936395E-3</v>
      </c>
      <c r="AH1334" s="61">
        <v>2.3557126030624262E-3</v>
      </c>
      <c r="AI1334" s="61">
        <v>0.99646643109540634</v>
      </c>
      <c r="AJ1334" s="59">
        <v>0.91637220259128382</v>
      </c>
      <c r="AK1334" s="59">
        <v>2.3557126030624262E-3</v>
      </c>
      <c r="AL1334" s="4">
        <v>0</v>
      </c>
      <c r="AM1334" s="4">
        <v>0</v>
      </c>
      <c r="AN1334" s="4">
        <v>61</v>
      </c>
      <c r="AO1334" s="4">
        <v>186</v>
      </c>
      <c r="AP1334" s="4">
        <v>216</v>
      </c>
      <c r="AQ1334" s="4">
        <v>195</v>
      </c>
      <c r="AR1334" s="4">
        <v>191</v>
      </c>
      <c r="AS1334" s="59">
        <v>0.24696356275303644</v>
      </c>
      <c r="AT1334" s="5" t="s">
        <v>550</v>
      </c>
      <c r="AU1334" s="3">
        <v>6</v>
      </c>
      <c r="AV1334" s="49">
        <v>70.862068965517196</v>
      </c>
      <c r="AW1334" s="49">
        <v>16.551724137931</v>
      </c>
      <c r="AX1334" s="49">
        <v>11.7241379310345</v>
      </c>
      <c r="AY1334" s="67">
        <v>0.86206896551724099</v>
      </c>
      <c r="AZ1334" s="63">
        <v>8.7628865979381396E-2</v>
      </c>
      <c r="BA1334" s="63">
        <v>0.10103092783505201</v>
      </c>
      <c r="BB1334" s="80">
        <v>87.3</v>
      </c>
      <c r="BC1334" s="80"/>
      <c r="BD1334" s="80"/>
      <c r="BE1334" s="80"/>
      <c r="BF1334" s="80"/>
      <c r="BG1334" s="80"/>
      <c r="BH1334" s="80"/>
      <c r="BI1334" s="80"/>
      <c r="BJ1334" s="3">
        <v>14.7</v>
      </c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29" t="s">
        <v>137</v>
      </c>
      <c r="CJ1334" s="18" t="s">
        <v>548</v>
      </c>
      <c r="CK1334" s="20"/>
    </row>
    <row r="1335" spans="1:89" x14ac:dyDescent="0.25">
      <c r="A1335" s="18" t="s">
        <v>548</v>
      </c>
      <c r="B1335" s="29" t="s">
        <v>127</v>
      </c>
      <c r="C1335" s="29" t="s">
        <v>138</v>
      </c>
      <c r="D1335" s="6">
        <v>57</v>
      </c>
      <c r="E1335" s="40" t="s">
        <v>83</v>
      </c>
      <c r="F1335" s="6">
        <v>57</v>
      </c>
      <c r="N1335" s="115">
        <v>5.8762886597938102E-2</v>
      </c>
      <c r="O1335" s="115">
        <v>5.8762886597938102E-2</v>
      </c>
      <c r="P1335" s="116" t="s">
        <v>83</v>
      </c>
      <c r="Q1335" s="116" t="s">
        <v>83</v>
      </c>
      <c r="R1335" s="119">
        <v>0</v>
      </c>
      <c r="S1335" s="115">
        <v>6.4406779661016905E-2</v>
      </c>
      <c r="T1335" s="115">
        <v>6.4846416382252595E-2</v>
      </c>
      <c r="U1335" s="115">
        <v>5.6872037914691899E-2</v>
      </c>
      <c r="V1335" s="115">
        <v>4.1420118343195297E-2</v>
      </c>
      <c r="W1335" s="6">
        <v>845</v>
      </c>
      <c r="X1335" s="40">
        <f t="shared" si="96"/>
        <v>845</v>
      </c>
      <c r="Y1335" s="40">
        <f t="shared" si="97"/>
        <v>845</v>
      </c>
      <c r="Z1335" s="59">
        <v>0.42958579881656805</v>
      </c>
      <c r="AA1335" s="59">
        <v>0.570414201183432</v>
      </c>
      <c r="AB1335" s="61">
        <v>0</v>
      </c>
      <c r="AC1335" s="61">
        <v>0</v>
      </c>
      <c r="AD1335" s="61">
        <v>0.96804733727810655</v>
      </c>
      <c r="AE1335" s="61">
        <v>1.1834319526627219E-2</v>
      </c>
      <c r="AF1335" s="61">
        <v>1.1834319526627219E-3</v>
      </c>
      <c r="AG1335" s="61">
        <v>1.301775147928994E-2</v>
      </c>
      <c r="AH1335" s="61">
        <v>5.9171597633136093E-3</v>
      </c>
      <c r="AI1335" s="61">
        <v>0.98698224852071004</v>
      </c>
      <c r="AJ1335" s="59">
        <v>0.9349112426035503</v>
      </c>
      <c r="AK1335" s="59">
        <v>4.7337278106508876E-3</v>
      </c>
      <c r="AL1335" s="4">
        <v>0</v>
      </c>
      <c r="AM1335" s="4">
        <v>0</v>
      </c>
      <c r="AN1335" s="4">
        <v>78</v>
      </c>
      <c r="AO1335" s="4">
        <v>157</v>
      </c>
      <c r="AP1335" s="4">
        <v>262</v>
      </c>
      <c r="AQ1335" s="4">
        <v>193</v>
      </c>
      <c r="AR1335" s="4">
        <v>155</v>
      </c>
      <c r="AS1335" s="59">
        <v>0.33191489361702126</v>
      </c>
      <c r="AT1335" s="5" t="s">
        <v>550</v>
      </c>
      <c r="AU1335" s="3">
        <v>6</v>
      </c>
      <c r="AV1335" s="49">
        <v>51.951951951951905</v>
      </c>
      <c r="AW1335" s="49">
        <v>12.912912912912899</v>
      </c>
      <c r="AX1335" s="49">
        <v>29.129129129129101</v>
      </c>
      <c r="AY1335" s="67">
        <v>6.0060060060060101</v>
      </c>
      <c r="AZ1335" s="63">
        <v>0.12150537634408599</v>
      </c>
      <c r="BA1335" s="63">
        <v>0.11075268817204301</v>
      </c>
      <c r="BB1335" s="79">
        <v>87.3</v>
      </c>
      <c r="BC1335" s="79"/>
      <c r="BD1335" s="79"/>
      <c r="BE1335" s="79"/>
      <c r="BF1335" s="79"/>
      <c r="BG1335" s="79"/>
      <c r="BH1335" s="79"/>
      <c r="BI1335" s="79"/>
      <c r="BJ1335" s="3">
        <v>14.3</v>
      </c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29" t="s">
        <v>138</v>
      </c>
      <c r="CJ1335" s="18" t="s">
        <v>548</v>
      </c>
      <c r="CK1335" s="20"/>
    </row>
    <row r="1336" spans="1:89" x14ac:dyDescent="0.25">
      <c r="A1336" s="18" t="s">
        <v>548</v>
      </c>
      <c r="B1336" s="29" t="s">
        <v>127</v>
      </c>
      <c r="C1336" s="29" t="s">
        <v>491</v>
      </c>
      <c r="D1336" s="6">
        <v>4</v>
      </c>
      <c r="E1336" s="6">
        <v>3</v>
      </c>
      <c r="F1336" s="6">
        <v>1</v>
      </c>
      <c r="N1336" s="115">
        <v>1.0582010582010601E-2</v>
      </c>
      <c r="O1336" s="115">
        <v>8.5470085470085496E-3</v>
      </c>
      <c r="P1336" s="115">
        <v>7.9365079365079395E-3</v>
      </c>
      <c r="Q1336" s="115">
        <v>1.48148148148148E-2</v>
      </c>
      <c r="R1336" s="116" t="s">
        <v>83</v>
      </c>
      <c r="S1336" s="115">
        <v>0</v>
      </c>
      <c r="T1336" s="115">
        <v>0</v>
      </c>
      <c r="U1336" s="115">
        <v>2.7027027027027001E-2</v>
      </c>
      <c r="V1336" s="116" t="s">
        <v>83</v>
      </c>
      <c r="W1336" s="6">
        <v>992</v>
      </c>
      <c r="X1336" s="40">
        <f t="shared" si="96"/>
        <v>108</v>
      </c>
      <c r="Y1336" s="40">
        <f t="shared" si="97"/>
        <v>338</v>
      </c>
      <c r="Z1336" s="59">
        <v>0.49495967741935482</v>
      </c>
      <c r="AA1336" s="59">
        <v>0.50504032258064513</v>
      </c>
      <c r="AB1336" s="61">
        <v>1.0080645161290322E-3</v>
      </c>
      <c r="AC1336" s="61">
        <v>4.0322580645161289E-3</v>
      </c>
      <c r="AD1336" s="61">
        <v>0.79233870967741937</v>
      </c>
      <c r="AE1336" s="61">
        <v>5.4435483870967742E-2</v>
      </c>
      <c r="AF1336" s="61">
        <v>0</v>
      </c>
      <c r="AG1336" s="61">
        <v>0.13205645161290322</v>
      </c>
      <c r="AH1336" s="61">
        <v>1.6129032258064516E-2</v>
      </c>
      <c r="AI1336" s="61">
        <v>0.86794354838709675</v>
      </c>
      <c r="AJ1336" s="59">
        <v>0.80141129032258063</v>
      </c>
      <c r="AK1336" s="59">
        <v>2.7217741935483871E-2</v>
      </c>
      <c r="AL1336" s="4">
        <v>109</v>
      </c>
      <c r="AM1336" s="4">
        <v>121</v>
      </c>
      <c r="AN1336" s="4">
        <v>0</v>
      </c>
      <c r="AO1336" s="4">
        <v>40</v>
      </c>
      <c r="AP1336" s="4">
        <v>33</v>
      </c>
      <c r="AQ1336" s="4">
        <v>35</v>
      </c>
      <c r="AR1336" s="4">
        <v>0</v>
      </c>
      <c r="AS1336" s="59">
        <v>0</v>
      </c>
      <c r="AT1336" s="3">
        <v>1</v>
      </c>
      <c r="AU1336" s="3">
        <v>1</v>
      </c>
      <c r="AV1336" s="49">
        <v>49.764150943396203</v>
      </c>
      <c r="AW1336" s="49">
        <v>48.820754716981099</v>
      </c>
      <c r="AX1336" s="49">
        <v>1.17924528301887</v>
      </c>
      <c r="AY1336" s="67">
        <v>0.235849056603774</v>
      </c>
      <c r="AZ1336" s="63">
        <v>0.14645522388059701</v>
      </c>
      <c r="BA1336" s="63">
        <v>0.145522388059702</v>
      </c>
      <c r="BB1336" s="80">
        <v>95.5</v>
      </c>
      <c r="BC1336" s="80"/>
      <c r="BD1336" s="80"/>
      <c r="BE1336" s="80"/>
      <c r="BF1336" s="80"/>
      <c r="BG1336" s="80"/>
      <c r="BH1336" s="80"/>
      <c r="BI1336" s="80"/>
      <c r="BJ1336" s="80"/>
      <c r="BK1336" s="80"/>
      <c r="BL1336" s="80"/>
      <c r="BM1336" s="80"/>
      <c r="BN1336" s="80"/>
      <c r="BO1336" s="80"/>
      <c r="BP1336" s="80"/>
      <c r="BQ1336" s="80"/>
      <c r="BR1336" s="80"/>
      <c r="BS1336" s="80"/>
      <c r="BT1336" s="80"/>
      <c r="BU1336" s="80"/>
      <c r="BV1336" s="80"/>
      <c r="BW1336" s="80"/>
      <c r="BX1336" s="80"/>
      <c r="BY1336" s="80"/>
      <c r="BZ1336" s="80"/>
      <c r="CA1336" s="80"/>
      <c r="CB1336" s="80"/>
      <c r="CC1336" s="80"/>
      <c r="CD1336" s="80"/>
      <c r="CE1336" s="80"/>
      <c r="CF1336" s="80"/>
      <c r="CG1336" s="80"/>
      <c r="CH1336" s="80"/>
      <c r="CI1336" s="29" t="s">
        <v>491</v>
      </c>
      <c r="CJ1336" s="18" t="s">
        <v>548</v>
      </c>
      <c r="CK1336" s="28" t="s">
        <v>506</v>
      </c>
    </row>
    <row r="1337" spans="1:89" x14ac:dyDescent="0.25">
      <c r="A1337" s="18" t="s">
        <v>548</v>
      </c>
      <c r="B1337" s="29" t="s">
        <v>139</v>
      </c>
      <c r="C1337" s="29" t="s">
        <v>140</v>
      </c>
      <c r="D1337" s="6">
        <v>26</v>
      </c>
      <c r="E1337" s="40" t="s">
        <v>83</v>
      </c>
      <c r="F1337" s="6">
        <v>26</v>
      </c>
      <c r="N1337" s="115">
        <v>1.2138188608776799E-2</v>
      </c>
      <c r="O1337" s="115">
        <v>1.2138188608776799E-2</v>
      </c>
      <c r="P1337" s="116" t="s">
        <v>83</v>
      </c>
      <c r="Q1337" s="116" t="s">
        <v>83</v>
      </c>
      <c r="R1337" s="119">
        <v>0</v>
      </c>
      <c r="S1337" s="115">
        <v>1.41342756183746E-2</v>
      </c>
      <c r="T1337" s="115">
        <v>1.02564102564103E-2</v>
      </c>
      <c r="U1337" s="115">
        <v>1.3779527559055101E-2</v>
      </c>
      <c r="V1337" s="115">
        <v>1.10619469026549E-2</v>
      </c>
      <c r="W1337" s="6">
        <v>1995</v>
      </c>
      <c r="X1337" s="40">
        <f t="shared" si="96"/>
        <v>1995</v>
      </c>
      <c r="Y1337" s="40">
        <f t="shared" si="97"/>
        <v>1995</v>
      </c>
      <c r="Z1337" s="59">
        <v>0.48972431077694234</v>
      </c>
      <c r="AA1337" s="59">
        <v>0.51027568922305766</v>
      </c>
      <c r="AB1337" s="61">
        <v>3.0075187969924814E-3</v>
      </c>
      <c r="AC1337" s="61">
        <v>4.912280701754386E-2</v>
      </c>
      <c r="AD1337" s="61">
        <v>0.31077694235588971</v>
      </c>
      <c r="AE1337" s="61">
        <v>3.7092731829573934E-2</v>
      </c>
      <c r="AF1337" s="61">
        <v>2.0050125313283208E-3</v>
      </c>
      <c r="AG1337" s="61">
        <v>0.58847117794486214</v>
      </c>
      <c r="AH1337" s="61">
        <v>9.5238095238095247E-3</v>
      </c>
      <c r="AI1337" s="61">
        <v>0.41152882205513786</v>
      </c>
      <c r="AJ1337" s="59">
        <v>0.41804511278195489</v>
      </c>
      <c r="AK1337" s="59">
        <v>2.2055137844611529E-2</v>
      </c>
      <c r="AL1337" s="4">
        <v>0</v>
      </c>
      <c r="AM1337" s="4">
        <v>0</v>
      </c>
      <c r="AN1337" s="4">
        <v>67</v>
      </c>
      <c r="AO1337" s="4">
        <v>490</v>
      </c>
      <c r="AP1337" s="4">
        <v>534</v>
      </c>
      <c r="AQ1337" s="4">
        <v>471</v>
      </c>
      <c r="AR1337" s="4">
        <v>433</v>
      </c>
      <c r="AS1337" s="59">
        <v>0.12028725314183124</v>
      </c>
      <c r="AT1337" s="5" t="s">
        <v>550</v>
      </c>
      <c r="AU1337" s="3">
        <v>6</v>
      </c>
      <c r="AV1337" s="49">
        <v>61.078546307151207</v>
      </c>
      <c r="AW1337" s="49">
        <v>17.584994138335301</v>
      </c>
      <c r="AX1337" s="49">
        <v>20.398593200468902</v>
      </c>
      <c r="AY1337" s="67">
        <v>0.93786635404454888</v>
      </c>
      <c r="AZ1337" s="63">
        <v>9.8730606488011297E-2</v>
      </c>
      <c r="BA1337" s="63">
        <v>0.11236483309825999</v>
      </c>
      <c r="BB1337" s="80">
        <v>93.6</v>
      </c>
      <c r="BC1337" s="80"/>
      <c r="BD1337" s="80"/>
      <c r="BE1337" s="80"/>
      <c r="BF1337" s="80"/>
      <c r="BG1337" s="80"/>
      <c r="BH1337" s="80"/>
      <c r="BI1337" s="80"/>
      <c r="BJ1337" s="3">
        <v>20.9</v>
      </c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29" t="s">
        <v>140</v>
      </c>
      <c r="CJ1337" s="18" t="s">
        <v>548</v>
      </c>
      <c r="CK1337" s="20"/>
    </row>
    <row r="1338" spans="1:89" x14ac:dyDescent="0.25">
      <c r="A1338" s="18" t="s">
        <v>548</v>
      </c>
      <c r="B1338" s="29" t="s">
        <v>139</v>
      </c>
      <c r="C1338" s="29" t="s">
        <v>141</v>
      </c>
      <c r="D1338" s="6">
        <v>1</v>
      </c>
      <c r="E1338" s="6">
        <v>1</v>
      </c>
      <c r="F1338" s="6">
        <v>0</v>
      </c>
      <c r="N1338" s="115">
        <v>2.92397660818713E-3</v>
      </c>
      <c r="O1338" s="115">
        <v>0</v>
      </c>
      <c r="P1338" s="115">
        <v>1.4492753623188401E-2</v>
      </c>
      <c r="Q1338" s="119">
        <v>0</v>
      </c>
      <c r="R1338" s="119">
        <v>0</v>
      </c>
      <c r="S1338" s="119">
        <v>0</v>
      </c>
      <c r="T1338" s="119">
        <v>0</v>
      </c>
      <c r="U1338" s="119">
        <v>0</v>
      </c>
      <c r="V1338" s="119">
        <v>0</v>
      </c>
      <c r="W1338" s="6">
        <v>744</v>
      </c>
      <c r="X1338" s="40">
        <f t="shared" si="96"/>
        <v>212</v>
      </c>
      <c r="Y1338" s="40">
        <f t="shared" si="97"/>
        <v>326</v>
      </c>
      <c r="Z1338" s="59">
        <v>0.5</v>
      </c>
      <c r="AA1338" s="59">
        <v>0.5</v>
      </c>
      <c r="AB1338" s="61">
        <v>5.3763440860215058E-3</v>
      </c>
      <c r="AC1338" s="61">
        <v>2.6881720430107529E-3</v>
      </c>
      <c r="AD1338" s="61">
        <v>2.2849462365591398E-2</v>
      </c>
      <c r="AE1338" s="61">
        <v>5.779569892473118E-2</v>
      </c>
      <c r="AF1338" s="61">
        <v>0</v>
      </c>
      <c r="AG1338" s="61">
        <v>0.88844086021505375</v>
      </c>
      <c r="AH1338" s="61">
        <v>2.2849462365591398E-2</v>
      </c>
      <c r="AI1338" s="61">
        <v>0.11155913978494623</v>
      </c>
      <c r="AJ1338" s="59">
        <v>0.52822580645161288</v>
      </c>
      <c r="AK1338" s="59">
        <v>1.0752688172043012E-2</v>
      </c>
      <c r="AL1338" s="4">
        <v>65</v>
      </c>
      <c r="AM1338" s="4">
        <v>49</v>
      </c>
      <c r="AN1338" s="4">
        <v>8</v>
      </c>
      <c r="AO1338" s="4">
        <v>51</v>
      </c>
      <c r="AP1338" s="4">
        <v>51</v>
      </c>
      <c r="AQ1338" s="4">
        <v>54</v>
      </c>
      <c r="AR1338" s="4">
        <v>48</v>
      </c>
      <c r="AS1338" s="59">
        <v>0.13559322033898305</v>
      </c>
      <c r="AT1338" s="5" t="s">
        <v>552</v>
      </c>
      <c r="AU1338" s="3">
        <v>6</v>
      </c>
      <c r="AV1338" s="49">
        <v>72.699386503067501</v>
      </c>
      <c r="AW1338" s="49">
        <v>26.073619631901799</v>
      </c>
      <c r="AX1338" s="49">
        <v>0.61349693251533699</v>
      </c>
      <c r="AY1338" s="67">
        <v>0.61349693251533699</v>
      </c>
      <c r="AZ1338" s="63">
        <v>0.104534005037783</v>
      </c>
      <c r="BA1338" s="63">
        <v>2.01511335012594E-2</v>
      </c>
      <c r="BB1338" s="79">
        <v>94.8</v>
      </c>
      <c r="BC1338" s="79"/>
      <c r="BD1338" s="79"/>
      <c r="BE1338" s="79"/>
      <c r="BF1338" s="79"/>
      <c r="BG1338" s="79"/>
      <c r="BH1338" s="79"/>
      <c r="BI1338" s="79"/>
      <c r="BJ1338" s="3">
        <v>19.7</v>
      </c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29" t="s">
        <v>141</v>
      </c>
      <c r="CJ1338" s="18" t="s">
        <v>548</v>
      </c>
      <c r="CK1338" s="20"/>
    </row>
    <row r="1339" spans="1:89" x14ac:dyDescent="0.25">
      <c r="A1339" s="18" t="s">
        <v>548</v>
      </c>
      <c r="B1339" s="29" t="s">
        <v>139</v>
      </c>
      <c r="C1339" s="29" t="s">
        <v>142</v>
      </c>
      <c r="D1339" s="6">
        <v>4</v>
      </c>
      <c r="E1339" s="40" t="s">
        <v>83</v>
      </c>
      <c r="F1339" s="6">
        <v>4</v>
      </c>
      <c r="N1339" s="115">
        <v>9.8765432098765395E-3</v>
      </c>
      <c r="O1339" s="115">
        <v>9.8765432098765395E-3</v>
      </c>
      <c r="P1339" s="116" t="s">
        <v>83</v>
      </c>
      <c r="Q1339" s="116" t="s">
        <v>83</v>
      </c>
      <c r="R1339" s="119">
        <v>0</v>
      </c>
      <c r="S1339" s="119">
        <v>0</v>
      </c>
      <c r="T1339" s="115">
        <v>9.4339622641509396E-3</v>
      </c>
      <c r="U1339" s="119">
        <v>0</v>
      </c>
      <c r="V1339" s="115">
        <v>3.1914893617021302E-2</v>
      </c>
      <c r="W1339" s="6">
        <v>378</v>
      </c>
      <c r="X1339" s="40">
        <f t="shared" si="96"/>
        <v>378</v>
      </c>
      <c r="Y1339" s="40">
        <f t="shared" si="97"/>
        <v>378</v>
      </c>
      <c r="Z1339" s="59">
        <v>0.46825396825396826</v>
      </c>
      <c r="AA1339" s="59">
        <v>0.53174603174603174</v>
      </c>
      <c r="AB1339" s="61">
        <v>0</v>
      </c>
      <c r="AC1339" s="61">
        <v>5.2910052910052907E-3</v>
      </c>
      <c r="AD1339" s="61">
        <v>0.13756613756613756</v>
      </c>
      <c r="AE1339" s="61">
        <v>1.0582010582010581E-2</v>
      </c>
      <c r="AF1339" s="61">
        <v>0</v>
      </c>
      <c r="AG1339" s="61">
        <v>0.83597883597883593</v>
      </c>
      <c r="AH1339" s="61">
        <v>1.0582010582010581E-2</v>
      </c>
      <c r="AI1339" s="61">
        <v>0.16402116402116401</v>
      </c>
      <c r="AJ1339" s="59">
        <v>0.50264550264550267</v>
      </c>
      <c r="AK1339" s="59">
        <v>0</v>
      </c>
      <c r="AL1339" s="4">
        <v>0</v>
      </c>
      <c r="AM1339" s="4">
        <v>0</v>
      </c>
      <c r="AN1339" s="4">
        <v>24</v>
      </c>
      <c r="AO1339" s="4">
        <v>79</v>
      </c>
      <c r="AP1339" s="4">
        <v>101</v>
      </c>
      <c r="AQ1339" s="4">
        <v>84</v>
      </c>
      <c r="AR1339" s="4">
        <v>90</v>
      </c>
      <c r="AS1339" s="59">
        <v>0.23300970873786409</v>
      </c>
      <c r="AT1339" s="5" t="s">
        <v>550</v>
      </c>
      <c r="AU1339" s="3">
        <v>6</v>
      </c>
      <c r="AV1339" s="49">
        <v>78.365384615384599</v>
      </c>
      <c r="AW1339" s="49">
        <v>19.230769230769202</v>
      </c>
      <c r="AX1339" s="49">
        <v>2.4038461538461502</v>
      </c>
      <c r="AY1339" s="67">
        <v>0</v>
      </c>
      <c r="AZ1339" s="63">
        <v>0.22194513715710701</v>
      </c>
      <c r="BA1339" s="63">
        <v>0.15461346633416501</v>
      </c>
      <c r="BB1339" s="80">
        <v>92.9</v>
      </c>
      <c r="BC1339" s="80"/>
      <c r="BD1339" s="80"/>
      <c r="BE1339" s="80"/>
      <c r="BF1339" s="80"/>
      <c r="BG1339" s="80"/>
      <c r="BH1339" s="80"/>
      <c r="BI1339" s="80"/>
      <c r="BJ1339" s="3">
        <v>17.7</v>
      </c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29" t="s">
        <v>142</v>
      </c>
      <c r="CJ1339" s="18" t="s">
        <v>548</v>
      </c>
      <c r="CK1339" s="20"/>
    </row>
    <row r="1340" spans="1:89" x14ac:dyDescent="0.25">
      <c r="A1340" s="18" t="s">
        <v>548</v>
      </c>
      <c r="B1340" s="29" t="s">
        <v>139</v>
      </c>
      <c r="C1340" s="29" t="s">
        <v>143</v>
      </c>
      <c r="D1340" s="6">
        <v>5</v>
      </c>
      <c r="E1340" s="40" t="s">
        <v>83</v>
      </c>
      <c r="F1340" s="6">
        <v>5</v>
      </c>
      <c r="N1340" s="115">
        <v>3.75093773443361E-3</v>
      </c>
      <c r="O1340" s="115">
        <v>3.75093773443361E-3</v>
      </c>
      <c r="P1340" s="116" t="s">
        <v>83</v>
      </c>
      <c r="Q1340" s="116" t="s">
        <v>83</v>
      </c>
      <c r="R1340" s="119">
        <v>0</v>
      </c>
      <c r="S1340" s="115">
        <v>5.5096418732782397E-3</v>
      </c>
      <c r="T1340" s="115">
        <v>0</v>
      </c>
      <c r="U1340" s="115">
        <v>0</v>
      </c>
      <c r="V1340" s="115">
        <v>1.00671140939597E-2</v>
      </c>
      <c r="W1340" s="6">
        <v>1268</v>
      </c>
      <c r="X1340" s="40">
        <f t="shared" si="96"/>
        <v>1268</v>
      </c>
      <c r="Y1340" s="40">
        <f t="shared" si="97"/>
        <v>1268</v>
      </c>
      <c r="Z1340" s="59">
        <v>0.48580441640378547</v>
      </c>
      <c r="AA1340" s="59">
        <v>0.51419558359621453</v>
      </c>
      <c r="AB1340" s="61">
        <v>4.7318611987381704E-3</v>
      </c>
      <c r="AC1340" s="61">
        <v>1.1829652996845425E-2</v>
      </c>
      <c r="AD1340" s="61">
        <v>0.1056782334384858</v>
      </c>
      <c r="AE1340" s="61">
        <v>4.2586750788643532E-2</v>
      </c>
      <c r="AF1340" s="61">
        <v>0</v>
      </c>
      <c r="AG1340" s="61">
        <v>0.82097791798107256</v>
      </c>
      <c r="AH1340" s="61">
        <v>1.4195583596214511E-2</v>
      </c>
      <c r="AI1340" s="61">
        <v>0.17902208201892744</v>
      </c>
      <c r="AJ1340" s="59">
        <v>0.37381703470031546</v>
      </c>
      <c r="AK1340" s="59">
        <v>8.6750788643533121E-3</v>
      </c>
      <c r="AL1340" s="4">
        <v>0</v>
      </c>
      <c r="AM1340" s="4">
        <v>0</v>
      </c>
      <c r="AN1340" s="4">
        <v>41</v>
      </c>
      <c r="AO1340" s="4">
        <v>319</v>
      </c>
      <c r="AP1340" s="4">
        <v>330</v>
      </c>
      <c r="AQ1340" s="4">
        <v>292</v>
      </c>
      <c r="AR1340" s="4">
        <v>286</v>
      </c>
      <c r="AS1340" s="59">
        <v>0.11388888888888889</v>
      </c>
      <c r="AT1340" s="5" t="s">
        <v>550</v>
      </c>
      <c r="AU1340" s="3">
        <v>6</v>
      </c>
      <c r="AV1340" s="49">
        <v>61.172161172161196</v>
      </c>
      <c r="AW1340" s="49">
        <v>28.205128205128201</v>
      </c>
      <c r="AX1340" s="49">
        <v>10.0732600732601</v>
      </c>
      <c r="AY1340" s="67">
        <v>0.54945054945054894</v>
      </c>
      <c r="AZ1340" s="63">
        <v>0.216378662659654</v>
      </c>
      <c r="BA1340" s="63">
        <v>8.4147257700976696E-2</v>
      </c>
      <c r="BB1340" s="79">
        <v>92.4</v>
      </c>
      <c r="BC1340" s="79"/>
      <c r="BD1340" s="79"/>
      <c r="BE1340" s="79"/>
      <c r="BF1340" s="79"/>
      <c r="BG1340" s="79"/>
      <c r="BH1340" s="79"/>
      <c r="BI1340" s="79"/>
      <c r="BJ1340" s="3">
        <v>20.5</v>
      </c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29" t="s">
        <v>143</v>
      </c>
      <c r="CJ1340" s="18" t="s">
        <v>548</v>
      </c>
      <c r="CK1340" s="20"/>
    </row>
    <row r="1341" spans="1:89" x14ac:dyDescent="0.25">
      <c r="A1341" s="18" t="s">
        <v>548</v>
      </c>
      <c r="B1341" s="29" t="s">
        <v>139</v>
      </c>
      <c r="C1341" s="29" t="s">
        <v>144</v>
      </c>
      <c r="D1341" s="6">
        <v>3</v>
      </c>
      <c r="E1341" s="6">
        <v>1</v>
      </c>
      <c r="F1341" s="6">
        <v>2</v>
      </c>
      <c r="N1341" s="115">
        <v>2.8735632183907998E-3</v>
      </c>
      <c r="O1341" s="115">
        <v>3.0211480362537799E-3</v>
      </c>
      <c r="P1341" s="119">
        <v>0</v>
      </c>
      <c r="Q1341" s="115">
        <v>5.5248618784530402E-3</v>
      </c>
      <c r="R1341" s="119">
        <v>0</v>
      </c>
      <c r="S1341" s="115">
        <v>0</v>
      </c>
      <c r="T1341" s="115">
        <v>0</v>
      </c>
      <c r="U1341" s="115">
        <v>7.5187969924812E-3</v>
      </c>
      <c r="V1341" s="115">
        <v>7.4626865671641798E-3</v>
      </c>
      <c r="W1341" s="6">
        <v>1046</v>
      </c>
      <c r="X1341" s="40">
        <f t="shared" si="96"/>
        <v>580</v>
      </c>
      <c r="Y1341" s="40">
        <f t="shared" si="97"/>
        <v>905</v>
      </c>
      <c r="Z1341" s="59">
        <v>0.46558317399617588</v>
      </c>
      <c r="AA1341" s="59">
        <v>0.53441682600382412</v>
      </c>
      <c r="AB1341" s="61">
        <v>2.8680688336520078E-3</v>
      </c>
      <c r="AC1341" s="61">
        <v>9.5602294455066923E-3</v>
      </c>
      <c r="AD1341" s="61">
        <v>0.28393881453154873</v>
      </c>
      <c r="AE1341" s="61">
        <v>4.3977055449330782E-2</v>
      </c>
      <c r="AF1341" s="61">
        <v>2.8680688336520078E-3</v>
      </c>
      <c r="AG1341" s="61">
        <v>0.6319311663479924</v>
      </c>
      <c r="AH1341" s="61">
        <v>2.4856596558317401E-2</v>
      </c>
      <c r="AI1341" s="61">
        <v>0.36806883365200765</v>
      </c>
      <c r="AJ1341" s="59">
        <v>0.63575525812619504</v>
      </c>
      <c r="AK1341" s="59">
        <v>1.24282982791587E-2</v>
      </c>
      <c r="AL1341" s="4">
        <v>169</v>
      </c>
      <c r="AM1341" s="4">
        <v>156</v>
      </c>
      <c r="AN1341" s="4">
        <v>27</v>
      </c>
      <c r="AO1341" s="4">
        <v>164</v>
      </c>
      <c r="AP1341" s="4">
        <v>139</v>
      </c>
      <c r="AQ1341" s="4">
        <v>120</v>
      </c>
      <c r="AR1341" s="4">
        <v>130</v>
      </c>
      <c r="AS1341" s="59">
        <v>0.14136125654450263</v>
      </c>
      <c r="AT1341" s="5" t="s">
        <v>553</v>
      </c>
      <c r="AU1341" s="3">
        <v>6</v>
      </c>
      <c r="AV1341" s="49">
        <v>72.8</v>
      </c>
      <c r="AW1341" s="49">
        <v>18.600000000000001</v>
      </c>
      <c r="AX1341" s="49">
        <v>7.1999999999999993</v>
      </c>
      <c r="AY1341" s="67">
        <v>1.4000000000000001</v>
      </c>
      <c r="AZ1341" s="63">
        <v>0.23134328358209</v>
      </c>
      <c r="BA1341" s="63">
        <v>0.10613598673300199</v>
      </c>
      <c r="BB1341" s="80">
        <v>92.8</v>
      </c>
      <c r="BC1341" s="80"/>
      <c r="BD1341" s="80"/>
      <c r="BE1341" s="80"/>
      <c r="BF1341" s="80"/>
      <c r="BG1341" s="80"/>
      <c r="BH1341" s="80"/>
      <c r="BI1341" s="80"/>
      <c r="BJ1341" s="3">
        <v>18.5</v>
      </c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29" t="s">
        <v>144</v>
      </c>
      <c r="CJ1341" s="18" t="s">
        <v>548</v>
      </c>
      <c r="CK1341" s="20"/>
    </row>
    <row r="1342" spans="1:89" x14ac:dyDescent="0.25">
      <c r="A1342" s="18" t="s">
        <v>548</v>
      </c>
      <c r="B1342" s="29" t="s">
        <v>139</v>
      </c>
      <c r="C1342" s="29" t="s">
        <v>145</v>
      </c>
      <c r="D1342" s="6">
        <v>21</v>
      </c>
      <c r="E1342" s="40" t="s">
        <v>83</v>
      </c>
      <c r="F1342" s="6">
        <v>21</v>
      </c>
      <c r="N1342" s="115">
        <v>1.7514595496246899E-2</v>
      </c>
      <c r="O1342" s="115">
        <v>1.7514595496246899E-2</v>
      </c>
      <c r="P1342" s="116" t="s">
        <v>83</v>
      </c>
      <c r="Q1342" s="116" t="s">
        <v>83</v>
      </c>
      <c r="R1342" s="115">
        <v>4.1666666666666699E-2</v>
      </c>
      <c r="S1342" s="115">
        <v>1.37362637362637E-2</v>
      </c>
      <c r="T1342" s="115">
        <v>1.8587360594795502E-2</v>
      </c>
      <c r="U1342" s="115">
        <v>1.63934426229508E-2</v>
      </c>
      <c r="V1342" s="115">
        <v>2.1097046413502098E-2</v>
      </c>
      <c r="W1342" s="6">
        <v>1031</v>
      </c>
      <c r="X1342" s="40">
        <f t="shared" si="96"/>
        <v>1031</v>
      </c>
      <c r="Y1342" s="40">
        <f t="shared" si="97"/>
        <v>1031</v>
      </c>
      <c r="Z1342" s="59">
        <v>0.50242483026188167</v>
      </c>
      <c r="AA1342" s="59">
        <v>0.49757516973811833</v>
      </c>
      <c r="AB1342" s="61">
        <v>4.849660523763337E-3</v>
      </c>
      <c r="AC1342" s="61">
        <v>2.9097963142580021E-3</v>
      </c>
      <c r="AD1342" s="61">
        <v>0.84093113482056259</v>
      </c>
      <c r="AE1342" s="61">
        <v>5.0436469447138699E-2</v>
      </c>
      <c r="AF1342" s="61">
        <v>2.9097963142580021E-3</v>
      </c>
      <c r="AG1342" s="61">
        <v>8.3414161008729393E-2</v>
      </c>
      <c r="AH1342" s="61">
        <v>1.4548981571290009E-2</v>
      </c>
      <c r="AI1342" s="61">
        <v>0.91658583899127066</v>
      </c>
      <c r="AJ1342" s="59">
        <v>0.76915615906886514</v>
      </c>
      <c r="AK1342" s="59">
        <v>3.2007759456838022E-2</v>
      </c>
      <c r="AL1342" s="4">
        <v>0</v>
      </c>
      <c r="AM1342" s="4">
        <v>0</v>
      </c>
      <c r="AN1342" s="4">
        <v>83</v>
      </c>
      <c r="AO1342" s="4">
        <v>229</v>
      </c>
      <c r="AP1342" s="4">
        <v>232</v>
      </c>
      <c r="AQ1342" s="4">
        <v>269</v>
      </c>
      <c r="AR1342" s="4">
        <v>218</v>
      </c>
      <c r="AS1342" s="59">
        <v>0.26602564102564102</v>
      </c>
      <c r="AT1342" s="5" t="s">
        <v>550</v>
      </c>
      <c r="AU1342" s="3">
        <v>6</v>
      </c>
      <c r="AV1342" s="49">
        <v>90.514905149051501</v>
      </c>
      <c r="AW1342" s="49">
        <v>8.1300813008130088</v>
      </c>
      <c r="AX1342" s="49">
        <v>1.0840108401084001</v>
      </c>
      <c r="AY1342" s="67">
        <v>0.27100271002710002</v>
      </c>
      <c r="AZ1342" s="63">
        <v>0.19003378378378399</v>
      </c>
      <c r="BA1342" s="63">
        <v>0.166385135135135</v>
      </c>
      <c r="BB1342" s="79">
        <v>88.7</v>
      </c>
      <c r="BC1342" s="79"/>
      <c r="BD1342" s="79"/>
      <c r="BE1342" s="79"/>
      <c r="BF1342" s="79"/>
      <c r="BG1342" s="79"/>
      <c r="BH1342" s="79"/>
      <c r="BI1342" s="79"/>
      <c r="BJ1342" s="3">
        <v>16.7</v>
      </c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29" t="s">
        <v>145</v>
      </c>
      <c r="CJ1342" s="18" t="s">
        <v>548</v>
      </c>
      <c r="CK1342" s="20"/>
    </row>
    <row r="1343" spans="1:89" x14ac:dyDescent="0.25">
      <c r="A1343" s="18" t="s">
        <v>548</v>
      </c>
      <c r="B1343" s="29" t="s">
        <v>139</v>
      </c>
      <c r="C1343" s="29" t="s">
        <v>146</v>
      </c>
      <c r="D1343" s="6">
        <v>0</v>
      </c>
      <c r="E1343" s="6">
        <v>0</v>
      </c>
      <c r="F1343" s="6">
        <v>0</v>
      </c>
      <c r="N1343" s="119">
        <v>0</v>
      </c>
      <c r="O1343" s="119">
        <v>0</v>
      </c>
      <c r="P1343" s="119">
        <v>0</v>
      </c>
      <c r="Q1343" s="119">
        <v>0</v>
      </c>
      <c r="R1343" s="119">
        <v>0</v>
      </c>
      <c r="S1343" s="119">
        <v>0</v>
      </c>
      <c r="T1343" s="119">
        <v>0</v>
      </c>
      <c r="U1343" s="119">
        <v>0</v>
      </c>
      <c r="V1343" s="119">
        <v>0</v>
      </c>
      <c r="W1343" s="6">
        <v>321</v>
      </c>
      <c r="X1343" s="40">
        <f t="shared" si="96"/>
        <v>102</v>
      </c>
      <c r="Y1343" s="40">
        <f t="shared" si="97"/>
        <v>147</v>
      </c>
      <c r="Z1343" s="59">
        <v>0.54517133956386288</v>
      </c>
      <c r="AA1343" s="59">
        <v>0.45482866043613707</v>
      </c>
      <c r="AB1343" s="61">
        <v>6.2305295950155761E-3</v>
      </c>
      <c r="AC1343" s="61">
        <v>0</v>
      </c>
      <c r="AD1343" s="61">
        <v>1.2461059190031152E-2</v>
      </c>
      <c r="AE1343" s="61">
        <v>1.2461059190031152E-2</v>
      </c>
      <c r="AF1343" s="61">
        <v>0</v>
      </c>
      <c r="AG1343" s="61">
        <v>0.95638629283489096</v>
      </c>
      <c r="AH1343" s="61">
        <v>1.2461059190031152E-2</v>
      </c>
      <c r="AI1343" s="61">
        <v>4.3613707165109032E-2</v>
      </c>
      <c r="AJ1343" s="59">
        <v>0.52024922118380057</v>
      </c>
      <c r="AK1343" s="59">
        <v>0</v>
      </c>
      <c r="AL1343" s="4">
        <v>21</v>
      </c>
      <c r="AM1343" s="4">
        <v>24</v>
      </c>
      <c r="AN1343" s="4">
        <v>5</v>
      </c>
      <c r="AO1343" s="4">
        <v>23</v>
      </c>
      <c r="AP1343" s="4">
        <v>24</v>
      </c>
      <c r="AQ1343" s="4">
        <v>24</v>
      </c>
      <c r="AR1343" s="4">
        <v>26</v>
      </c>
      <c r="AS1343" s="59">
        <v>0.17857142857142858</v>
      </c>
      <c r="AT1343" s="5" t="s">
        <v>552</v>
      </c>
      <c r="AU1343" s="3">
        <v>6</v>
      </c>
      <c r="AV1343" s="49">
        <v>79.069767441860492</v>
      </c>
      <c r="AW1343" s="49">
        <v>16.860465116279101</v>
      </c>
      <c r="AX1343" s="49">
        <v>4.0697674418604706</v>
      </c>
      <c r="AY1343" s="67">
        <v>0</v>
      </c>
      <c r="AZ1343" s="63">
        <v>0.123209169054441</v>
      </c>
      <c r="BA1343" s="63">
        <v>4.0114613180515797E-2</v>
      </c>
      <c r="BB1343" s="80">
        <v>94.3</v>
      </c>
      <c r="BC1343" s="80"/>
      <c r="BD1343" s="80"/>
      <c r="BE1343" s="80"/>
      <c r="BF1343" s="80"/>
      <c r="BG1343" s="80"/>
      <c r="BH1343" s="80"/>
      <c r="BI1343" s="80"/>
      <c r="BJ1343" s="3">
        <v>17.2</v>
      </c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29" t="s">
        <v>146</v>
      </c>
      <c r="CJ1343" s="18" t="s">
        <v>548</v>
      </c>
      <c r="CK1343" s="20"/>
    </row>
    <row r="1344" spans="1:89" x14ac:dyDescent="0.25">
      <c r="A1344" s="18" t="s">
        <v>548</v>
      </c>
      <c r="B1344" s="29" t="s">
        <v>139</v>
      </c>
      <c r="C1344" s="29" t="s">
        <v>147</v>
      </c>
      <c r="D1344" s="6">
        <v>8</v>
      </c>
      <c r="E1344" s="40" t="s">
        <v>83</v>
      </c>
      <c r="F1344" s="6">
        <v>8</v>
      </c>
      <c r="N1344" s="115">
        <v>3.7002775208140599E-3</v>
      </c>
      <c r="O1344" s="115">
        <v>3.7002775208140599E-3</v>
      </c>
      <c r="P1344" s="116" t="s">
        <v>83</v>
      </c>
      <c r="Q1344" s="116" t="s">
        <v>83</v>
      </c>
      <c r="R1344" s="119">
        <v>0</v>
      </c>
      <c r="S1344" s="119">
        <v>0</v>
      </c>
      <c r="T1344" s="115">
        <v>3.3840947546531302E-3</v>
      </c>
      <c r="U1344" s="115">
        <v>2.02839756592292E-3</v>
      </c>
      <c r="V1344" s="115">
        <v>1.06609808102345E-2</v>
      </c>
      <c r="W1344" s="6">
        <v>2018</v>
      </c>
      <c r="X1344" s="40">
        <f t="shared" si="96"/>
        <v>2018</v>
      </c>
      <c r="Y1344" s="40">
        <f t="shared" si="97"/>
        <v>2018</v>
      </c>
      <c r="Z1344" s="59">
        <v>0.48562933597621405</v>
      </c>
      <c r="AA1344" s="59">
        <v>0.51437066402378595</v>
      </c>
      <c r="AB1344" s="61">
        <v>2.4777006937561942E-3</v>
      </c>
      <c r="AC1344" s="61">
        <v>1.2388503468780971E-2</v>
      </c>
      <c r="AD1344" s="61">
        <v>8.6223984142715565E-2</v>
      </c>
      <c r="AE1344" s="61">
        <v>4.7571853320118929E-2</v>
      </c>
      <c r="AF1344" s="61">
        <v>0</v>
      </c>
      <c r="AG1344" s="61">
        <v>0.8349851337958375</v>
      </c>
      <c r="AH1344" s="61">
        <v>1.6352824578790882E-2</v>
      </c>
      <c r="AI1344" s="61">
        <v>0.16501486620416253</v>
      </c>
      <c r="AJ1344" s="59">
        <v>0.44895936570862238</v>
      </c>
      <c r="AK1344" s="59">
        <v>1.1397423191278493E-2</v>
      </c>
      <c r="AL1344" s="4">
        <v>0</v>
      </c>
      <c r="AM1344" s="4">
        <v>0</v>
      </c>
      <c r="AN1344" s="4">
        <v>95</v>
      </c>
      <c r="AO1344" s="4">
        <v>460</v>
      </c>
      <c r="AP1344" s="4">
        <v>549</v>
      </c>
      <c r="AQ1344" s="4">
        <v>460</v>
      </c>
      <c r="AR1344" s="4">
        <v>454</v>
      </c>
      <c r="AS1344" s="59">
        <v>0.17117117117117117</v>
      </c>
      <c r="AT1344" s="5" t="s">
        <v>550</v>
      </c>
      <c r="AU1344" s="3">
        <v>6</v>
      </c>
      <c r="AV1344" s="49">
        <v>60.924855491329502</v>
      </c>
      <c r="AW1344" s="49">
        <v>29.479768786127199</v>
      </c>
      <c r="AX1344" s="49">
        <v>9.2485549132948002</v>
      </c>
      <c r="AY1344" s="67">
        <v>0.34682080924855502</v>
      </c>
      <c r="AZ1344" s="63">
        <v>0.155060352831941</v>
      </c>
      <c r="BA1344" s="63">
        <v>8.5886722376973104E-2</v>
      </c>
      <c r="BB1344" s="79">
        <v>92.5</v>
      </c>
      <c r="BC1344" s="79"/>
      <c r="BD1344" s="79"/>
      <c r="BE1344" s="79"/>
      <c r="BF1344" s="79"/>
      <c r="BG1344" s="79"/>
      <c r="BH1344" s="79"/>
      <c r="BI1344" s="79"/>
      <c r="BJ1344" s="3">
        <v>19.7</v>
      </c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29" t="s">
        <v>147</v>
      </c>
      <c r="CJ1344" s="18" t="s">
        <v>548</v>
      </c>
      <c r="CK1344" s="20"/>
    </row>
    <row r="1345" spans="1:89" x14ac:dyDescent="0.25">
      <c r="A1345" s="18" t="s">
        <v>548</v>
      </c>
      <c r="B1345" s="29" t="s">
        <v>139</v>
      </c>
      <c r="C1345" s="29" t="s">
        <v>148</v>
      </c>
      <c r="D1345" s="6">
        <v>1</v>
      </c>
      <c r="E1345" s="40" t="s">
        <v>83</v>
      </c>
      <c r="F1345" s="6">
        <v>1</v>
      </c>
      <c r="N1345" s="115">
        <v>3.3444816053511701E-3</v>
      </c>
      <c r="O1345" s="115">
        <v>3.3444816053511701E-3</v>
      </c>
      <c r="P1345" s="116" t="s">
        <v>83</v>
      </c>
      <c r="Q1345" s="116" t="s">
        <v>83</v>
      </c>
      <c r="R1345" s="119">
        <v>0</v>
      </c>
      <c r="S1345" s="119">
        <v>0</v>
      </c>
      <c r="T1345" s="119">
        <v>0</v>
      </c>
      <c r="U1345" s="119">
        <v>0</v>
      </c>
      <c r="V1345" s="115">
        <v>1.7543859649122799E-2</v>
      </c>
      <c r="W1345" s="6">
        <v>269</v>
      </c>
      <c r="X1345" s="40">
        <f t="shared" si="96"/>
        <v>269</v>
      </c>
      <c r="Y1345" s="40">
        <f t="shared" si="97"/>
        <v>269</v>
      </c>
      <c r="Z1345" s="59">
        <v>0.47583643122676578</v>
      </c>
      <c r="AA1345" s="59">
        <v>0.52416356877323422</v>
      </c>
      <c r="AB1345" s="61">
        <v>0</v>
      </c>
      <c r="AC1345" s="61">
        <v>0</v>
      </c>
      <c r="AD1345" s="61">
        <v>0.17843866171003717</v>
      </c>
      <c r="AE1345" s="61">
        <v>0.10408921933085502</v>
      </c>
      <c r="AF1345" s="61">
        <v>0</v>
      </c>
      <c r="AG1345" s="61">
        <v>0.71003717472118955</v>
      </c>
      <c r="AH1345" s="61">
        <v>7.4349442379182153E-3</v>
      </c>
      <c r="AI1345" s="61">
        <v>0.2899628252788104</v>
      </c>
      <c r="AJ1345" s="59">
        <v>0.63940520446096649</v>
      </c>
      <c r="AK1345" s="59">
        <v>2.6022304832713755E-2</v>
      </c>
      <c r="AL1345" s="4">
        <v>0</v>
      </c>
      <c r="AM1345" s="4">
        <v>0</v>
      </c>
      <c r="AN1345" s="4">
        <v>6</v>
      </c>
      <c r="AO1345" s="4">
        <v>72</v>
      </c>
      <c r="AP1345" s="4">
        <v>67</v>
      </c>
      <c r="AQ1345" s="4">
        <v>72</v>
      </c>
      <c r="AR1345" s="4">
        <v>52</v>
      </c>
      <c r="AS1345" s="59">
        <v>7.6923076923076927E-2</v>
      </c>
      <c r="AT1345" s="5" t="s">
        <v>550</v>
      </c>
      <c r="AU1345" s="3">
        <v>6</v>
      </c>
      <c r="AV1345" s="49">
        <v>89.903846153846203</v>
      </c>
      <c r="AW1345" s="49">
        <v>8.6538461538461497</v>
      </c>
      <c r="AX1345" s="49">
        <v>1.4423076923076898</v>
      </c>
      <c r="AY1345" s="67">
        <v>0</v>
      </c>
      <c r="AZ1345" s="63">
        <v>0.20134228187919501</v>
      </c>
      <c r="BA1345" s="63">
        <v>0.100671140939597</v>
      </c>
      <c r="BB1345" s="80">
        <v>92</v>
      </c>
      <c r="BC1345" s="80"/>
      <c r="BD1345" s="80"/>
      <c r="BE1345" s="80"/>
      <c r="BF1345" s="80"/>
      <c r="BG1345" s="80"/>
      <c r="BH1345" s="80"/>
      <c r="BI1345" s="80"/>
      <c r="BJ1345" s="3">
        <v>19.8</v>
      </c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29" t="s">
        <v>148</v>
      </c>
      <c r="CJ1345" s="18" t="s">
        <v>548</v>
      </c>
      <c r="CK1345" s="20"/>
    </row>
    <row r="1346" spans="1:89" x14ac:dyDescent="0.25">
      <c r="A1346" s="18" t="s">
        <v>548</v>
      </c>
      <c r="B1346" s="29" t="s">
        <v>139</v>
      </c>
      <c r="C1346" s="29" t="s">
        <v>149</v>
      </c>
      <c r="D1346" s="6">
        <v>25</v>
      </c>
      <c r="E1346" s="40" t="s">
        <v>83</v>
      </c>
      <c r="F1346" s="6">
        <v>25</v>
      </c>
      <c r="N1346" s="115">
        <v>3.3244680851063801E-2</v>
      </c>
      <c r="O1346" s="115">
        <v>3.3244680851063801E-2</v>
      </c>
      <c r="P1346" s="116" t="s">
        <v>83</v>
      </c>
      <c r="Q1346" s="116" t="s">
        <v>83</v>
      </c>
      <c r="R1346" s="115">
        <v>5.8823529411764698E-2</v>
      </c>
      <c r="S1346" s="115">
        <v>4.5081967213114797E-2</v>
      </c>
      <c r="T1346" s="115">
        <v>1.94174757281553E-2</v>
      </c>
      <c r="U1346" s="115">
        <v>4.6052631578947401E-2</v>
      </c>
      <c r="V1346" s="115">
        <v>1.50375939849624E-2</v>
      </c>
      <c r="W1346" s="6">
        <v>655</v>
      </c>
      <c r="X1346" s="40">
        <f t="shared" si="96"/>
        <v>655</v>
      </c>
      <c r="Y1346" s="40">
        <f t="shared" si="97"/>
        <v>655</v>
      </c>
      <c r="Z1346" s="59">
        <v>0.49923664122137407</v>
      </c>
      <c r="AA1346" s="59">
        <v>0.50076335877862599</v>
      </c>
      <c r="AB1346" s="61">
        <v>1.5267175572519084E-3</v>
      </c>
      <c r="AC1346" s="61">
        <v>0</v>
      </c>
      <c r="AD1346" s="61">
        <v>0.9633587786259542</v>
      </c>
      <c r="AE1346" s="61">
        <v>2.5954198473282442E-2</v>
      </c>
      <c r="AF1346" s="61">
        <v>0</v>
      </c>
      <c r="AG1346" s="61">
        <v>9.1603053435114507E-3</v>
      </c>
      <c r="AH1346" s="61">
        <v>0</v>
      </c>
      <c r="AI1346" s="61">
        <v>0.99083969465648858</v>
      </c>
      <c r="AJ1346" s="59">
        <v>0.85190839694656484</v>
      </c>
      <c r="AK1346" s="59">
        <v>7.6335877862595417E-3</v>
      </c>
      <c r="AL1346" s="4">
        <v>0</v>
      </c>
      <c r="AM1346" s="4">
        <v>0</v>
      </c>
      <c r="AN1346" s="4">
        <v>61</v>
      </c>
      <c r="AO1346" s="4">
        <v>150</v>
      </c>
      <c r="AP1346" s="4">
        <v>188</v>
      </c>
      <c r="AQ1346" s="4">
        <v>131</v>
      </c>
      <c r="AR1346" s="4">
        <v>125</v>
      </c>
      <c r="AS1346" s="59">
        <v>0.2890995260663507</v>
      </c>
      <c r="AT1346" s="5" t="s">
        <v>550</v>
      </c>
      <c r="AU1346" s="3">
        <v>6</v>
      </c>
      <c r="AV1346" s="49">
        <v>74.418604651162795</v>
      </c>
      <c r="AW1346" s="49">
        <v>18.3139534883721</v>
      </c>
      <c r="AX1346" s="49">
        <v>6.3953488372092995</v>
      </c>
      <c r="AY1346" s="67">
        <v>0.87209302325581395</v>
      </c>
      <c r="AZ1346" s="63">
        <v>0.32147742818057501</v>
      </c>
      <c r="BA1346" s="63">
        <v>0.209302325581395</v>
      </c>
      <c r="BB1346" s="79">
        <v>88.4</v>
      </c>
      <c r="BC1346" s="79"/>
      <c r="BD1346" s="79"/>
      <c r="BE1346" s="79"/>
      <c r="BF1346" s="79"/>
      <c r="BG1346" s="79"/>
      <c r="BH1346" s="79"/>
      <c r="BI1346" s="79"/>
      <c r="BJ1346" s="3">
        <v>16.399999999999999</v>
      </c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29" t="s">
        <v>149</v>
      </c>
      <c r="CJ1346" s="18" t="s">
        <v>548</v>
      </c>
      <c r="CK1346" s="20"/>
    </row>
    <row r="1347" spans="1:89" x14ac:dyDescent="0.25">
      <c r="A1347" s="18" t="s">
        <v>548</v>
      </c>
      <c r="B1347" s="29" t="s">
        <v>139</v>
      </c>
      <c r="C1347" s="29" t="s">
        <v>150</v>
      </c>
      <c r="D1347" s="6">
        <v>1</v>
      </c>
      <c r="E1347" s="40" t="s">
        <v>83</v>
      </c>
      <c r="F1347" s="6">
        <v>1</v>
      </c>
      <c r="N1347" s="115">
        <v>1.8939393939393901E-3</v>
      </c>
      <c r="O1347" s="115">
        <v>1.8939393939393901E-3</v>
      </c>
      <c r="P1347" s="116" t="s">
        <v>83</v>
      </c>
      <c r="Q1347" s="116" t="s">
        <v>83</v>
      </c>
      <c r="R1347" s="119">
        <v>0</v>
      </c>
      <c r="S1347" s="119">
        <v>0</v>
      </c>
      <c r="T1347" s="119">
        <v>0</v>
      </c>
      <c r="U1347" s="115">
        <v>8.4033613445378096E-3</v>
      </c>
      <c r="V1347" s="119">
        <v>0</v>
      </c>
      <c r="W1347" s="6">
        <v>505</v>
      </c>
      <c r="X1347" s="40">
        <f t="shared" si="96"/>
        <v>505</v>
      </c>
      <c r="Y1347" s="40">
        <f t="shared" si="97"/>
        <v>505</v>
      </c>
      <c r="Z1347" s="59">
        <v>0.47326732673267324</v>
      </c>
      <c r="AA1347" s="59">
        <v>0.52673267326732676</v>
      </c>
      <c r="AB1347" s="61">
        <v>1.9801980198019802E-3</v>
      </c>
      <c r="AC1347" s="61">
        <v>9.9009900990099011E-3</v>
      </c>
      <c r="AD1347" s="61">
        <v>0.22772277227722773</v>
      </c>
      <c r="AE1347" s="61">
        <v>3.9603960396039604E-2</v>
      </c>
      <c r="AF1347" s="61">
        <v>0</v>
      </c>
      <c r="AG1347" s="61">
        <v>0.70891089108910887</v>
      </c>
      <c r="AH1347" s="61">
        <v>1.1881188118811881E-2</v>
      </c>
      <c r="AI1347" s="61">
        <v>0.29108910891089107</v>
      </c>
      <c r="AJ1347" s="59">
        <v>0.52079207920792081</v>
      </c>
      <c r="AK1347" s="59">
        <v>5.9405940594059407E-3</v>
      </c>
      <c r="AL1347" s="4">
        <v>0</v>
      </c>
      <c r="AM1347" s="4">
        <v>0</v>
      </c>
      <c r="AN1347" s="4">
        <v>11</v>
      </c>
      <c r="AO1347" s="4">
        <v>112</v>
      </c>
      <c r="AP1347" s="4">
        <v>142</v>
      </c>
      <c r="AQ1347" s="4">
        <v>116</v>
      </c>
      <c r="AR1347" s="4">
        <v>124</v>
      </c>
      <c r="AS1347" s="59">
        <v>8.943089430894309E-2</v>
      </c>
      <c r="AT1347" s="5" t="s">
        <v>550</v>
      </c>
      <c r="AU1347" s="3">
        <v>6</v>
      </c>
      <c r="AV1347" s="49">
        <v>88.439306358381501</v>
      </c>
      <c r="AW1347" s="49">
        <v>10.4046242774566</v>
      </c>
      <c r="AX1347" s="49">
        <v>1.15606936416185</v>
      </c>
      <c r="AY1347" s="67">
        <v>0</v>
      </c>
      <c r="AZ1347" s="63">
        <v>0.202651515151515</v>
      </c>
      <c r="BA1347" s="63">
        <v>0.14583333333333301</v>
      </c>
      <c r="BB1347" s="80">
        <v>93.3</v>
      </c>
      <c r="BC1347" s="80"/>
      <c r="BD1347" s="80"/>
      <c r="BE1347" s="80"/>
      <c r="BF1347" s="80"/>
      <c r="BG1347" s="80"/>
      <c r="BH1347" s="80"/>
      <c r="BI1347" s="80"/>
      <c r="BJ1347" s="3">
        <v>18.5</v>
      </c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29" t="s">
        <v>150</v>
      </c>
      <c r="CJ1347" s="18" t="s">
        <v>548</v>
      </c>
      <c r="CK1347" s="20"/>
    </row>
    <row r="1348" spans="1:89" x14ac:dyDescent="0.25">
      <c r="A1348" s="18" t="s">
        <v>548</v>
      </c>
      <c r="B1348" s="29" t="s">
        <v>151</v>
      </c>
      <c r="C1348" s="29" t="s">
        <v>152</v>
      </c>
      <c r="D1348" s="6">
        <v>1</v>
      </c>
      <c r="E1348" s="40" t="s">
        <v>83</v>
      </c>
      <c r="F1348" s="6">
        <v>1</v>
      </c>
      <c r="N1348" s="115">
        <v>2.2271714922049001E-3</v>
      </c>
      <c r="O1348" s="115">
        <v>2.2271714922049001E-3</v>
      </c>
      <c r="P1348" s="116" t="s">
        <v>83</v>
      </c>
      <c r="Q1348" s="116" t="s">
        <v>83</v>
      </c>
      <c r="R1348" s="119">
        <v>0</v>
      </c>
      <c r="S1348" s="119">
        <v>0</v>
      </c>
      <c r="T1348" s="119">
        <v>0</v>
      </c>
      <c r="U1348" s="119">
        <v>0</v>
      </c>
      <c r="V1348" s="115">
        <v>1.03092783505155E-2</v>
      </c>
      <c r="W1348" s="6">
        <v>421</v>
      </c>
      <c r="X1348" s="40">
        <f t="shared" si="96"/>
        <v>421</v>
      </c>
      <c r="Y1348" s="40">
        <f t="shared" si="97"/>
        <v>421</v>
      </c>
      <c r="Z1348" s="59">
        <v>0.52969121140142517</v>
      </c>
      <c r="AA1348" s="59">
        <v>0.47030878859857483</v>
      </c>
      <c r="AB1348" s="61">
        <v>0</v>
      </c>
      <c r="AC1348" s="61">
        <v>2.3752969121140144E-3</v>
      </c>
      <c r="AD1348" s="61">
        <v>0.20902612826603326</v>
      </c>
      <c r="AE1348" s="61">
        <v>1.4251781472684086E-2</v>
      </c>
      <c r="AF1348" s="61">
        <v>2.3752969121140144E-3</v>
      </c>
      <c r="AG1348" s="61">
        <v>0.76484560570071258</v>
      </c>
      <c r="AH1348" s="61">
        <v>7.1258907363420431E-3</v>
      </c>
      <c r="AI1348" s="61">
        <v>0.23515439429928742</v>
      </c>
      <c r="AJ1348" s="59">
        <v>0.73871733966745845</v>
      </c>
      <c r="AK1348" s="59">
        <v>2.3752969121140144E-3</v>
      </c>
      <c r="AL1348" s="4">
        <v>0</v>
      </c>
      <c r="AM1348" s="4">
        <v>0</v>
      </c>
      <c r="AN1348" s="4">
        <v>15</v>
      </c>
      <c r="AO1348" s="4">
        <v>117</v>
      </c>
      <c r="AP1348" s="4">
        <v>103</v>
      </c>
      <c r="AQ1348" s="4">
        <v>95</v>
      </c>
      <c r="AR1348" s="4">
        <v>91</v>
      </c>
      <c r="AS1348" s="59">
        <v>0.11363636363636363</v>
      </c>
      <c r="AT1348" s="5" t="s">
        <v>550</v>
      </c>
      <c r="AU1348" s="3">
        <v>6</v>
      </c>
      <c r="AV1348" s="49">
        <v>93.77162629757791</v>
      </c>
      <c r="AW1348" s="49">
        <v>5.8823529411764701</v>
      </c>
      <c r="AX1348" s="49">
        <v>0.34602076124567499</v>
      </c>
      <c r="AY1348" s="67">
        <v>0</v>
      </c>
      <c r="AZ1348" s="63">
        <v>0.22544642857142899</v>
      </c>
      <c r="BA1348" s="63">
        <v>0</v>
      </c>
      <c r="BB1348" s="80">
        <v>94.3</v>
      </c>
      <c r="BC1348" s="80"/>
      <c r="BD1348" s="80"/>
      <c r="BE1348" s="80"/>
      <c r="BF1348" s="80"/>
      <c r="BG1348" s="80"/>
      <c r="BH1348" s="80"/>
      <c r="BI1348" s="80"/>
      <c r="BJ1348" s="3">
        <v>18.3</v>
      </c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29" t="s">
        <v>152</v>
      </c>
      <c r="CJ1348" s="18" t="s">
        <v>548</v>
      </c>
      <c r="CK1348" s="20"/>
    </row>
    <row r="1349" spans="1:89" x14ac:dyDescent="0.25">
      <c r="A1349" s="18" t="s">
        <v>548</v>
      </c>
      <c r="B1349" s="29" t="s">
        <v>153</v>
      </c>
      <c r="C1349" s="29" t="s">
        <v>154</v>
      </c>
      <c r="D1349" s="6">
        <v>0</v>
      </c>
      <c r="E1349" s="6">
        <v>0</v>
      </c>
      <c r="F1349" s="6">
        <v>0</v>
      </c>
      <c r="N1349" s="119">
        <v>0</v>
      </c>
      <c r="O1349" s="119">
        <v>0</v>
      </c>
      <c r="P1349" s="119">
        <v>0</v>
      </c>
      <c r="Q1349" s="119">
        <v>0</v>
      </c>
      <c r="R1349" s="119">
        <v>0</v>
      </c>
      <c r="S1349" s="119">
        <v>0</v>
      </c>
      <c r="T1349" s="119">
        <v>0</v>
      </c>
      <c r="U1349" s="119">
        <v>0</v>
      </c>
      <c r="V1349" s="119">
        <v>0</v>
      </c>
      <c r="W1349" s="6">
        <v>794</v>
      </c>
      <c r="X1349" s="40">
        <f t="shared" si="96"/>
        <v>225</v>
      </c>
      <c r="Y1349" s="40">
        <f t="shared" si="97"/>
        <v>350</v>
      </c>
      <c r="Z1349" s="59">
        <v>0.48110831234256929</v>
      </c>
      <c r="AA1349" s="59">
        <v>0.51889168765743077</v>
      </c>
      <c r="AB1349" s="61">
        <v>2.5188916876574307E-3</v>
      </c>
      <c r="AC1349" s="61">
        <v>5.0377833753148613E-3</v>
      </c>
      <c r="AD1349" s="61">
        <v>1.1335012594458438E-2</v>
      </c>
      <c r="AE1349" s="61">
        <v>7.9345088161209068E-2</v>
      </c>
      <c r="AF1349" s="61">
        <v>0</v>
      </c>
      <c r="AG1349" s="61">
        <v>0.88035264483627207</v>
      </c>
      <c r="AH1349" s="61">
        <v>2.1410579345088162E-2</v>
      </c>
      <c r="AI1349" s="61">
        <v>0.11964735516372796</v>
      </c>
      <c r="AJ1349" s="59">
        <v>0.50881612090680106</v>
      </c>
      <c r="AK1349" s="59">
        <v>1.0075566750629723E-2</v>
      </c>
      <c r="AL1349" s="4">
        <v>66</v>
      </c>
      <c r="AM1349" s="4">
        <v>59</v>
      </c>
      <c r="AN1349" s="4">
        <v>14</v>
      </c>
      <c r="AO1349" s="4">
        <v>43</v>
      </c>
      <c r="AP1349" s="4">
        <v>64</v>
      </c>
      <c r="AQ1349" s="4">
        <v>48</v>
      </c>
      <c r="AR1349" s="4">
        <v>56</v>
      </c>
      <c r="AS1349" s="59">
        <v>0.24561403508771928</v>
      </c>
      <c r="AT1349" s="5" t="s">
        <v>552</v>
      </c>
      <c r="AU1349" s="3">
        <v>6</v>
      </c>
      <c r="AV1349" s="49">
        <v>83.561643835616394</v>
      </c>
      <c r="AW1349" s="49">
        <v>16.210045662100502</v>
      </c>
      <c r="AX1349" s="49">
        <v>0.22831050228310501</v>
      </c>
      <c r="AY1349" s="67">
        <v>0</v>
      </c>
      <c r="AZ1349" s="63">
        <v>3.35731414868106E-2</v>
      </c>
      <c r="BA1349" s="63">
        <v>2.3980815347721798E-2</v>
      </c>
      <c r="BB1349" s="79">
        <v>95.1</v>
      </c>
      <c r="BC1349" s="79"/>
      <c r="BD1349" s="79"/>
      <c r="BE1349" s="79"/>
      <c r="BF1349" s="79"/>
      <c r="BG1349" s="79"/>
      <c r="BH1349" s="79"/>
      <c r="BI1349" s="79"/>
      <c r="BJ1349" s="3">
        <v>19.7</v>
      </c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29" t="s">
        <v>154</v>
      </c>
      <c r="CJ1349" s="18" t="s">
        <v>548</v>
      </c>
      <c r="CK1349" s="20"/>
    </row>
    <row r="1350" spans="1:89" x14ac:dyDescent="0.25">
      <c r="A1350" s="18" t="s">
        <v>548</v>
      </c>
      <c r="B1350" s="29" t="s">
        <v>153</v>
      </c>
      <c r="C1350" s="29" t="s">
        <v>155</v>
      </c>
      <c r="D1350" s="6">
        <v>0</v>
      </c>
      <c r="E1350" s="6">
        <v>0</v>
      </c>
      <c r="F1350" s="6">
        <v>0</v>
      </c>
      <c r="N1350" s="119">
        <v>0</v>
      </c>
      <c r="O1350" s="119">
        <v>0</v>
      </c>
      <c r="P1350" s="119">
        <v>0</v>
      </c>
      <c r="Q1350" s="119">
        <v>0</v>
      </c>
      <c r="R1350" s="119">
        <v>0</v>
      </c>
      <c r="S1350" s="119">
        <v>0</v>
      </c>
      <c r="T1350" s="119">
        <v>0</v>
      </c>
      <c r="U1350" s="119">
        <v>0</v>
      </c>
      <c r="V1350" s="119">
        <v>0</v>
      </c>
      <c r="W1350" s="6">
        <v>236</v>
      </c>
      <c r="X1350" s="40">
        <f t="shared" si="96"/>
        <v>60</v>
      </c>
      <c r="Y1350" s="40">
        <f t="shared" si="97"/>
        <v>85</v>
      </c>
      <c r="Z1350" s="59">
        <v>0.41101694915254239</v>
      </c>
      <c r="AA1350" s="59">
        <v>0.58898305084745761</v>
      </c>
      <c r="AB1350" s="61">
        <v>0</v>
      </c>
      <c r="AC1350" s="61">
        <v>0</v>
      </c>
      <c r="AD1350" s="61">
        <v>0</v>
      </c>
      <c r="AE1350" s="61">
        <v>1.2711864406779662E-2</v>
      </c>
      <c r="AF1350" s="61">
        <v>0</v>
      </c>
      <c r="AG1350" s="61">
        <v>0.97457627118644063</v>
      </c>
      <c r="AH1350" s="61">
        <v>1.2711864406779662E-2</v>
      </c>
      <c r="AI1350" s="61">
        <v>2.5423728813559324E-2</v>
      </c>
      <c r="AJ1350" s="59">
        <v>0.53389830508474578</v>
      </c>
      <c r="AK1350" s="59">
        <v>0</v>
      </c>
      <c r="AL1350" s="4">
        <v>10</v>
      </c>
      <c r="AM1350" s="4">
        <v>15</v>
      </c>
      <c r="AN1350" s="4">
        <v>1</v>
      </c>
      <c r="AO1350" s="4">
        <v>12</v>
      </c>
      <c r="AP1350" s="4">
        <v>11</v>
      </c>
      <c r="AQ1350" s="4">
        <v>15</v>
      </c>
      <c r="AR1350" s="4">
        <v>21</v>
      </c>
      <c r="AS1350" s="59">
        <v>7.6923076923076927E-2</v>
      </c>
      <c r="AT1350" s="5" t="s">
        <v>552</v>
      </c>
      <c r="AU1350" s="3">
        <v>6</v>
      </c>
      <c r="AV1350" s="49">
        <v>92.771084337349393</v>
      </c>
      <c r="AW1350" s="49">
        <v>6.0240963855421699</v>
      </c>
      <c r="AX1350" s="49">
        <v>1.2048192771084301</v>
      </c>
      <c r="AY1350" s="67">
        <v>0</v>
      </c>
      <c r="AZ1350" s="63">
        <v>3.9855072463768099E-2</v>
      </c>
      <c r="BA1350" s="63">
        <v>5.0724637681159403E-2</v>
      </c>
      <c r="BB1350" s="80">
        <v>94.5</v>
      </c>
      <c r="BC1350" s="80"/>
      <c r="BD1350" s="80"/>
      <c r="BE1350" s="80"/>
      <c r="BF1350" s="80"/>
      <c r="BG1350" s="80"/>
      <c r="BH1350" s="80"/>
      <c r="BI1350" s="80"/>
      <c r="BJ1350" s="3">
        <v>18.899999999999999</v>
      </c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29" t="s">
        <v>155</v>
      </c>
      <c r="CJ1350" s="18" t="s">
        <v>548</v>
      </c>
      <c r="CK1350" s="20"/>
    </row>
    <row r="1351" spans="1:89" x14ac:dyDescent="0.25">
      <c r="A1351" s="18" t="s">
        <v>548</v>
      </c>
      <c r="B1351" s="29" t="s">
        <v>153</v>
      </c>
      <c r="C1351" s="29" t="s">
        <v>156</v>
      </c>
      <c r="D1351" s="6">
        <v>0</v>
      </c>
      <c r="E1351" s="6">
        <v>0</v>
      </c>
      <c r="F1351" s="6">
        <v>0</v>
      </c>
      <c r="N1351" s="119">
        <v>0</v>
      </c>
      <c r="O1351" s="119">
        <v>0</v>
      </c>
      <c r="P1351" s="119">
        <v>0</v>
      </c>
      <c r="Q1351" s="119">
        <v>0</v>
      </c>
      <c r="R1351" s="119">
        <v>0</v>
      </c>
      <c r="S1351" s="119">
        <v>0</v>
      </c>
      <c r="T1351" s="119">
        <v>0</v>
      </c>
      <c r="U1351" s="119">
        <v>0</v>
      </c>
      <c r="V1351" s="119">
        <v>0</v>
      </c>
      <c r="W1351" s="6">
        <v>88</v>
      </c>
      <c r="X1351" s="40">
        <f t="shared" si="96"/>
        <v>24</v>
      </c>
      <c r="Y1351" s="40">
        <f t="shared" si="97"/>
        <v>39</v>
      </c>
      <c r="Z1351" s="59">
        <v>0.46590909090909088</v>
      </c>
      <c r="AA1351" s="59">
        <v>0.53409090909090906</v>
      </c>
      <c r="AB1351" s="61">
        <v>0</v>
      </c>
      <c r="AC1351" s="61">
        <v>0</v>
      </c>
      <c r="AD1351" s="61">
        <v>1.1363636363636364E-2</v>
      </c>
      <c r="AE1351" s="61">
        <v>4.5454545454545456E-2</v>
      </c>
      <c r="AF1351" s="61">
        <v>0</v>
      </c>
      <c r="AG1351" s="61">
        <v>0.93181818181818177</v>
      </c>
      <c r="AH1351" s="61">
        <v>1.1363636363636364E-2</v>
      </c>
      <c r="AI1351" s="61">
        <v>6.8181818181818177E-2</v>
      </c>
      <c r="AJ1351" s="59">
        <v>0.26136363636363635</v>
      </c>
      <c r="AK1351" s="59">
        <v>0</v>
      </c>
      <c r="AL1351" s="4">
        <v>9</v>
      </c>
      <c r="AM1351" s="4">
        <v>6</v>
      </c>
      <c r="AN1351" s="4">
        <v>2</v>
      </c>
      <c r="AO1351" s="4">
        <v>3</v>
      </c>
      <c r="AP1351" s="4">
        <v>7</v>
      </c>
      <c r="AQ1351" s="4">
        <v>5</v>
      </c>
      <c r="AR1351" s="4">
        <v>7</v>
      </c>
      <c r="AS1351" s="59">
        <v>0.4</v>
      </c>
      <c r="AT1351" s="5" t="s">
        <v>552</v>
      </c>
      <c r="AU1351" s="3">
        <v>6</v>
      </c>
      <c r="AV1351" s="49">
        <v>100</v>
      </c>
      <c r="AW1351" s="49">
        <v>0</v>
      </c>
      <c r="AX1351" s="49">
        <v>0</v>
      </c>
      <c r="AY1351" s="67">
        <v>0</v>
      </c>
      <c r="AZ1351" s="63">
        <v>1.0416666666666701E-2</v>
      </c>
      <c r="BA1351" s="63">
        <v>1.0416666666666701E-2</v>
      </c>
      <c r="BB1351" s="79">
        <v>94.2</v>
      </c>
      <c r="BC1351" s="79"/>
      <c r="BD1351" s="79"/>
      <c r="BE1351" s="79"/>
      <c r="BF1351" s="79"/>
      <c r="BG1351" s="79"/>
      <c r="BH1351" s="79"/>
      <c r="BI1351" s="79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29" t="s">
        <v>156</v>
      </c>
      <c r="CJ1351" s="18" t="s">
        <v>548</v>
      </c>
      <c r="CK1351" s="20"/>
    </row>
    <row r="1352" spans="1:89" x14ac:dyDescent="0.25">
      <c r="A1352" s="18" t="s">
        <v>548</v>
      </c>
      <c r="B1352" s="29" t="s">
        <v>153</v>
      </c>
      <c r="C1352" s="29" t="s">
        <v>157</v>
      </c>
      <c r="D1352" s="6">
        <v>1</v>
      </c>
      <c r="E1352" s="6">
        <v>1</v>
      </c>
      <c r="F1352" s="6">
        <v>0</v>
      </c>
      <c r="N1352" s="115">
        <v>8.4745762711864406E-3</v>
      </c>
      <c r="O1352" s="119">
        <v>0</v>
      </c>
      <c r="P1352" s="119">
        <v>0</v>
      </c>
      <c r="Q1352" s="115">
        <v>7.1428571428571397E-2</v>
      </c>
      <c r="R1352" s="119">
        <v>0</v>
      </c>
      <c r="S1352" s="119">
        <v>0</v>
      </c>
      <c r="T1352" s="119">
        <v>0</v>
      </c>
      <c r="U1352" s="119">
        <v>0</v>
      </c>
      <c r="V1352" s="119">
        <v>0</v>
      </c>
      <c r="W1352" s="6">
        <v>237</v>
      </c>
      <c r="X1352" s="40">
        <f t="shared" si="96"/>
        <v>83</v>
      </c>
      <c r="Y1352" s="40">
        <f t="shared" si="97"/>
        <v>112</v>
      </c>
      <c r="Z1352" s="59">
        <v>0.57383966244725737</v>
      </c>
      <c r="AA1352" s="59">
        <v>0.42616033755274263</v>
      </c>
      <c r="AB1352" s="61">
        <v>4.2194092827004216E-3</v>
      </c>
      <c r="AC1352" s="61">
        <v>0</v>
      </c>
      <c r="AD1352" s="61">
        <v>3.3755274261603373E-2</v>
      </c>
      <c r="AE1352" s="61">
        <v>4.2194092827004218E-2</v>
      </c>
      <c r="AF1352" s="61">
        <v>0</v>
      </c>
      <c r="AG1352" s="61">
        <v>0.88607594936708856</v>
      </c>
      <c r="AH1352" s="61">
        <v>3.3755274261603373E-2</v>
      </c>
      <c r="AI1352" s="61">
        <v>0.11392405063291139</v>
      </c>
      <c r="AJ1352" s="59">
        <v>0.53164556962025311</v>
      </c>
      <c r="AK1352" s="59">
        <v>1.2658227848101266E-2</v>
      </c>
      <c r="AL1352" s="4">
        <v>17</v>
      </c>
      <c r="AM1352" s="4">
        <v>12</v>
      </c>
      <c r="AN1352" s="4">
        <v>2</v>
      </c>
      <c r="AO1352" s="4">
        <v>21</v>
      </c>
      <c r="AP1352" s="4">
        <v>13</v>
      </c>
      <c r="AQ1352" s="4">
        <v>18</v>
      </c>
      <c r="AR1352" s="4">
        <v>29</v>
      </c>
      <c r="AS1352" s="59">
        <v>8.6956521739130432E-2</v>
      </c>
      <c r="AT1352" s="5" t="s">
        <v>552</v>
      </c>
      <c r="AU1352" s="3">
        <v>6</v>
      </c>
      <c r="AV1352" s="49">
        <v>93.710691823899396</v>
      </c>
      <c r="AW1352" s="49">
        <v>6.2893081761006302</v>
      </c>
      <c r="AX1352" s="49">
        <v>0</v>
      </c>
      <c r="AY1352" s="67">
        <v>0</v>
      </c>
      <c r="AZ1352" s="63">
        <v>6.6147859922179003E-2</v>
      </c>
      <c r="BA1352" s="63">
        <v>3.1128404669260701E-2</v>
      </c>
      <c r="BB1352" s="80">
        <v>94.9</v>
      </c>
      <c r="BC1352" s="80"/>
      <c r="BD1352" s="80"/>
      <c r="BE1352" s="80"/>
      <c r="BF1352" s="80"/>
      <c r="BG1352" s="80"/>
      <c r="BH1352" s="80"/>
      <c r="BI1352" s="80"/>
      <c r="BJ1352" s="3">
        <v>17.2</v>
      </c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29" t="s">
        <v>157</v>
      </c>
      <c r="CJ1352" s="18" t="s">
        <v>548</v>
      </c>
      <c r="CK1352" s="20"/>
    </row>
    <row r="1353" spans="1:89" x14ac:dyDescent="0.25">
      <c r="A1353" s="18" t="s">
        <v>548</v>
      </c>
      <c r="B1353" s="29" t="s">
        <v>158</v>
      </c>
      <c r="C1353" s="29" t="s">
        <v>159</v>
      </c>
      <c r="D1353" s="6">
        <v>4</v>
      </c>
      <c r="E1353" s="6">
        <v>2</v>
      </c>
      <c r="F1353" s="6">
        <v>2</v>
      </c>
      <c r="N1353" s="115">
        <v>1.9047619047619001E-2</v>
      </c>
      <c r="O1353" s="115">
        <v>1.20481927710843E-2</v>
      </c>
      <c r="P1353" s="116" t="s">
        <v>83</v>
      </c>
      <c r="Q1353" s="115">
        <v>4.5454545454545497E-2</v>
      </c>
      <c r="R1353" s="116" t="s">
        <v>83</v>
      </c>
      <c r="S1353" s="119">
        <v>0</v>
      </c>
      <c r="T1353" s="119">
        <v>0</v>
      </c>
      <c r="U1353" s="115">
        <v>4.3478260869565202E-2</v>
      </c>
      <c r="V1353" s="119">
        <v>0</v>
      </c>
      <c r="W1353" s="6">
        <v>188</v>
      </c>
      <c r="X1353" s="40">
        <f t="shared" si="96"/>
        <v>148</v>
      </c>
      <c r="Y1353" s="40">
        <f t="shared" si="97"/>
        <v>188</v>
      </c>
      <c r="Z1353" s="59">
        <v>0.48404255319148937</v>
      </c>
      <c r="AA1353" s="59">
        <v>0.51595744680851063</v>
      </c>
      <c r="AB1353" s="61">
        <v>0</v>
      </c>
      <c r="AC1353" s="61">
        <v>0</v>
      </c>
      <c r="AD1353" s="61">
        <v>0.58510638297872342</v>
      </c>
      <c r="AE1353" s="61">
        <v>2.1276595744680851E-2</v>
      </c>
      <c r="AF1353" s="61">
        <v>0</v>
      </c>
      <c r="AG1353" s="61">
        <v>0.38829787234042551</v>
      </c>
      <c r="AH1353" s="61">
        <v>5.3191489361702126E-3</v>
      </c>
      <c r="AI1353" s="61">
        <v>0.61170212765957444</v>
      </c>
      <c r="AJ1353" s="59">
        <v>0.80319148936170215</v>
      </c>
      <c r="AK1353" s="59">
        <v>0</v>
      </c>
      <c r="AL1353" s="4">
        <v>0</v>
      </c>
      <c r="AM1353" s="4">
        <v>40</v>
      </c>
      <c r="AN1353" s="4">
        <v>0</v>
      </c>
      <c r="AO1353" s="4">
        <v>40</v>
      </c>
      <c r="AP1353" s="4">
        <v>37</v>
      </c>
      <c r="AQ1353" s="4">
        <v>40</v>
      </c>
      <c r="AR1353" s="4">
        <v>31</v>
      </c>
      <c r="AS1353" s="59">
        <v>0</v>
      </c>
      <c r="AT1353" s="5" t="s">
        <v>554</v>
      </c>
      <c r="AU1353" s="3">
        <v>6</v>
      </c>
      <c r="AV1353" s="49">
        <v>77.868852459016409</v>
      </c>
      <c r="AW1353" s="49">
        <v>16.393442622950801</v>
      </c>
      <c r="AX1353" s="49">
        <v>5.7377049180327901</v>
      </c>
      <c r="AY1353" s="67">
        <v>0</v>
      </c>
      <c r="AZ1353" s="63">
        <v>4.8309178743961401E-2</v>
      </c>
      <c r="BA1353" s="63">
        <v>0.19806763285024201</v>
      </c>
      <c r="BB1353" s="79">
        <v>89.9</v>
      </c>
      <c r="BC1353" s="79"/>
      <c r="BD1353" s="79"/>
      <c r="BE1353" s="79"/>
      <c r="BF1353" s="79"/>
      <c r="BG1353" s="79"/>
      <c r="BH1353" s="79"/>
      <c r="BI1353" s="79"/>
      <c r="BJ1353" s="3">
        <v>15.4</v>
      </c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29" t="s">
        <v>159</v>
      </c>
      <c r="CJ1353" s="18" t="s">
        <v>548</v>
      </c>
      <c r="CK1353" s="20"/>
    </row>
    <row r="1354" spans="1:89" x14ac:dyDescent="0.25">
      <c r="A1354" s="18" t="s">
        <v>548</v>
      </c>
      <c r="B1354" s="29" t="s">
        <v>158</v>
      </c>
      <c r="C1354" s="29" t="s">
        <v>160</v>
      </c>
      <c r="D1354" s="6">
        <v>2</v>
      </c>
      <c r="E1354" s="6">
        <v>1</v>
      </c>
      <c r="F1354" s="6">
        <v>1</v>
      </c>
      <c r="N1354" s="115">
        <v>5.5555555555555601E-2</v>
      </c>
      <c r="O1354" s="115">
        <v>6.25E-2</v>
      </c>
      <c r="P1354" s="115">
        <v>9.0909090909090898E-2</v>
      </c>
      <c r="Q1354" s="115">
        <v>0</v>
      </c>
      <c r="R1354" s="116" t="s">
        <v>83</v>
      </c>
      <c r="S1354" s="115">
        <v>0.2</v>
      </c>
      <c r="T1354" s="119">
        <v>0</v>
      </c>
      <c r="U1354" s="119">
        <v>0</v>
      </c>
      <c r="V1354" s="116" t="s">
        <v>83</v>
      </c>
      <c r="W1354" s="6">
        <v>67</v>
      </c>
      <c r="X1354" s="40">
        <f t="shared" si="96"/>
        <v>15</v>
      </c>
      <c r="Y1354" s="40">
        <f t="shared" si="97"/>
        <v>32</v>
      </c>
      <c r="Z1354" s="59">
        <v>0.47761194029850745</v>
      </c>
      <c r="AA1354" s="59">
        <v>0.52238805970149249</v>
      </c>
      <c r="AB1354" s="61">
        <v>0</v>
      </c>
      <c r="AC1354" s="61">
        <v>0</v>
      </c>
      <c r="AD1354" s="61">
        <v>5.9701492537313432E-2</v>
      </c>
      <c r="AE1354" s="61">
        <v>0</v>
      </c>
      <c r="AF1354" s="61">
        <v>0</v>
      </c>
      <c r="AG1354" s="61">
        <v>0.91044776119402981</v>
      </c>
      <c r="AH1354" s="61">
        <v>2.9850746268656716E-2</v>
      </c>
      <c r="AI1354" s="61">
        <v>8.9552238805970144E-2</v>
      </c>
      <c r="AJ1354" s="59">
        <v>0.71641791044776115</v>
      </c>
      <c r="AK1354" s="59">
        <v>0</v>
      </c>
      <c r="AL1354" s="4">
        <v>9</v>
      </c>
      <c r="AM1354" s="4">
        <v>8</v>
      </c>
      <c r="AN1354" s="4">
        <v>0</v>
      </c>
      <c r="AO1354" s="4">
        <v>5</v>
      </c>
      <c r="AP1354" s="4">
        <v>6</v>
      </c>
      <c r="AQ1354" s="4">
        <v>4</v>
      </c>
      <c r="AR1354" s="4">
        <v>0</v>
      </c>
      <c r="AS1354" s="59">
        <v>0</v>
      </c>
      <c r="AT1354" s="5" t="s">
        <v>552</v>
      </c>
      <c r="AU1354" s="3">
        <v>6</v>
      </c>
      <c r="AV1354" s="49">
        <v>98.684210526315795</v>
      </c>
      <c r="AW1354" s="49">
        <v>1.31578947368421</v>
      </c>
      <c r="AX1354" s="49">
        <v>0</v>
      </c>
      <c r="AY1354" s="67">
        <v>0</v>
      </c>
      <c r="AZ1354" s="63">
        <v>0</v>
      </c>
      <c r="BA1354" s="63">
        <v>0.114285714285714</v>
      </c>
      <c r="BB1354" s="80">
        <v>91.5</v>
      </c>
      <c r="BC1354" s="80"/>
      <c r="BD1354" s="80"/>
      <c r="BE1354" s="80"/>
      <c r="BF1354" s="80"/>
      <c r="BG1354" s="80"/>
      <c r="BH1354" s="80"/>
      <c r="BI1354" s="80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29" t="s">
        <v>160</v>
      </c>
      <c r="CJ1354" s="18" t="s">
        <v>548</v>
      </c>
      <c r="CK1354" s="20"/>
    </row>
    <row r="1355" spans="1:89" x14ac:dyDescent="0.25">
      <c r="A1355" s="18" t="s">
        <v>548</v>
      </c>
      <c r="B1355" s="29" t="s">
        <v>158</v>
      </c>
      <c r="C1355" s="29" t="s">
        <v>161</v>
      </c>
      <c r="D1355" s="6">
        <v>1</v>
      </c>
      <c r="E1355" s="6">
        <v>1</v>
      </c>
      <c r="F1355" s="6">
        <v>0</v>
      </c>
      <c r="N1355" s="115">
        <v>5.8139534883720903E-3</v>
      </c>
      <c r="O1355" s="115">
        <v>0</v>
      </c>
      <c r="P1355" s="119">
        <v>0</v>
      </c>
      <c r="Q1355" s="115">
        <v>3.03030303030303E-2</v>
      </c>
      <c r="R1355" s="116" t="s">
        <v>83</v>
      </c>
      <c r="S1355" s="119">
        <v>0</v>
      </c>
      <c r="T1355" s="119">
        <v>0</v>
      </c>
      <c r="U1355" s="119">
        <v>0</v>
      </c>
      <c r="V1355" s="119">
        <v>0</v>
      </c>
      <c r="W1355" s="6">
        <v>340</v>
      </c>
      <c r="X1355" s="40">
        <f t="shared" si="96"/>
        <v>97</v>
      </c>
      <c r="Y1355" s="40">
        <f t="shared" si="97"/>
        <v>156</v>
      </c>
      <c r="Z1355" s="59">
        <v>0.52647058823529413</v>
      </c>
      <c r="AA1355" s="59">
        <v>0.47352941176470587</v>
      </c>
      <c r="AB1355" s="61">
        <v>0</v>
      </c>
      <c r="AC1355" s="61">
        <v>8.8235294117647058E-3</v>
      </c>
      <c r="AD1355" s="61">
        <v>0.10588235294117647</v>
      </c>
      <c r="AE1355" s="61">
        <v>1.4705882352941176E-2</v>
      </c>
      <c r="AF1355" s="61">
        <v>0</v>
      </c>
      <c r="AG1355" s="61">
        <v>0.8294117647058824</v>
      </c>
      <c r="AH1355" s="61">
        <v>4.1176470588235294E-2</v>
      </c>
      <c r="AI1355" s="61">
        <v>0.17058823529411765</v>
      </c>
      <c r="AJ1355" s="59">
        <v>0.58529411764705885</v>
      </c>
      <c r="AK1355" s="59">
        <v>0</v>
      </c>
      <c r="AL1355" s="4">
        <v>29</v>
      </c>
      <c r="AM1355" s="4">
        <v>30</v>
      </c>
      <c r="AN1355" s="4">
        <v>0</v>
      </c>
      <c r="AO1355" s="4">
        <v>25</v>
      </c>
      <c r="AP1355" s="4">
        <v>21</v>
      </c>
      <c r="AQ1355" s="4">
        <v>27</v>
      </c>
      <c r="AR1355" s="4">
        <v>24</v>
      </c>
      <c r="AS1355" s="59">
        <v>0</v>
      </c>
      <c r="AT1355" s="5" t="s">
        <v>552</v>
      </c>
      <c r="AU1355" s="3">
        <v>6</v>
      </c>
      <c r="AV1355" s="49">
        <v>77.697841726618705</v>
      </c>
      <c r="AW1355" s="49">
        <v>11.510791366906501</v>
      </c>
      <c r="AX1355" s="49">
        <v>10.071942446043201</v>
      </c>
      <c r="AY1355" s="67">
        <v>0.71942446043165498</v>
      </c>
      <c r="AZ1355" s="63">
        <v>5.4495912806539499E-3</v>
      </c>
      <c r="BA1355" s="63">
        <v>2.9972752043596701E-2</v>
      </c>
      <c r="BB1355" s="79">
        <v>93</v>
      </c>
      <c r="BC1355" s="79"/>
      <c r="BD1355" s="79"/>
      <c r="BE1355" s="79"/>
      <c r="BF1355" s="79"/>
      <c r="BG1355" s="79"/>
      <c r="BH1355" s="79"/>
      <c r="BI1355" s="79"/>
      <c r="BJ1355" s="3">
        <v>18.5</v>
      </c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29" t="s">
        <v>161</v>
      </c>
      <c r="CJ1355" s="18" t="s">
        <v>548</v>
      </c>
      <c r="CK1355" s="20"/>
    </row>
    <row r="1356" spans="1:89" x14ac:dyDescent="0.25">
      <c r="A1356" s="18" t="s">
        <v>548</v>
      </c>
      <c r="B1356" s="29" t="s">
        <v>158</v>
      </c>
      <c r="C1356" s="29" t="s">
        <v>162</v>
      </c>
      <c r="D1356" s="6">
        <v>0</v>
      </c>
      <c r="E1356" s="6">
        <v>0</v>
      </c>
      <c r="F1356" s="6">
        <v>0</v>
      </c>
      <c r="N1356" s="119">
        <v>0</v>
      </c>
      <c r="O1356" s="119">
        <v>0</v>
      </c>
      <c r="P1356" s="119">
        <v>0</v>
      </c>
      <c r="Q1356" s="119">
        <v>0</v>
      </c>
      <c r="R1356" s="116" t="s">
        <v>83</v>
      </c>
      <c r="S1356" s="119">
        <v>0</v>
      </c>
      <c r="T1356" s="119">
        <v>0</v>
      </c>
      <c r="U1356" s="119">
        <v>0</v>
      </c>
      <c r="V1356" s="119">
        <v>0</v>
      </c>
      <c r="W1356" s="6">
        <v>247</v>
      </c>
      <c r="X1356" s="40">
        <f t="shared" si="96"/>
        <v>65</v>
      </c>
      <c r="Y1356" s="40">
        <f t="shared" si="97"/>
        <v>110</v>
      </c>
      <c r="Z1356" s="59">
        <v>0.53036437246963564</v>
      </c>
      <c r="AA1356" s="59">
        <v>0.46963562753036436</v>
      </c>
      <c r="AB1356" s="61">
        <v>0</v>
      </c>
      <c r="AC1356" s="61">
        <v>0</v>
      </c>
      <c r="AD1356" s="61">
        <v>0.48178137651821862</v>
      </c>
      <c r="AE1356" s="61">
        <v>2.0242914979757085E-2</v>
      </c>
      <c r="AF1356" s="61">
        <v>0</v>
      </c>
      <c r="AG1356" s="61">
        <v>0.47368421052631576</v>
      </c>
      <c r="AH1356" s="61">
        <v>2.4291497975708502E-2</v>
      </c>
      <c r="AI1356" s="61">
        <v>0.52631578947368418</v>
      </c>
      <c r="AJ1356" s="59">
        <v>0.86234817813765186</v>
      </c>
      <c r="AK1356" s="59">
        <v>0</v>
      </c>
      <c r="AL1356" s="4">
        <v>16</v>
      </c>
      <c r="AM1356" s="4">
        <v>29</v>
      </c>
      <c r="AN1356" s="4">
        <v>0</v>
      </c>
      <c r="AO1356" s="4">
        <v>15</v>
      </c>
      <c r="AP1356" s="4">
        <v>17</v>
      </c>
      <c r="AQ1356" s="4">
        <v>21</v>
      </c>
      <c r="AR1356" s="4">
        <v>12</v>
      </c>
      <c r="AS1356" s="59">
        <v>0</v>
      </c>
      <c r="AT1356" s="5" t="s">
        <v>552</v>
      </c>
      <c r="AU1356" s="3">
        <v>6</v>
      </c>
      <c r="AV1356" s="49">
        <v>91.428571428571402</v>
      </c>
      <c r="AW1356" s="49">
        <v>8.5714285714285694</v>
      </c>
      <c r="AX1356" s="49">
        <v>0</v>
      </c>
      <c r="AY1356" s="67">
        <v>0</v>
      </c>
      <c r="AZ1356" s="63">
        <v>3.7878787878787902E-3</v>
      </c>
      <c r="BA1356" s="63">
        <v>0.13636363636363599</v>
      </c>
      <c r="BB1356" s="80">
        <v>92.4</v>
      </c>
      <c r="BC1356" s="80"/>
      <c r="BD1356" s="80"/>
      <c r="BE1356" s="80"/>
      <c r="BF1356" s="80"/>
      <c r="BG1356" s="80"/>
      <c r="BH1356" s="80"/>
      <c r="BI1356" s="80"/>
      <c r="BJ1356" s="3">
        <v>18.399999999999999</v>
      </c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29" t="s">
        <v>162</v>
      </c>
      <c r="CJ1356" s="18" t="s">
        <v>548</v>
      </c>
      <c r="CK1356" s="20"/>
    </row>
    <row r="1357" spans="1:89" x14ac:dyDescent="0.25">
      <c r="A1357" s="18" t="s">
        <v>548</v>
      </c>
      <c r="B1357" s="29" t="s">
        <v>163</v>
      </c>
      <c r="C1357" s="29" t="s">
        <v>164</v>
      </c>
      <c r="D1357" s="6">
        <v>0</v>
      </c>
      <c r="E1357" s="6">
        <v>0</v>
      </c>
      <c r="F1357" s="6">
        <v>0</v>
      </c>
      <c r="N1357" s="119">
        <v>0</v>
      </c>
      <c r="O1357" s="119">
        <v>0</v>
      </c>
      <c r="P1357" s="119">
        <v>0</v>
      </c>
      <c r="Q1357" s="119">
        <v>0</v>
      </c>
      <c r="R1357" s="116" t="s">
        <v>83</v>
      </c>
      <c r="S1357" s="119">
        <v>0</v>
      </c>
      <c r="T1357" s="119">
        <v>0</v>
      </c>
      <c r="U1357" s="119">
        <v>0</v>
      </c>
      <c r="V1357" s="119">
        <v>0</v>
      </c>
      <c r="W1357" s="6">
        <v>311</v>
      </c>
      <c r="X1357" s="40">
        <f t="shared" si="96"/>
        <v>150</v>
      </c>
      <c r="Y1357" s="40">
        <f t="shared" si="97"/>
        <v>216</v>
      </c>
      <c r="Z1357" s="59">
        <v>0.4662379421221865</v>
      </c>
      <c r="AA1357" s="59">
        <v>0.5337620578778135</v>
      </c>
      <c r="AB1357" s="61">
        <v>0</v>
      </c>
      <c r="AC1357" s="61">
        <v>0</v>
      </c>
      <c r="AD1357" s="61">
        <v>0.56591639871382637</v>
      </c>
      <c r="AE1357" s="61">
        <v>3.215434083601286E-2</v>
      </c>
      <c r="AF1357" s="61">
        <v>0</v>
      </c>
      <c r="AG1357" s="61">
        <v>0.38585209003215432</v>
      </c>
      <c r="AH1357" s="61">
        <v>1.607717041800643E-2</v>
      </c>
      <c r="AI1357" s="61">
        <v>0.61414790996784563</v>
      </c>
      <c r="AJ1357" s="59">
        <v>0.78456591639871387</v>
      </c>
      <c r="AK1357" s="59">
        <v>3.2154340836012861E-3</v>
      </c>
      <c r="AL1357" s="4">
        <v>33</v>
      </c>
      <c r="AM1357" s="4">
        <v>33</v>
      </c>
      <c r="AN1357" s="4">
        <v>0</v>
      </c>
      <c r="AO1357" s="4">
        <v>31</v>
      </c>
      <c r="AP1357" s="4">
        <v>29</v>
      </c>
      <c r="AQ1357" s="4">
        <v>42</v>
      </c>
      <c r="AR1357" s="4">
        <v>48</v>
      </c>
      <c r="AS1357" s="59">
        <v>0</v>
      </c>
      <c r="AT1357" s="5" t="s">
        <v>555</v>
      </c>
      <c r="AU1357" s="3">
        <v>6</v>
      </c>
      <c r="AV1357" s="49">
        <v>89.7959183673469</v>
      </c>
      <c r="AW1357" s="49">
        <v>6.6326530612244898</v>
      </c>
      <c r="AX1357" s="49">
        <v>2.5510204081632697</v>
      </c>
      <c r="AY1357" s="67">
        <v>1.0204081632653099</v>
      </c>
      <c r="AZ1357" s="63">
        <v>6.3444108761329304E-2</v>
      </c>
      <c r="BA1357" s="63">
        <v>7.8549848942598199E-2</v>
      </c>
      <c r="BB1357" s="79">
        <v>93.1</v>
      </c>
      <c r="BC1357" s="79"/>
      <c r="BD1357" s="79"/>
      <c r="BE1357" s="79"/>
      <c r="BF1357" s="79"/>
      <c r="BG1357" s="79"/>
      <c r="BH1357" s="79"/>
      <c r="BI1357" s="79"/>
      <c r="BJ1357" s="3">
        <v>17.2</v>
      </c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29" t="s">
        <v>164</v>
      </c>
      <c r="CJ1357" s="18" t="s">
        <v>548</v>
      </c>
      <c r="CK1357" s="20"/>
    </row>
    <row r="1358" spans="1:89" x14ac:dyDescent="0.25">
      <c r="A1358" s="18" t="s">
        <v>548</v>
      </c>
      <c r="B1358" s="29" t="s">
        <v>163</v>
      </c>
      <c r="C1358" s="29" t="s">
        <v>165</v>
      </c>
      <c r="D1358" s="6">
        <v>0</v>
      </c>
      <c r="E1358" s="40" t="s">
        <v>83</v>
      </c>
      <c r="F1358" s="6">
        <v>0</v>
      </c>
      <c r="N1358" s="119">
        <v>0</v>
      </c>
      <c r="O1358" s="119">
        <v>0</v>
      </c>
      <c r="P1358" s="116" t="s">
        <v>83</v>
      </c>
      <c r="Q1358" s="116" t="s">
        <v>83</v>
      </c>
      <c r="R1358" s="116" t="s">
        <v>83</v>
      </c>
      <c r="S1358" s="119">
        <v>0</v>
      </c>
      <c r="T1358" s="119">
        <v>0</v>
      </c>
      <c r="U1358" s="119">
        <v>0</v>
      </c>
      <c r="V1358" s="119">
        <v>0</v>
      </c>
      <c r="W1358" s="6">
        <v>194</v>
      </c>
      <c r="X1358" s="40">
        <f t="shared" si="96"/>
        <v>194</v>
      </c>
      <c r="Y1358" s="40">
        <f t="shared" si="97"/>
        <v>194</v>
      </c>
      <c r="Z1358" s="59">
        <v>0.4329896907216495</v>
      </c>
      <c r="AA1358" s="59">
        <v>0.5670103092783505</v>
      </c>
      <c r="AB1358" s="61">
        <v>0</v>
      </c>
      <c r="AC1358" s="61">
        <v>1.0309278350515464E-2</v>
      </c>
      <c r="AD1358" s="61">
        <v>0.86082474226804129</v>
      </c>
      <c r="AE1358" s="61">
        <v>2.5773195876288658E-2</v>
      </c>
      <c r="AF1358" s="61">
        <v>0</v>
      </c>
      <c r="AG1358" s="61">
        <v>9.7938144329896906E-2</v>
      </c>
      <c r="AH1358" s="61">
        <v>5.1546391752577319E-3</v>
      </c>
      <c r="AI1358" s="61">
        <v>0.90206185567010311</v>
      </c>
      <c r="AJ1358" s="59">
        <v>0.89690721649484539</v>
      </c>
      <c r="AK1358" s="59">
        <v>0</v>
      </c>
      <c r="AL1358" s="4">
        <v>0</v>
      </c>
      <c r="AM1358" s="4">
        <v>0</v>
      </c>
      <c r="AN1358" s="4">
        <v>0</v>
      </c>
      <c r="AO1358" s="4">
        <v>56</v>
      </c>
      <c r="AP1358" s="4">
        <v>50</v>
      </c>
      <c r="AQ1358" s="4">
        <v>48</v>
      </c>
      <c r="AR1358" s="4">
        <v>40</v>
      </c>
      <c r="AS1358" s="59">
        <v>0</v>
      </c>
      <c r="AT1358" s="5" t="s">
        <v>550</v>
      </c>
      <c r="AU1358" s="3">
        <v>6</v>
      </c>
      <c r="AV1358" s="49">
        <v>86.991869918699209</v>
      </c>
      <c r="AW1358" s="49">
        <v>12.1951219512195</v>
      </c>
      <c r="AX1358" s="49">
        <v>0.81300813008130102</v>
      </c>
      <c r="AY1358" s="67">
        <v>0</v>
      </c>
      <c r="AZ1358" s="63">
        <v>0.24545454545454501</v>
      </c>
      <c r="BA1358" s="63">
        <v>0.25454545454545502</v>
      </c>
      <c r="BB1358" s="80">
        <v>91.7</v>
      </c>
      <c r="BC1358" s="80"/>
      <c r="BD1358" s="80"/>
      <c r="BE1358" s="80"/>
      <c r="BF1358" s="80"/>
      <c r="BG1358" s="80"/>
      <c r="BH1358" s="80"/>
      <c r="BI1358" s="80"/>
      <c r="BJ1358" s="3">
        <v>15.2</v>
      </c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29" t="s">
        <v>165</v>
      </c>
      <c r="CJ1358" s="18" t="s">
        <v>548</v>
      </c>
      <c r="CK1358" s="20"/>
    </row>
    <row r="1359" spans="1:89" x14ac:dyDescent="0.25">
      <c r="A1359" s="18" t="s">
        <v>548</v>
      </c>
      <c r="B1359" s="29" t="s">
        <v>163</v>
      </c>
      <c r="C1359" s="29" t="s">
        <v>166</v>
      </c>
      <c r="D1359" s="6">
        <v>0</v>
      </c>
      <c r="E1359" s="6">
        <v>0</v>
      </c>
      <c r="F1359" s="6">
        <v>0</v>
      </c>
      <c r="N1359" s="119">
        <v>0</v>
      </c>
      <c r="O1359" s="119">
        <v>0</v>
      </c>
      <c r="P1359" s="119">
        <v>0</v>
      </c>
      <c r="Q1359" s="119">
        <v>0</v>
      </c>
      <c r="R1359" s="116" t="s">
        <v>83</v>
      </c>
      <c r="S1359" s="119">
        <v>0</v>
      </c>
      <c r="T1359" s="119">
        <v>0</v>
      </c>
      <c r="U1359" s="119">
        <v>0</v>
      </c>
      <c r="V1359" s="119">
        <v>0</v>
      </c>
      <c r="W1359" s="6">
        <v>314</v>
      </c>
      <c r="X1359" s="40">
        <f t="shared" si="96"/>
        <v>89</v>
      </c>
      <c r="Y1359" s="40">
        <f t="shared" si="97"/>
        <v>131</v>
      </c>
      <c r="Z1359" s="59">
        <v>0.56687898089171973</v>
      </c>
      <c r="AA1359" s="59">
        <v>0.43312101910828027</v>
      </c>
      <c r="AB1359" s="61">
        <v>0</v>
      </c>
      <c r="AC1359" s="61">
        <v>6.369426751592357E-3</v>
      </c>
      <c r="AD1359" s="61">
        <v>0.36305732484076431</v>
      </c>
      <c r="AE1359" s="61">
        <v>6.369426751592357E-3</v>
      </c>
      <c r="AF1359" s="61">
        <v>3.1847133757961785E-3</v>
      </c>
      <c r="AG1359" s="61">
        <v>0.61464968152866239</v>
      </c>
      <c r="AH1359" s="61">
        <v>6.369426751592357E-3</v>
      </c>
      <c r="AI1359" s="61">
        <v>0.38535031847133761</v>
      </c>
      <c r="AJ1359" s="59">
        <v>0.62420382165605093</v>
      </c>
      <c r="AK1359" s="59">
        <v>0</v>
      </c>
      <c r="AL1359" s="4">
        <v>21</v>
      </c>
      <c r="AM1359" s="4">
        <v>21</v>
      </c>
      <c r="AN1359" s="4">
        <v>0</v>
      </c>
      <c r="AO1359" s="4">
        <v>24</v>
      </c>
      <c r="AP1359" s="4">
        <v>19</v>
      </c>
      <c r="AQ1359" s="4">
        <v>24</v>
      </c>
      <c r="AR1359" s="4">
        <v>22</v>
      </c>
      <c r="AS1359" s="59">
        <v>0</v>
      </c>
      <c r="AT1359" s="5" t="s">
        <v>552</v>
      </c>
      <c r="AU1359" s="3">
        <v>6</v>
      </c>
      <c r="AV1359" s="49">
        <v>74.342105263157904</v>
      </c>
      <c r="AW1359" s="49">
        <v>23.026315789473699</v>
      </c>
      <c r="AX1359" s="49">
        <v>2.6315789473684199</v>
      </c>
      <c r="AY1359" s="67">
        <v>0</v>
      </c>
      <c r="AZ1359" s="63">
        <v>0</v>
      </c>
      <c r="BA1359" s="63">
        <v>8.9285714285714298E-3</v>
      </c>
      <c r="BB1359" s="79">
        <v>94.8</v>
      </c>
      <c r="BC1359" s="79"/>
      <c r="BD1359" s="79"/>
      <c r="BE1359" s="79"/>
      <c r="BF1359" s="79"/>
      <c r="BG1359" s="79"/>
      <c r="BH1359" s="79"/>
      <c r="BI1359" s="79"/>
      <c r="BJ1359" s="3">
        <v>18</v>
      </c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29" t="s">
        <v>166</v>
      </c>
      <c r="CJ1359" s="18" t="s">
        <v>548</v>
      </c>
      <c r="CK1359" s="20"/>
    </row>
    <row r="1360" spans="1:89" x14ac:dyDescent="0.25">
      <c r="A1360" s="18" t="s">
        <v>548</v>
      </c>
      <c r="B1360" s="29" t="s">
        <v>167</v>
      </c>
      <c r="C1360" s="29" t="s">
        <v>168</v>
      </c>
      <c r="D1360" s="6">
        <v>8</v>
      </c>
      <c r="E1360" s="40" t="s">
        <v>83</v>
      </c>
      <c r="F1360" s="6">
        <v>8</v>
      </c>
      <c r="N1360" s="115">
        <v>1.9184652278177498E-2</v>
      </c>
      <c r="O1360" s="115">
        <v>1.9184652278177498E-2</v>
      </c>
      <c r="P1360" s="116" t="s">
        <v>83</v>
      </c>
      <c r="Q1360" s="116" t="s">
        <v>83</v>
      </c>
      <c r="R1360" s="116" t="s">
        <v>83</v>
      </c>
      <c r="S1360" s="119">
        <v>0</v>
      </c>
      <c r="T1360" s="115">
        <v>1.7391304347826101E-2</v>
      </c>
      <c r="U1360" s="115">
        <v>4.5977011494252901E-2</v>
      </c>
      <c r="V1360" s="115">
        <v>2.32558139534884E-2</v>
      </c>
      <c r="W1360" s="6">
        <v>366</v>
      </c>
      <c r="X1360" s="40">
        <f t="shared" si="96"/>
        <v>366</v>
      </c>
      <c r="Y1360" s="40">
        <f t="shared" si="97"/>
        <v>366</v>
      </c>
      <c r="Z1360" s="59">
        <v>0.49453551912568305</v>
      </c>
      <c r="AA1360" s="59">
        <v>0.50546448087431695</v>
      </c>
      <c r="AB1360" s="61">
        <v>0</v>
      </c>
      <c r="AC1360" s="61">
        <v>2.7322404371584699E-3</v>
      </c>
      <c r="AD1360" s="61">
        <v>0.92622950819672134</v>
      </c>
      <c r="AE1360" s="61">
        <v>0</v>
      </c>
      <c r="AF1360" s="61">
        <v>0</v>
      </c>
      <c r="AG1360" s="61">
        <v>6.8306010928961755E-2</v>
      </c>
      <c r="AH1360" s="61">
        <v>2.7322404371584699E-3</v>
      </c>
      <c r="AI1360" s="61">
        <v>0.93169398907103829</v>
      </c>
      <c r="AJ1360" s="59">
        <v>0.97540983606557374</v>
      </c>
      <c r="AK1360" s="59">
        <v>2.7322404371584699E-3</v>
      </c>
      <c r="AL1360" s="4">
        <v>0</v>
      </c>
      <c r="AM1360" s="4">
        <v>0</v>
      </c>
      <c r="AN1360" s="4">
        <v>0</v>
      </c>
      <c r="AO1360" s="4">
        <v>103</v>
      </c>
      <c r="AP1360" s="4">
        <v>104</v>
      </c>
      <c r="AQ1360" s="4">
        <v>79</v>
      </c>
      <c r="AR1360" s="4">
        <v>80</v>
      </c>
      <c r="AS1360" s="59">
        <v>0</v>
      </c>
      <c r="AT1360" s="5" t="s">
        <v>550</v>
      </c>
      <c r="AU1360" s="3">
        <v>6</v>
      </c>
      <c r="AV1360" s="49">
        <v>85.34482758620689</v>
      </c>
      <c r="AW1360" s="49">
        <v>13.362068965517199</v>
      </c>
      <c r="AX1360" s="49">
        <v>1.2931034482758599</v>
      </c>
      <c r="AY1360" s="67">
        <v>0</v>
      </c>
      <c r="AZ1360" s="63">
        <v>0.26520681265206802</v>
      </c>
      <c r="BA1360" s="63">
        <v>0.47688564476885598</v>
      </c>
      <c r="BB1360" s="80">
        <v>90.2</v>
      </c>
      <c r="BC1360" s="80"/>
      <c r="BD1360" s="80"/>
      <c r="BE1360" s="80"/>
      <c r="BF1360" s="80"/>
      <c r="BG1360" s="80"/>
      <c r="BH1360" s="80"/>
      <c r="BI1360" s="80"/>
      <c r="BJ1360" s="3">
        <v>16</v>
      </c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29" t="s">
        <v>168</v>
      </c>
      <c r="CJ1360" s="18" t="s">
        <v>548</v>
      </c>
      <c r="CK1360" s="20"/>
    </row>
    <row r="1361" spans="1:99" x14ac:dyDescent="0.25">
      <c r="A1361" s="18" t="s">
        <v>548</v>
      </c>
      <c r="B1361" s="29" t="s">
        <v>167</v>
      </c>
      <c r="C1361" s="29" t="s">
        <v>169</v>
      </c>
      <c r="D1361" s="6">
        <v>0</v>
      </c>
      <c r="E1361" s="6">
        <v>0</v>
      </c>
      <c r="F1361" s="6">
        <v>0</v>
      </c>
      <c r="N1361" s="119">
        <v>0</v>
      </c>
      <c r="O1361" s="119">
        <v>0</v>
      </c>
      <c r="P1361" s="119">
        <v>0</v>
      </c>
      <c r="Q1361" s="119">
        <v>0</v>
      </c>
      <c r="R1361" s="119">
        <v>0</v>
      </c>
      <c r="S1361" s="119">
        <v>0</v>
      </c>
      <c r="T1361" s="119">
        <v>0</v>
      </c>
      <c r="U1361" s="119">
        <v>0</v>
      </c>
      <c r="V1361" s="119">
        <v>0</v>
      </c>
      <c r="W1361" s="6">
        <v>444</v>
      </c>
      <c r="X1361" s="40">
        <f t="shared" si="96"/>
        <v>119</v>
      </c>
      <c r="Y1361" s="40">
        <f t="shared" si="97"/>
        <v>203</v>
      </c>
      <c r="Z1361" s="59">
        <v>0.481981981981982</v>
      </c>
      <c r="AA1361" s="59">
        <v>0.51801801801801806</v>
      </c>
      <c r="AB1361" s="61">
        <v>4.5045045045045045E-3</v>
      </c>
      <c r="AC1361" s="61">
        <v>0</v>
      </c>
      <c r="AD1361" s="61">
        <v>9.0090090090090089E-3</v>
      </c>
      <c r="AE1361" s="61">
        <v>4.5045045045045045E-3</v>
      </c>
      <c r="AF1361" s="61">
        <v>0</v>
      </c>
      <c r="AG1361" s="61">
        <v>0.97972972972972971</v>
      </c>
      <c r="AH1361" s="61">
        <v>2.2522522522522522E-3</v>
      </c>
      <c r="AI1361" s="61">
        <v>2.0270270270270271E-2</v>
      </c>
      <c r="AJ1361" s="59">
        <v>0.62612612612612617</v>
      </c>
      <c r="AK1361" s="59">
        <v>0</v>
      </c>
      <c r="AL1361" s="4">
        <v>44</v>
      </c>
      <c r="AM1361" s="4">
        <v>40</v>
      </c>
      <c r="AN1361" s="4">
        <v>1</v>
      </c>
      <c r="AO1361" s="4">
        <v>30</v>
      </c>
      <c r="AP1361" s="4">
        <v>26</v>
      </c>
      <c r="AQ1361" s="4">
        <v>38</v>
      </c>
      <c r="AR1361" s="4">
        <v>24</v>
      </c>
      <c r="AS1361" s="59">
        <v>3.2258064516129031E-2</v>
      </c>
      <c r="AT1361" s="5" t="s">
        <v>552</v>
      </c>
      <c r="AU1361" s="3">
        <v>6</v>
      </c>
      <c r="AV1361" s="49">
        <v>86.2068965517241</v>
      </c>
      <c r="AW1361" s="49">
        <v>10.3448275862069</v>
      </c>
      <c r="AX1361" s="49">
        <v>0.86206896551724099</v>
      </c>
      <c r="AY1361" s="67">
        <v>2.5862068965517198</v>
      </c>
      <c r="AZ1361" s="63">
        <v>0.133333333333333</v>
      </c>
      <c r="BA1361" s="63">
        <v>4.3010752688172E-3</v>
      </c>
      <c r="BB1361" s="79">
        <v>94.4</v>
      </c>
      <c r="BC1361" s="79"/>
      <c r="BD1361" s="79"/>
      <c r="BE1361" s="79"/>
      <c r="BF1361" s="79"/>
      <c r="BG1361" s="79"/>
      <c r="BH1361" s="79"/>
      <c r="BI1361" s="79"/>
      <c r="BJ1361" s="3">
        <v>20.6</v>
      </c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29" t="s">
        <v>169</v>
      </c>
      <c r="CJ1361" s="18" t="s">
        <v>548</v>
      </c>
      <c r="CK1361" s="20"/>
    </row>
    <row r="1362" spans="1:99" x14ac:dyDescent="0.25">
      <c r="A1362" s="18" t="s">
        <v>548</v>
      </c>
      <c r="B1362" s="29" t="s">
        <v>167</v>
      </c>
      <c r="C1362" s="29" t="s">
        <v>170</v>
      </c>
      <c r="D1362" s="6">
        <v>14</v>
      </c>
      <c r="E1362" s="40" t="s">
        <v>83</v>
      </c>
      <c r="F1362" s="6">
        <v>14</v>
      </c>
      <c r="N1362" s="115">
        <v>3.1531531531531501E-2</v>
      </c>
      <c r="O1362" s="115">
        <v>3.1531531531531501E-2</v>
      </c>
      <c r="P1362" s="116" t="s">
        <v>83</v>
      </c>
      <c r="Q1362" s="116" t="s">
        <v>83</v>
      </c>
      <c r="R1362" s="116" t="s">
        <v>83</v>
      </c>
      <c r="S1362" s="115">
        <v>3.3333333333333298E-2</v>
      </c>
      <c r="T1362" s="115">
        <v>2.7272727272727299E-2</v>
      </c>
      <c r="U1362" s="115">
        <v>8.9285714285714298E-3</v>
      </c>
      <c r="V1362" s="115">
        <v>5.9405940594059403E-2</v>
      </c>
      <c r="W1362" s="6">
        <v>407</v>
      </c>
      <c r="X1362" s="40">
        <f t="shared" si="96"/>
        <v>407</v>
      </c>
      <c r="Y1362" s="40">
        <f t="shared" si="97"/>
        <v>407</v>
      </c>
      <c r="Z1362" s="59">
        <v>0.43488943488943488</v>
      </c>
      <c r="AA1362" s="59">
        <v>0.56511056511056512</v>
      </c>
      <c r="AB1362" s="61">
        <v>2.4570024570024569E-3</v>
      </c>
      <c r="AC1362" s="61">
        <v>2.4570024570024569E-2</v>
      </c>
      <c r="AD1362" s="61">
        <v>0.34889434889434889</v>
      </c>
      <c r="AE1362" s="61">
        <v>3.9312039312039311E-2</v>
      </c>
      <c r="AF1362" s="61">
        <v>0</v>
      </c>
      <c r="AG1362" s="61">
        <v>0.5724815724815725</v>
      </c>
      <c r="AH1362" s="61">
        <v>1.2285012285012284E-2</v>
      </c>
      <c r="AI1362" s="61">
        <v>0.4275184275184275</v>
      </c>
      <c r="AJ1362" s="59">
        <v>0.78378378378378377</v>
      </c>
      <c r="AK1362" s="59">
        <v>2.2113022113022112E-2</v>
      </c>
      <c r="AL1362" s="4">
        <v>0</v>
      </c>
      <c r="AM1362" s="4">
        <v>0</v>
      </c>
      <c r="AN1362" s="4">
        <v>0</v>
      </c>
      <c r="AO1362" s="4">
        <v>107</v>
      </c>
      <c r="AP1362" s="4">
        <v>104</v>
      </c>
      <c r="AQ1362" s="4">
        <v>99</v>
      </c>
      <c r="AR1362" s="4">
        <v>97</v>
      </c>
      <c r="AS1362" s="59">
        <v>0</v>
      </c>
      <c r="AT1362" s="5" t="s">
        <v>550</v>
      </c>
      <c r="AU1362" s="3">
        <v>6</v>
      </c>
      <c r="AV1362" s="49">
        <v>87.407407407407405</v>
      </c>
      <c r="AW1362" s="49">
        <v>12.592592592592599</v>
      </c>
      <c r="AX1362" s="49">
        <v>0</v>
      </c>
      <c r="AY1362" s="67">
        <v>0</v>
      </c>
      <c r="AZ1362" s="63">
        <v>3.8636363636363601E-2</v>
      </c>
      <c r="BA1362" s="63">
        <v>0.222727272727273</v>
      </c>
      <c r="BB1362" s="80">
        <v>91.8</v>
      </c>
      <c r="BC1362" s="80"/>
      <c r="BD1362" s="80"/>
      <c r="BE1362" s="80"/>
      <c r="BF1362" s="80"/>
      <c r="BG1362" s="80"/>
      <c r="BH1362" s="80"/>
      <c r="BI1362" s="80"/>
      <c r="BJ1362" s="3">
        <v>18.899999999999999</v>
      </c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29" t="s">
        <v>170</v>
      </c>
      <c r="CJ1362" s="18" t="s">
        <v>548</v>
      </c>
      <c r="CK1362" s="20"/>
    </row>
    <row r="1363" spans="1:99" s="1" customFormat="1" ht="21" customHeight="1" x14ac:dyDescent="0.25">
      <c r="A1363" s="21" t="s">
        <v>0</v>
      </c>
      <c r="B1363" s="22" t="s">
        <v>1</v>
      </c>
      <c r="C1363" s="22" t="s">
        <v>2</v>
      </c>
      <c r="D1363" s="9" t="s">
        <v>3</v>
      </c>
      <c r="E1363" s="9" t="s">
        <v>4</v>
      </c>
      <c r="F1363" s="9" t="s">
        <v>5</v>
      </c>
      <c r="G1363" s="167"/>
      <c r="H1363" s="168"/>
      <c r="I1363" s="168"/>
      <c r="J1363" s="168"/>
      <c r="K1363" s="168"/>
      <c r="L1363" s="168"/>
      <c r="M1363" s="168"/>
      <c r="N1363" s="120" t="s">
        <v>6</v>
      </c>
      <c r="O1363" s="120" t="s">
        <v>7</v>
      </c>
      <c r="P1363" s="120" t="s">
        <v>8</v>
      </c>
      <c r="Q1363" s="120" t="s">
        <v>9</v>
      </c>
      <c r="R1363" s="120" t="s">
        <v>10</v>
      </c>
      <c r="S1363" s="120" t="s">
        <v>11</v>
      </c>
      <c r="T1363" s="120" t="s">
        <v>12</v>
      </c>
      <c r="U1363" s="120" t="s">
        <v>13</v>
      </c>
      <c r="V1363" s="120" t="s">
        <v>14</v>
      </c>
      <c r="W1363" s="41" t="s">
        <v>15</v>
      </c>
      <c r="X1363" s="41" t="s">
        <v>16</v>
      </c>
      <c r="Y1363" s="41" t="s">
        <v>17</v>
      </c>
      <c r="Z1363" s="107" t="s">
        <v>18</v>
      </c>
      <c r="AA1363" s="107" t="s">
        <v>19</v>
      </c>
      <c r="AB1363" s="95" t="s">
        <v>20</v>
      </c>
      <c r="AC1363" s="95" t="s">
        <v>21</v>
      </c>
      <c r="AD1363" s="95" t="s">
        <v>22</v>
      </c>
      <c r="AE1363" s="95" t="s">
        <v>23</v>
      </c>
      <c r="AF1363" s="95" t="s">
        <v>24</v>
      </c>
      <c r="AG1363" s="95" t="s">
        <v>25</v>
      </c>
      <c r="AH1363" s="95" t="s">
        <v>26</v>
      </c>
      <c r="AI1363" s="95" t="s">
        <v>27</v>
      </c>
      <c r="AJ1363" s="95" t="s">
        <v>28</v>
      </c>
      <c r="AK1363" s="107" t="s">
        <v>29</v>
      </c>
      <c r="AL1363" s="42" t="s">
        <v>30</v>
      </c>
      <c r="AM1363" s="42" t="s">
        <v>31</v>
      </c>
      <c r="AN1363" s="42" t="s">
        <v>32</v>
      </c>
      <c r="AO1363" s="42" t="s">
        <v>33</v>
      </c>
      <c r="AP1363" s="42" t="s">
        <v>34</v>
      </c>
      <c r="AQ1363" s="42" t="s">
        <v>35</v>
      </c>
      <c r="AR1363" s="42" t="s">
        <v>36</v>
      </c>
      <c r="AS1363" s="100" t="s">
        <v>37</v>
      </c>
      <c r="AT1363" s="41" t="s">
        <v>38</v>
      </c>
      <c r="AU1363" s="23" t="s">
        <v>39</v>
      </c>
      <c r="AV1363" s="51" t="s">
        <v>40</v>
      </c>
      <c r="AW1363" s="51" t="s">
        <v>41</v>
      </c>
      <c r="AX1363" s="51" t="s">
        <v>42</v>
      </c>
      <c r="AY1363" s="66" t="s">
        <v>43</v>
      </c>
      <c r="AZ1363" s="58" t="s">
        <v>44</v>
      </c>
      <c r="BA1363" s="58" t="s">
        <v>45</v>
      </c>
      <c r="BB1363" s="75" t="s">
        <v>46</v>
      </c>
      <c r="BC1363" s="75" t="s">
        <v>47</v>
      </c>
      <c r="BD1363" s="89" t="s">
        <v>48</v>
      </c>
      <c r="BE1363" s="89" t="s">
        <v>49</v>
      </c>
      <c r="BF1363" s="89" t="s">
        <v>50</v>
      </c>
      <c r="BG1363" s="89" t="s">
        <v>51</v>
      </c>
      <c r="BH1363" s="89" t="s">
        <v>52</v>
      </c>
      <c r="BI1363" s="89" t="s">
        <v>53</v>
      </c>
      <c r="BJ1363" s="86" t="s">
        <v>54</v>
      </c>
      <c r="BK1363" s="123" t="s">
        <v>55</v>
      </c>
      <c r="BL1363" s="123" t="s">
        <v>56</v>
      </c>
      <c r="BM1363" s="123" t="s">
        <v>57</v>
      </c>
      <c r="BN1363" s="123" t="s">
        <v>58</v>
      </c>
      <c r="BO1363" s="131" t="s">
        <v>59</v>
      </c>
      <c r="BP1363" s="131" t="s">
        <v>60</v>
      </c>
      <c r="BQ1363" s="131" t="s">
        <v>61</v>
      </c>
      <c r="BR1363" s="131" t="s">
        <v>62</v>
      </c>
      <c r="BS1363" s="131" t="s">
        <v>63</v>
      </c>
      <c r="BT1363" s="131" t="s">
        <v>64</v>
      </c>
      <c r="BU1363" s="131" t="s">
        <v>65</v>
      </c>
      <c r="BV1363" s="132" t="s">
        <v>66</v>
      </c>
      <c r="BW1363" s="132" t="s">
        <v>67</v>
      </c>
      <c r="BX1363" s="132" t="s">
        <v>68</v>
      </c>
      <c r="BY1363" s="132" t="s">
        <v>69</v>
      </c>
      <c r="BZ1363" s="132" t="s">
        <v>70</v>
      </c>
      <c r="CA1363" s="132" t="s">
        <v>71</v>
      </c>
      <c r="CB1363" s="132" t="s">
        <v>72</v>
      </c>
      <c r="CC1363" s="123" t="s">
        <v>73</v>
      </c>
      <c r="CD1363" s="123" t="s">
        <v>74</v>
      </c>
      <c r="CE1363" s="123" t="s">
        <v>75</v>
      </c>
      <c r="CF1363" s="123" t="s">
        <v>76</v>
      </c>
      <c r="CG1363" s="123" t="s">
        <v>77</v>
      </c>
      <c r="CH1363" s="123" t="s">
        <v>78</v>
      </c>
      <c r="CI1363" s="22" t="s">
        <v>2</v>
      </c>
      <c r="CJ1363" s="21" t="s">
        <v>0</v>
      </c>
      <c r="CK1363" s="24" t="s">
        <v>79</v>
      </c>
      <c r="CL1363"/>
      <c r="CM1363"/>
      <c r="CN1363"/>
      <c r="CO1363"/>
      <c r="CP1363"/>
      <c r="CQ1363"/>
      <c r="CU1363"/>
    </row>
    <row r="1364" spans="1:99" x14ac:dyDescent="0.25">
      <c r="A1364" s="18" t="s">
        <v>548</v>
      </c>
      <c r="B1364" s="29" t="s">
        <v>171</v>
      </c>
      <c r="C1364" s="29" t="s">
        <v>172</v>
      </c>
      <c r="D1364" s="6">
        <v>2</v>
      </c>
      <c r="E1364" s="6">
        <v>0</v>
      </c>
      <c r="F1364" s="6">
        <v>2</v>
      </c>
      <c r="N1364" s="119">
        <v>6.9686411149825801E-3</v>
      </c>
      <c r="O1364" s="119">
        <v>1.1235955056179799E-2</v>
      </c>
      <c r="P1364" s="119">
        <v>0</v>
      </c>
      <c r="Q1364" s="119">
        <v>0</v>
      </c>
      <c r="R1364" s="116" t="s">
        <v>83</v>
      </c>
      <c r="S1364" s="119">
        <v>0</v>
      </c>
      <c r="T1364" s="119">
        <v>0</v>
      </c>
      <c r="U1364" s="119">
        <v>3.5087719298245598E-2</v>
      </c>
      <c r="V1364" s="119">
        <v>0</v>
      </c>
      <c r="W1364" s="6">
        <v>614</v>
      </c>
      <c r="X1364" s="40">
        <f t="shared" ref="X1364:X1416" si="98">SUM(AN1364:AR1364)</f>
        <v>171</v>
      </c>
      <c r="Y1364" s="40">
        <f t="shared" ref="Y1364:Y1416" si="99">SUM(AL1364:AR1364)</f>
        <v>272</v>
      </c>
      <c r="Z1364" s="59">
        <v>0.44951140065146578</v>
      </c>
      <c r="AA1364" s="59">
        <v>0.55048859934853422</v>
      </c>
      <c r="AB1364" s="61">
        <v>6.5146579804560263E-3</v>
      </c>
      <c r="AC1364" s="61">
        <v>0</v>
      </c>
      <c r="AD1364" s="61">
        <v>0.37296416938110749</v>
      </c>
      <c r="AE1364" s="61">
        <v>6.1889250814332247E-2</v>
      </c>
      <c r="AF1364" s="61">
        <v>0</v>
      </c>
      <c r="AG1364" s="61">
        <v>0.5228013029315961</v>
      </c>
      <c r="AH1364" s="61">
        <v>3.5830618892508145E-2</v>
      </c>
      <c r="AI1364" s="61">
        <v>0.4771986970684039</v>
      </c>
      <c r="AJ1364" s="59">
        <v>0.64820846905537455</v>
      </c>
      <c r="AK1364" s="59">
        <v>2.6058631921824105E-2</v>
      </c>
      <c r="AL1364" s="4">
        <v>59</v>
      </c>
      <c r="AM1364" s="4">
        <v>42</v>
      </c>
      <c r="AN1364" s="4">
        <v>0</v>
      </c>
      <c r="AO1364" s="4">
        <v>40</v>
      </c>
      <c r="AP1364" s="4">
        <v>32</v>
      </c>
      <c r="AQ1364" s="4">
        <v>53</v>
      </c>
      <c r="AR1364" s="4">
        <v>46</v>
      </c>
      <c r="AS1364" s="59">
        <v>0</v>
      </c>
      <c r="AT1364" s="3">
        <v>1</v>
      </c>
      <c r="AU1364" s="3">
        <v>6</v>
      </c>
      <c r="AV1364" s="49">
        <v>76.25</v>
      </c>
      <c r="AW1364" s="49">
        <v>18.75</v>
      </c>
      <c r="AX1364" s="49">
        <v>4.1666666666666696</v>
      </c>
      <c r="AY1364" s="67">
        <v>0.83333333333333293</v>
      </c>
      <c r="AZ1364" s="63">
        <v>0.15750371471025301</v>
      </c>
      <c r="BA1364" s="63">
        <v>3.4175334323922703E-2</v>
      </c>
      <c r="BB1364" s="80">
        <v>93.7</v>
      </c>
      <c r="BC1364" s="80"/>
      <c r="BD1364" s="80"/>
      <c r="BE1364" s="80"/>
      <c r="BF1364" s="80"/>
      <c r="BG1364" s="80"/>
      <c r="BH1364" s="80"/>
      <c r="BI1364" s="80"/>
      <c r="BJ1364" s="3">
        <v>18.899999999999999</v>
      </c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29" t="s">
        <v>172</v>
      </c>
      <c r="CJ1364" s="18" t="s">
        <v>548</v>
      </c>
      <c r="CK1364" s="30"/>
    </row>
    <row r="1365" spans="1:99" x14ac:dyDescent="0.25">
      <c r="A1365" s="18" t="s">
        <v>548</v>
      </c>
      <c r="B1365" s="29" t="s">
        <v>171</v>
      </c>
      <c r="C1365" s="29" t="s">
        <v>173</v>
      </c>
      <c r="D1365" s="6">
        <v>3</v>
      </c>
      <c r="E1365" s="40" t="s">
        <v>83</v>
      </c>
      <c r="F1365" s="6">
        <v>3</v>
      </c>
      <c r="N1365" s="119">
        <v>6.8493150684931503E-3</v>
      </c>
      <c r="O1365" s="119">
        <v>6.8493150684931503E-3</v>
      </c>
      <c r="P1365" s="116" t="s">
        <v>83</v>
      </c>
      <c r="Q1365" s="116" t="s">
        <v>83</v>
      </c>
      <c r="R1365" s="119">
        <v>0</v>
      </c>
      <c r="S1365" s="119">
        <v>7.8740157480314994E-3</v>
      </c>
      <c r="T1365" s="119">
        <v>0</v>
      </c>
      <c r="U1365" s="119">
        <v>0.01</v>
      </c>
      <c r="V1365" s="119">
        <v>9.7087378640776708E-3</v>
      </c>
      <c r="W1365" s="6">
        <v>424</v>
      </c>
      <c r="X1365" s="40">
        <f t="shared" si="98"/>
        <v>424</v>
      </c>
      <c r="Y1365" s="40">
        <f t="shared" si="99"/>
        <v>424</v>
      </c>
      <c r="Z1365" s="59">
        <v>0.5</v>
      </c>
      <c r="AA1365" s="59">
        <v>0.5</v>
      </c>
      <c r="AB1365" s="61">
        <v>4.7169811320754715E-3</v>
      </c>
      <c r="AC1365" s="61">
        <v>9.433962264150943E-3</v>
      </c>
      <c r="AD1365" s="61">
        <v>0.875</v>
      </c>
      <c r="AE1365" s="61">
        <v>2.5943396226415096E-2</v>
      </c>
      <c r="AF1365" s="61">
        <v>0</v>
      </c>
      <c r="AG1365" s="61">
        <v>7.5471698113207544E-2</v>
      </c>
      <c r="AH1365" s="61">
        <v>9.433962264150943E-3</v>
      </c>
      <c r="AI1365" s="61">
        <v>0.92452830188679247</v>
      </c>
      <c r="AJ1365" s="59">
        <v>0.82311320754716977</v>
      </c>
      <c r="AK1365" s="59">
        <v>2.3584905660377358E-3</v>
      </c>
      <c r="AL1365" s="4">
        <v>0</v>
      </c>
      <c r="AM1365" s="4">
        <v>0</v>
      </c>
      <c r="AN1365" s="4">
        <v>1</v>
      </c>
      <c r="AO1365" s="4">
        <v>122</v>
      </c>
      <c r="AP1365" s="4">
        <v>104</v>
      </c>
      <c r="AQ1365" s="4">
        <v>94</v>
      </c>
      <c r="AR1365" s="4">
        <v>103</v>
      </c>
      <c r="AS1365" s="59">
        <v>8.130081300813009E-3</v>
      </c>
      <c r="AT1365" s="3">
        <v>9</v>
      </c>
      <c r="AU1365" s="3">
        <v>6</v>
      </c>
      <c r="AV1365" s="49">
        <v>77.844311377245504</v>
      </c>
      <c r="AW1365" s="49">
        <v>16.766467065868301</v>
      </c>
      <c r="AX1365" s="49">
        <v>4.4910179640718599</v>
      </c>
      <c r="AY1365" s="67">
        <v>0.89820359281437101</v>
      </c>
      <c r="AZ1365" s="63">
        <v>0.34712643678160898</v>
      </c>
      <c r="BA1365" s="63">
        <v>4.8275862068965503E-2</v>
      </c>
      <c r="BB1365" s="79">
        <v>91.2</v>
      </c>
      <c r="BC1365" s="79"/>
      <c r="BD1365" s="79"/>
      <c r="BE1365" s="79"/>
      <c r="BF1365" s="79"/>
      <c r="BG1365" s="79"/>
      <c r="BH1365" s="79"/>
      <c r="BI1365" s="79"/>
      <c r="BJ1365" s="3">
        <v>16.8</v>
      </c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29" t="s">
        <v>173</v>
      </c>
      <c r="CJ1365" s="18" t="s">
        <v>548</v>
      </c>
      <c r="CK1365" s="30"/>
    </row>
    <row r="1366" spans="1:99" x14ac:dyDescent="0.25">
      <c r="A1366" s="18" t="s">
        <v>548</v>
      </c>
      <c r="B1366" s="29" t="s">
        <v>171</v>
      </c>
      <c r="C1366" s="29" t="s">
        <v>174</v>
      </c>
      <c r="D1366" s="6">
        <v>3</v>
      </c>
      <c r="E1366" s="6">
        <v>0</v>
      </c>
      <c r="F1366" s="6">
        <v>3</v>
      </c>
      <c r="N1366" s="115">
        <v>1.49253731343284E-2</v>
      </c>
      <c r="O1366" s="115">
        <v>2.3622047244094498E-2</v>
      </c>
      <c r="P1366" s="119">
        <v>0</v>
      </c>
      <c r="Q1366" s="119">
        <v>0</v>
      </c>
      <c r="R1366" s="116" t="s">
        <v>83</v>
      </c>
      <c r="S1366" s="119">
        <v>0</v>
      </c>
      <c r="T1366" s="119">
        <v>0</v>
      </c>
      <c r="U1366" s="115">
        <v>4.3478260869565202E-2</v>
      </c>
      <c r="V1366" s="115">
        <v>5.5555555555555601E-2</v>
      </c>
      <c r="W1366" s="6">
        <v>427</v>
      </c>
      <c r="X1366" s="40">
        <f t="shared" si="98"/>
        <v>120</v>
      </c>
      <c r="Y1366" s="40">
        <f t="shared" si="99"/>
        <v>183</v>
      </c>
      <c r="Z1366" s="59">
        <v>0.49414519906323184</v>
      </c>
      <c r="AA1366" s="59">
        <v>0.50585480093676816</v>
      </c>
      <c r="AB1366" s="61">
        <v>7.0257611241217799E-3</v>
      </c>
      <c r="AC1366" s="61">
        <v>0</v>
      </c>
      <c r="AD1366" s="61">
        <v>0.20140515222482436</v>
      </c>
      <c r="AE1366" s="61">
        <v>2.1077283372365339E-2</v>
      </c>
      <c r="AF1366" s="61">
        <v>0</v>
      </c>
      <c r="AG1366" s="61">
        <v>0.75409836065573765</v>
      </c>
      <c r="AH1366" s="61">
        <v>1.6393442622950821E-2</v>
      </c>
      <c r="AI1366" s="61">
        <v>0.24590163934426229</v>
      </c>
      <c r="AJ1366" s="59">
        <v>0.51053864168618268</v>
      </c>
      <c r="AK1366" s="59">
        <v>9.3676814988290398E-3</v>
      </c>
      <c r="AL1366" s="4">
        <v>38</v>
      </c>
      <c r="AM1366" s="4">
        <v>25</v>
      </c>
      <c r="AN1366" s="4">
        <v>0</v>
      </c>
      <c r="AO1366" s="4">
        <v>32</v>
      </c>
      <c r="AP1366" s="4">
        <v>32</v>
      </c>
      <c r="AQ1366" s="4">
        <v>22</v>
      </c>
      <c r="AR1366" s="4">
        <v>34</v>
      </c>
      <c r="AS1366" s="59">
        <v>0</v>
      </c>
      <c r="AT1366" s="3">
        <v>1</v>
      </c>
      <c r="AU1366" s="3">
        <v>6</v>
      </c>
      <c r="AV1366" s="49">
        <v>82.2222222222222</v>
      </c>
      <c r="AW1366" s="49">
        <v>10.5555555555556</v>
      </c>
      <c r="AX1366" s="49">
        <v>5</v>
      </c>
      <c r="AY1366" s="67">
        <v>2.2222222222222197</v>
      </c>
      <c r="AZ1366" s="63">
        <v>9.5860566448801698E-2</v>
      </c>
      <c r="BA1366" s="63">
        <v>7.8431372549019607E-2</v>
      </c>
      <c r="BB1366" s="80">
        <v>94.9</v>
      </c>
      <c r="BC1366" s="80"/>
      <c r="BD1366" s="80"/>
      <c r="BE1366" s="80"/>
      <c r="BF1366" s="80"/>
      <c r="BG1366" s="80"/>
      <c r="BH1366" s="80"/>
      <c r="BI1366" s="80"/>
      <c r="BJ1366" s="3">
        <v>19</v>
      </c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29" t="s">
        <v>174</v>
      </c>
      <c r="CJ1366" s="18" t="s">
        <v>548</v>
      </c>
      <c r="CK1366" s="30"/>
    </row>
    <row r="1367" spans="1:99" x14ac:dyDescent="0.25">
      <c r="A1367" s="18" t="s">
        <v>548</v>
      </c>
      <c r="B1367" s="29" t="s">
        <v>171</v>
      </c>
      <c r="C1367" s="29" t="s">
        <v>175</v>
      </c>
      <c r="D1367" s="6">
        <v>13</v>
      </c>
      <c r="E1367" s="40" t="s">
        <v>83</v>
      </c>
      <c r="F1367" s="6">
        <v>13</v>
      </c>
      <c r="N1367" s="115">
        <v>1.7356475300400499E-2</v>
      </c>
      <c r="O1367" s="115">
        <v>1.7356475300400499E-2</v>
      </c>
      <c r="P1367" s="116" t="s">
        <v>83</v>
      </c>
      <c r="Q1367" s="116" t="s">
        <v>83</v>
      </c>
      <c r="R1367" s="115">
        <v>0.14285714285714299</v>
      </c>
      <c r="S1367" s="115">
        <v>9.3457943925233603E-3</v>
      </c>
      <c r="T1367" s="115">
        <v>3.60824742268041E-2</v>
      </c>
      <c r="U1367" s="115">
        <v>1.1428571428571401E-2</v>
      </c>
      <c r="V1367" s="115">
        <v>6.2893081761006301E-3</v>
      </c>
      <c r="W1367" s="6">
        <v>714</v>
      </c>
      <c r="X1367" s="40">
        <f t="shared" si="98"/>
        <v>714</v>
      </c>
      <c r="Y1367" s="40">
        <f t="shared" si="99"/>
        <v>714</v>
      </c>
      <c r="Z1367" s="59">
        <v>0.47058823529411764</v>
      </c>
      <c r="AA1367" s="59">
        <v>0.52941176470588236</v>
      </c>
      <c r="AB1367" s="61">
        <v>2.8011204481792717E-3</v>
      </c>
      <c r="AC1367" s="61">
        <v>4.2016806722689074E-3</v>
      </c>
      <c r="AD1367" s="61">
        <v>0.21568627450980393</v>
      </c>
      <c r="AE1367" s="61">
        <v>2.3809523809523808E-2</v>
      </c>
      <c r="AF1367" s="61">
        <v>1.4005602240896359E-3</v>
      </c>
      <c r="AG1367" s="61">
        <v>0.73529411764705888</v>
      </c>
      <c r="AH1367" s="61">
        <v>1.680672268907563E-2</v>
      </c>
      <c r="AI1367" s="61">
        <v>0.26470588235294118</v>
      </c>
      <c r="AJ1367" s="59">
        <v>0.46778711484593838</v>
      </c>
      <c r="AK1367" s="59">
        <v>4.2016806722689074E-3</v>
      </c>
      <c r="AL1367" s="4">
        <v>0</v>
      </c>
      <c r="AM1367" s="4">
        <v>0</v>
      </c>
      <c r="AN1367" s="4">
        <v>7</v>
      </c>
      <c r="AO1367" s="4">
        <v>203</v>
      </c>
      <c r="AP1367" s="4">
        <v>183</v>
      </c>
      <c r="AQ1367" s="4">
        <v>165</v>
      </c>
      <c r="AR1367" s="4">
        <v>156</v>
      </c>
      <c r="AS1367" s="59">
        <v>3.3333333333333333E-2</v>
      </c>
      <c r="AT1367" s="3">
        <v>9</v>
      </c>
      <c r="AU1367" s="3">
        <v>6</v>
      </c>
      <c r="AV1367" s="49">
        <v>60.047846889952204</v>
      </c>
      <c r="AW1367" s="49">
        <v>24.8803827751196</v>
      </c>
      <c r="AX1367" s="49">
        <v>14.114832535885199</v>
      </c>
      <c r="AY1367" s="67">
        <v>0.95693779904306198</v>
      </c>
      <c r="AZ1367" s="63">
        <v>0.177506775067751</v>
      </c>
      <c r="BA1367" s="63">
        <v>1.0840108401084E-2</v>
      </c>
      <c r="BB1367" s="79">
        <v>93.5</v>
      </c>
      <c r="BC1367" s="79"/>
      <c r="BD1367" s="79"/>
      <c r="BE1367" s="79"/>
      <c r="BF1367" s="79"/>
      <c r="BG1367" s="79"/>
      <c r="BH1367" s="79"/>
      <c r="BI1367" s="79"/>
      <c r="BJ1367" s="3">
        <v>20.5</v>
      </c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29" t="s">
        <v>175</v>
      </c>
      <c r="CJ1367" s="18" t="s">
        <v>548</v>
      </c>
      <c r="CK1367" s="30"/>
    </row>
    <row r="1368" spans="1:99" x14ac:dyDescent="0.25">
      <c r="A1368" s="18" t="s">
        <v>548</v>
      </c>
      <c r="B1368" s="29" t="s">
        <v>176</v>
      </c>
      <c r="C1368" s="29" t="s">
        <v>177</v>
      </c>
      <c r="D1368" s="6">
        <v>0</v>
      </c>
      <c r="E1368" s="40" t="s">
        <v>83</v>
      </c>
      <c r="F1368" s="6">
        <v>0</v>
      </c>
      <c r="N1368" s="119">
        <v>0</v>
      </c>
      <c r="O1368" s="119">
        <v>0</v>
      </c>
      <c r="P1368" s="116" t="s">
        <v>83</v>
      </c>
      <c r="Q1368" s="116" t="s">
        <v>83</v>
      </c>
      <c r="R1368" s="116" t="s">
        <v>83</v>
      </c>
      <c r="S1368" s="119">
        <v>0</v>
      </c>
      <c r="T1368" s="119">
        <v>0</v>
      </c>
      <c r="U1368" s="119">
        <v>0</v>
      </c>
      <c r="V1368" s="119">
        <v>0</v>
      </c>
      <c r="W1368" s="6">
        <v>1509</v>
      </c>
      <c r="X1368" s="40">
        <f t="shared" si="98"/>
        <v>1509</v>
      </c>
      <c r="Y1368" s="40">
        <f t="shared" si="99"/>
        <v>1509</v>
      </c>
      <c r="Z1368" s="59">
        <v>0.64877402253147776</v>
      </c>
      <c r="AA1368" s="59">
        <v>0.35122597746852219</v>
      </c>
      <c r="AB1368" s="61">
        <v>1.3253810470510272E-3</v>
      </c>
      <c r="AC1368" s="61">
        <v>0.19416832339297549</v>
      </c>
      <c r="AD1368" s="61">
        <v>0.35917826375082834</v>
      </c>
      <c r="AE1368" s="61">
        <v>6.2292909211398274E-2</v>
      </c>
      <c r="AF1368" s="61">
        <v>2.6507620941020544E-3</v>
      </c>
      <c r="AG1368" s="61">
        <v>0.37309476474486414</v>
      </c>
      <c r="AH1368" s="61">
        <v>7.2895957587806497E-3</v>
      </c>
      <c r="AI1368" s="61">
        <v>0.62690523525513586</v>
      </c>
      <c r="AJ1368" s="59">
        <v>0.30284956925115969</v>
      </c>
      <c r="AK1368" s="59">
        <v>6.6269052352551359E-4</v>
      </c>
      <c r="AL1368" s="4">
        <v>0</v>
      </c>
      <c r="AM1368" s="4">
        <v>0</v>
      </c>
      <c r="AN1368" s="4">
        <v>0</v>
      </c>
      <c r="AO1368" s="4">
        <v>416</v>
      </c>
      <c r="AP1368" s="4">
        <v>374</v>
      </c>
      <c r="AQ1368" s="4">
        <v>365</v>
      </c>
      <c r="AR1368" s="4">
        <v>354</v>
      </c>
      <c r="AS1368" s="59">
        <v>0</v>
      </c>
      <c r="AT1368" s="3">
        <v>9</v>
      </c>
      <c r="AU1368" s="3">
        <v>7</v>
      </c>
      <c r="AV1368" s="49">
        <v>44.620811287477999</v>
      </c>
      <c r="AW1368" s="49">
        <v>14.1093474426808</v>
      </c>
      <c r="AX1368" s="49">
        <v>31.393298059964703</v>
      </c>
      <c r="AY1368" s="67">
        <v>9.8765432098765391</v>
      </c>
      <c r="AZ1368" s="63">
        <v>6.60501981505945E-2</v>
      </c>
      <c r="BA1368" s="63">
        <v>0</v>
      </c>
      <c r="BB1368" s="79">
        <v>96.9</v>
      </c>
      <c r="BC1368" s="79"/>
      <c r="BD1368" s="79"/>
      <c r="BE1368" s="79"/>
      <c r="BF1368" s="79"/>
      <c r="BG1368" s="79"/>
      <c r="BH1368" s="79"/>
      <c r="BI1368" s="79"/>
      <c r="BJ1368" s="3">
        <v>25.8</v>
      </c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29" t="s">
        <v>177</v>
      </c>
      <c r="CJ1368" s="18" t="s">
        <v>548</v>
      </c>
      <c r="CK1368" s="30"/>
    </row>
    <row r="1369" spans="1:99" x14ac:dyDescent="0.25">
      <c r="A1369" s="18" t="s">
        <v>548</v>
      </c>
      <c r="B1369" s="29" t="s">
        <v>176</v>
      </c>
      <c r="C1369" s="29" t="s">
        <v>178</v>
      </c>
      <c r="D1369" s="6">
        <v>54</v>
      </c>
      <c r="E1369" s="40" t="s">
        <v>83</v>
      </c>
      <c r="F1369" s="6">
        <v>54</v>
      </c>
      <c r="N1369" s="115">
        <v>5.8759521218715999E-2</v>
      </c>
      <c r="O1369" s="115">
        <v>5.8759521218715999E-2</v>
      </c>
      <c r="P1369" s="116" t="s">
        <v>83</v>
      </c>
      <c r="Q1369" s="116" t="s">
        <v>83</v>
      </c>
      <c r="R1369" s="119">
        <v>0</v>
      </c>
      <c r="S1369" s="115">
        <v>5.6603773584905703E-2</v>
      </c>
      <c r="T1369" s="115">
        <v>5.6818181818181802E-2</v>
      </c>
      <c r="U1369" s="115">
        <v>6.4220183486238494E-2</v>
      </c>
      <c r="V1369" s="115">
        <v>5.78778135048231E-2</v>
      </c>
      <c r="W1369" s="6">
        <v>723</v>
      </c>
      <c r="X1369" s="40">
        <f t="shared" si="98"/>
        <v>723</v>
      </c>
      <c r="Y1369" s="40">
        <f t="shared" si="99"/>
        <v>723</v>
      </c>
      <c r="Z1369" s="59">
        <v>0.46749654218533887</v>
      </c>
      <c r="AA1369" s="59">
        <v>0.53250345781466113</v>
      </c>
      <c r="AB1369" s="61">
        <v>1.3831258644536654E-3</v>
      </c>
      <c r="AC1369" s="61">
        <v>1.5214384508990318E-2</v>
      </c>
      <c r="AD1369" s="61">
        <v>0.83264177040110654</v>
      </c>
      <c r="AE1369" s="61">
        <v>0.11894882434301521</v>
      </c>
      <c r="AF1369" s="61">
        <v>0</v>
      </c>
      <c r="AG1369" s="61">
        <v>2.9045643153526972E-2</v>
      </c>
      <c r="AH1369" s="61">
        <v>2.7662517289073307E-3</v>
      </c>
      <c r="AI1369" s="61">
        <v>0.97095435684647302</v>
      </c>
      <c r="AJ1369" s="59">
        <v>0.84923928077455046</v>
      </c>
      <c r="AK1369" s="59">
        <v>9.9585062240663894E-2</v>
      </c>
      <c r="AL1369" s="4">
        <v>0</v>
      </c>
      <c r="AM1369" s="4">
        <v>0</v>
      </c>
      <c r="AN1369" s="4">
        <v>9</v>
      </c>
      <c r="AO1369" s="4">
        <v>144</v>
      </c>
      <c r="AP1369" s="4">
        <v>142</v>
      </c>
      <c r="AQ1369" s="4">
        <v>164</v>
      </c>
      <c r="AR1369" s="4">
        <v>264</v>
      </c>
      <c r="AS1369" s="59">
        <v>5.8823529411764705E-2</v>
      </c>
      <c r="AT1369" s="3">
        <v>9</v>
      </c>
      <c r="AU1369" s="3">
        <v>6</v>
      </c>
      <c r="AV1369" s="49">
        <v>59.6858638743455</v>
      </c>
      <c r="AW1369" s="49">
        <v>19.3717277486911</v>
      </c>
      <c r="AX1369" s="49">
        <v>16.753926701570702</v>
      </c>
      <c r="AY1369" s="67">
        <v>4.1884816753926701</v>
      </c>
      <c r="AZ1369" s="63">
        <v>0.35819209039548</v>
      </c>
      <c r="BA1369" s="63">
        <v>1.1299435028248601E-3</v>
      </c>
      <c r="BB1369" s="80">
        <v>86.5</v>
      </c>
      <c r="BC1369" s="80"/>
      <c r="BD1369" s="80"/>
      <c r="BE1369" s="80"/>
      <c r="BF1369" s="80"/>
      <c r="BG1369" s="80"/>
      <c r="BH1369" s="80"/>
      <c r="BI1369" s="80"/>
      <c r="BJ1369" s="3">
        <v>14.5</v>
      </c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29" t="s">
        <v>178</v>
      </c>
      <c r="CJ1369" s="18" t="s">
        <v>548</v>
      </c>
      <c r="CK1369" s="30"/>
    </row>
    <row r="1370" spans="1:99" x14ac:dyDescent="0.25">
      <c r="A1370" s="18" t="s">
        <v>548</v>
      </c>
      <c r="B1370" s="29" t="s">
        <v>176</v>
      </c>
      <c r="C1370" s="29" t="s">
        <v>179</v>
      </c>
      <c r="D1370" s="6">
        <v>99</v>
      </c>
      <c r="E1370" s="40" t="s">
        <v>83</v>
      </c>
      <c r="F1370" s="6">
        <v>99</v>
      </c>
      <c r="N1370" s="115">
        <v>7.2421360643745394E-2</v>
      </c>
      <c r="O1370" s="115">
        <v>7.2421360643745394E-2</v>
      </c>
      <c r="P1370" s="116" t="s">
        <v>83</v>
      </c>
      <c r="Q1370" s="116" t="s">
        <v>83</v>
      </c>
      <c r="R1370" s="115">
        <v>2.80373831775701E-2</v>
      </c>
      <c r="S1370" s="115">
        <v>9.8305084745762703E-2</v>
      </c>
      <c r="T1370" s="115">
        <v>8.99470899470899E-2</v>
      </c>
      <c r="U1370" s="115">
        <v>6.8259385665528999E-2</v>
      </c>
      <c r="V1370" s="115">
        <v>4.4217687074829898E-2</v>
      </c>
      <c r="W1370" s="6">
        <v>1109</v>
      </c>
      <c r="X1370" s="40">
        <f t="shared" si="98"/>
        <v>1109</v>
      </c>
      <c r="Y1370" s="40">
        <f t="shared" si="99"/>
        <v>1109</v>
      </c>
      <c r="Z1370" s="59">
        <v>0.4616771866546438</v>
      </c>
      <c r="AA1370" s="59">
        <v>0.53832281334535614</v>
      </c>
      <c r="AB1370" s="61">
        <v>1.8034265103697023E-3</v>
      </c>
      <c r="AC1370" s="61">
        <v>3.5166816952209197E-2</v>
      </c>
      <c r="AD1370" s="61">
        <v>0.69251577998196578</v>
      </c>
      <c r="AE1370" s="61">
        <v>0.20288548241659152</v>
      </c>
      <c r="AF1370" s="61">
        <v>1.8034265103697023E-3</v>
      </c>
      <c r="AG1370" s="61">
        <v>5.9513074842200184E-2</v>
      </c>
      <c r="AH1370" s="61">
        <v>6.3119927862939585E-3</v>
      </c>
      <c r="AI1370" s="61">
        <v>0.94048692515779986</v>
      </c>
      <c r="AJ1370" s="59">
        <v>0.83859332732191161</v>
      </c>
      <c r="AK1370" s="59">
        <v>0.17853922452660054</v>
      </c>
      <c r="AL1370" s="4">
        <v>0</v>
      </c>
      <c r="AM1370" s="4">
        <v>0</v>
      </c>
      <c r="AN1370" s="4">
        <v>136</v>
      </c>
      <c r="AO1370" s="4">
        <v>164</v>
      </c>
      <c r="AP1370" s="4">
        <v>290</v>
      </c>
      <c r="AQ1370" s="4">
        <v>252</v>
      </c>
      <c r="AR1370" s="4">
        <v>267</v>
      </c>
      <c r="AS1370" s="59">
        <v>0.45333333333333331</v>
      </c>
      <c r="AT1370" s="3">
        <v>9</v>
      </c>
      <c r="AU1370" s="3">
        <v>6</v>
      </c>
      <c r="AV1370" s="49">
        <v>42.622950819672099</v>
      </c>
      <c r="AW1370" s="49">
        <v>22.7459016393443</v>
      </c>
      <c r="AX1370" s="49">
        <v>27.0491803278689</v>
      </c>
      <c r="AY1370" s="67">
        <v>7.5819672131147504</v>
      </c>
      <c r="AZ1370" s="63">
        <v>0.42574257425742601</v>
      </c>
      <c r="BA1370" s="63">
        <v>7.6161462300076196E-4</v>
      </c>
      <c r="BB1370" s="79">
        <v>88.5</v>
      </c>
      <c r="BC1370" s="79"/>
      <c r="BD1370" s="79"/>
      <c r="BE1370" s="79"/>
      <c r="BF1370" s="79"/>
      <c r="BG1370" s="79"/>
      <c r="BH1370" s="79"/>
      <c r="BI1370" s="79"/>
      <c r="BJ1370" s="3">
        <v>15.5</v>
      </c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29" t="s">
        <v>179</v>
      </c>
      <c r="CJ1370" s="18" t="s">
        <v>548</v>
      </c>
      <c r="CK1370" s="30"/>
    </row>
    <row r="1371" spans="1:99" x14ac:dyDescent="0.25">
      <c r="A1371" s="18" t="s">
        <v>548</v>
      </c>
      <c r="B1371" s="29" t="s">
        <v>176</v>
      </c>
      <c r="C1371" s="29" t="s">
        <v>180</v>
      </c>
      <c r="D1371" s="6">
        <v>44</v>
      </c>
      <c r="E1371" s="40" t="s">
        <v>83</v>
      </c>
      <c r="F1371" s="6">
        <v>44</v>
      </c>
      <c r="N1371" s="115">
        <v>6.8217054263565904E-2</v>
      </c>
      <c r="O1371" s="115">
        <v>6.8217054263565904E-2</v>
      </c>
      <c r="P1371" s="116" t="s">
        <v>83</v>
      </c>
      <c r="Q1371" s="116" t="s">
        <v>83</v>
      </c>
      <c r="R1371" s="115">
        <v>0.11111111111111099</v>
      </c>
      <c r="S1371" s="115">
        <v>8.1218274111675107E-2</v>
      </c>
      <c r="T1371" s="115">
        <v>5.7971014492753603E-2</v>
      </c>
      <c r="U1371" s="115">
        <v>8.2802547770700605E-2</v>
      </c>
      <c r="V1371" s="115">
        <v>4.1666666666666699E-2</v>
      </c>
      <c r="W1371" s="6">
        <v>511</v>
      </c>
      <c r="X1371" s="40">
        <f t="shared" si="98"/>
        <v>511</v>
      </c>
      <c r="Y1371" s="40">
        <f t="shared" si="99"/>
        <v>511</v>
      </c>
      <c r="Z1371" s="59">
        <v>0.47553816046966729</v>
      </c>
      <c r="AA1371" s="59">
        <v>0.52446183953033265</v>
      </c>
      <c r="AB1371" s="61">
        <v>0</v>
      </c>
      <c r="AC1371" s="61">
        <v>1.9569471624266144E-3</v>
      </c>
      <c r="AD1371" s="61">
        <v>0.95107632093933459</v>
      </c>
      <c r="AE1371" s="61">
        <v>3.131115459882583E-2</v>
      </c>
      <c r="AF1371" s="61">
        <v>0</v>
      </c>
      <c r="AG1371" s="61">
        <v>1.1741682974559686E-2</v>
      </c>
      <c r="AH1371" s="61">
        <v>3.9138943248532287E-3</v>
      </c>
      <c r="AI1371" s="61">
        <v>0.98825831702544031</v>
      </c>
      <c r="AJ1371" s="59">
        <v>0.86301369863013699</v>
      </c>
      <c r="AK1371" s="59">
        <v>2.3483365949119372E-2</v>
      </c>
      <c r="AL1371" s="4">
        <v>0</v>
      </c>
      <c r="AM1371" s="4">
        <v>0</v>
      </c>
      <c r="AN1371" s="4">
        <v>16</v>
      </c>
      <c r="AO1371" s="4">
        <v>121</v>
      </c>
      <c r="AP1371" s="4">
        <v>108</v>
      </c>
      <c r="AQ1371" s="4">
        <v>136</v>
      </c>
      <c r="AR1371" s="4">
        <v>130</v>
      </c>
      <c r="AS1371" s="59">
        <v>0.11678832116788321</v>
      </c>
      <c r="AT1371" s="3">
        <v>9</v>
      </c>
      <c r="AU1371" s="3">
        <v>6</v>
      </c>
      <c r="AV1371" s="49">
        <v>73.566878980891701</v>
      </c>
      <c r="AW1371" s="49">
        <v>15.9235668789809</v>
      </c>
      <c r="AX1371" s="49">
        <v>10.509554140127401</v>
      </c>
      <c r="AY1371" s="67">
        <v>0</v>
      </c>
      <c r="AZ1371" s="63">
        <v>0.41185897435897401</v>
      </c>
      <c r="BA1371" s="63">
        <v>3.2051282051282098E-3</v>
      </c>
      <c r="BB1371" s="80">
        <v>86.3</v>
      </c>
      <c r="BC1371" s="80"/>
      <c r="BD1371" s="80"/>
      <c r="BE1371" s="80"/>
      <c r="BF1371" s="80"/>
      <c r="BG1371" s="80"/>
      <c r="BH1371" s="80"/>
      <c r="BI1371" s="80"/>
      <c r="BJ1371" s="3">
        <v>16.3</v>
      </c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29" t="s">
        <v>180</v>
      </c>
      <c r="CJ1371" s="18" t="s">
        <v>548</v>
      </c>
      <c r="CK1371" s="30"/>
    </row>
    <row r="1372" spans="1:99" x14ac:dyDescent="0.25">
      <c r="A1372" s="18" t="s">
        <v>548</v>
      </c>
      <c r="B1372" s="29" t="s">
        <v>176</v>
      </c>
      <c r="C1372" s="29" t="s">
        <v>507</v>
      </c>
      <c r="D1372" s="6">
        <v>61</v>
      </c>
      <c r="E1372" s="6">
        <v>4</v>
      </c>
      <c r="F1372" s="6">
        <v>57</v>
      </c>
      <c r="N1372" s="115">
        <v>6.7106710671067105E-2</v>
      </c>
      <c r="O1372" s="115">
        <v>6.7857142857142894E-2</v>
      </c>
      <c r="P1372" s="115">
        <v>2.6315789473684199E-2</v>
      </c>
      <c r="Q1372" s="115">
        <v>9.6774193548387094E-2</v>
      </c>
      <c r="R1372" s="119">
        <v>0</v>
      </c>
      <c r="S1372" s="115">
        <v>7.3972602739726001E-2</v>
      </c>
      <c r="T1372" s="115">
        <v>7.1698113207547196E-2</v>
      </c>
      <c r="U1372" s="115">
        <v>5.3921568627450997E-2</v>
      </c>
      <c r="V1372" s="116" t="s">
        <v>83</v>
      </c>
      <c r="W1372" s="6">
        <v>789</v>
      </c>
      <c r="X1372" s="40">
        <f t="shared" si="98"/>
        <v>674</v>
      </c>
      <c r="Y1372" s="40">
        <f t="shared" si="99"/>
        <v>737</v>
      </c>
      <c r="Z1372" s="59">
        <v>0.50316856780735109</v>
      </c>
      <c r="AA1372" s="59">
        <v>0.49683143219264891</v>
      </c>
      <c r="AB1372" s="61">
        <v>1.2674271229404308E-3</v>
      </c>
      <c r="AC1372" s="61">
        <v>0</v>
      </c>
      <c r="AD1372" s="61">
        <v>0.97465145754119142</v>
      </c>
      <c r="AE1372" s="61">
        <v>7.6045627376425855E-3</v>
      </c>
      <c r="AF1372" s="61">
        <v>0</v>
      </c>
      <c r="AG1372" s="61">
        <v>1.5209125475285171E-2</v>
      </c>
      <c r="AH1372" s="61">
        <v>1.2674271229404308E-3</v>
      </c>
      <c r="AI1372" s="61">
        <v>0.98479087452471481</v>
      </c>
      <c r="AJ1372" s="59">
        <v>0.90494296577946765</v>
      </c>
      <c r="AK1372" s="59">
        <v>2.5348542458808617E-3</v>
      </c>
      <c r="AL1372" s="4">
        <v>37</v>
      </c>
      <c r="AM1372" s="4">
        <v>26</v>
      </c>
      <c r="AN1372" s="4">
        <v>26</v>
      </c>
      <c r="AO1372" s="4">
        <v>263</v>
      </c>
      <c r="AP1372" s="4">
        <v>213</v>
      </c>
      <c r="AQ1372" s="4">
        <v>172</v>
      </c>
      <c r="AR1372" s="4">
        <v>0</v>
      </c>
      <c r="AS1372" s="59">
        <v>8.9965397923875437E-2</v>
      </c>
      <c r="AT1372" s="3">
        <v>6</v>
      </c>
      <c r="AU1372" s="3">
        <v>6</v>
      </c>
      <c r="AV1372" s="49">
        <v>56.6579634464752</v>
      </c>
      <c r="AW1372" s="49">
        <v>18.798955613577</v>
      </c>
      <c r="AX1372" s="49">
        <v>21.148825065274199</v>
      </c>
      <c r="AY1372" s="67">
        <v>3.3942558746736302</v>
      </c>
      <c r="AZ1372" s="63">
        <v>0.48275862068965503</v>
      </c>
      <c r="BA1372" s="63">
        <v>0</v>
      </c>
      <c r="BB1372" s="79">
        <v>85.2</v>
      </c>
      <c r="BC1372" s="79"/>
      <c r="BD1372" s="79"/>
      <c r="BE1372" s="79"/>
      <c r="BF1372" s="79"/>
      <c r="BG1372" s="79"/>
      <c r="BH1372" s="79"/>
      <c r="BI1372" s="79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29" t="s">
        <v>507</v>
      </c>
      <c r="CJ1372" s="18" t="s">
        <v>548</v>
      </c>
      <c r="CK1372" s="30"/>
    </row>
    <row r="1373" spans="1:99" x14ac:dyDescent="0.25">
      <c r="A1373" s="18" t="s">
        <v>548</v>
      </c>
      <c r="B1373" s="29" t="s">
        <v>176</v>
      </c>
      <c r="C1373" s="29" t="s">
        <v>181</v>
      </c>
      <c r="D1373" s="6">
        <v>66</v>
      </c>
      <c r="E1373" s="40" t="s">
        <v>83</v>
      </c>
      <c r="F1373" s="6">
        <v>66</v>
      </c>
      <c r="N1373" s="115">
        <v>4.91803278688525E-2</v>
      </c>
      <c r="O1373" s="115">
        <v>4.91803278688525E-2</v>
      </c>
      <c r="P1373" s="116" t="s">
        <v>83</v>
      </c>
      <c r="Q1373" s="116" t="s">
        <v>83</v>
      </c>
      <c r="R1373" s="119">
        <v>0</v>
      </c>
      <c r="S1373" s="115">
        <v>4.7887323943661998E-2</v>
      </c>
      <c r="T1373" s="115">
        <v>6.9970845481049607E-2</v>
      </c>
      <c r="U1373" s="115">
        <v>3.7267080745341602E-2</v>
      </c>
      <c r="V1373" s="115">
        <v>4.1139240506329097E-2</v>
      </c>
      <c r="W1373" s="6">
        <v>1146</v>
      </c>
      <c r="X1373" s="40">
        <f t="shared" si="98"/>
        <v>1146</v>
      </c>
      <c r="Y1373" s="40">
        <f t="shared" si="99"/>
        <v>1146</v>
      </c>
      <c r="Z1373" s="59">
        <v>0.51745200698080285</v>
      </c>
      <c r="AA1373" s="59">
        <v>0.48254799301919721</v>
      </c>
      <c r="AB1373" s="61">
        <v>1.7452006980802793E-3</v>
      </c>
      <c r="AC1373" s="61">
        <v>7.8534031413612562E-3</v>
      </c>
      <c r="AD1373" s="61">
        <v>0.85514834205933687</v>
      </c>
      <c r="AE1373" s="61">
        <v>7.766143106457242E-2</v>
      </c>
      <c r="AF1373" s="61">
        <v>8.7260034904013963E-4</v>
      </c>
      <c r="AG1373" s="61">
        <v>4.9738219895287955E-2</v>
      </c>
      <c r="AH1373" s="61">
        <v>6.9808027923211171E-3</v>
      </c>
      <c r="AI1373" s="61">
        <v>0.95026178010471207</v>
      </c>
      <c r="AJ1373" s="59">
        <v>0.75305410122164052</v>
      </c>
      <c r="AK1373" s="59">
        <v>6.4572425828970326E-2</v>
      </c>
      <c r="AL1373" s="4">
        <v>0</v>
      </c>
      <c r="AM1373" s="4">
        <v>0</v>
      </c>
      <c r="AN1373" s="4">
        <v>35</v>
      </c>
      <c r="AO1373" s="4">
        <v>246</v>
      </c>
      <c r="AP1373" s="4">
        <v>280</v>
      </c>
      <c r="AQ1373" s="4">
        <v>295</v>
      </c>
      <c r="AR1373" s="4">
        <v>290</v>
      </c>
      <c r="AS1373" s="59">
        <v>0.12455516014234876</v>
      </c>
      <c r="AT1373" s="3">
        <v>9</v>
      </c>
      <c r="AU1373" s="3">
        <v>6</v>
      </c>
      <c r="AV1373" s="49">
        <v>65.734265734265691</v>
      </c>
      <c r="AW1373" s="49">
        <v>20.1048951048951</v>
      </c>
      <c r="AX1373" s="49">
        <v>11.013986013986001</v>
      </c>
      <c r="AY1373" s="67">
        <v>3.1468531468531498</v>
      </c>
      <c r="AZ1373" s="63">
        <v>0.31472868217054301</v>
      </c>
      <c r="BA1373" s="63">
        <v>2.3255813953488402E-3</v>
      </c>
      <c r="BB1373" s="80">
        <v>87.3</v>
      </c>
      <c r="BC1373" s="80"/>
      <c r="BD1373" s="80"/>
      <c r="BE1373" s="80"/>
      <c r="BF1373" s="80"/>
      <c r="BG1373" s="80"/>
      <c r="BH1373" s="80"/>
      <c r="BI1373" s="80"/>
      <c r="BJ1373" s="3">
        <v>18.100000000000001</v>
      </c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29" t="s">
        <v>181</v>
      </c>
      <c r="CJ1373" s="18" t="s">
        <v>548</v>
      </c>
      <c r="CK1373" s="30"/>
    </row>
    <row r="1374" spans="1:99" x14ac:dyDescent="0.25">
      <c r="A1374" s="18" t="s">
        <v>548</v>
      </c>
      <c r="B1374" s="29" t="s">
        <v>176</v>
      </c>
      <c r="C1374" s="29" t="s">
        <v>182</v>
      </c>
      <c r="D1374" s="6">
        <v>11</v>
      </c>
      <c r="E1374" s="6">
        <v>2</v>
      </c>
      <c r="F1374" s="6">
        <v>9</v>
      </c>
      <c r="N1374" s="115">
        <v>2.11946050096339E-2</v>
      </c>
      <c r="O1374" s="115">
        <v>2.6239067055393601E-2</v>
      </c>
      <c r="P1374" s="119">
        <v>0</v>
      </c>
      <c r="Q1374" s="115">
        <v>2.2222222222222199E-2</v>
      </c>
      <c r="R1374" s="119">
        <v>0</v>
      </c>
      <c r="S1374" s="115">
        <v>3.4883720930232599E-2</v>
      </c>
      <c r="T1374" s="115">
        <v>1.20481927710843E-2</v>
      </c>
      <c r="U1374" s="115">
        <v>2.2988505747126398E-2</v>
      </c>
      <c r="V1374" s="115">
        <v>3.7499999999999999E-2</v>
      </c>
      <c r="W1374" s="6">
        <v>445</v>
      </c>
      <c r="X1374" s="40">
        <f t="shared" si="98"/>
        <v>299</v>
      </c>
      <c r="Y1374" s="40">
        <f t="shared" si="99"/>
        <v>445</v>
      </c>
      <c r="Z1374" s="59">
        <v>0.42247191011235957</v>
      </c>
      <c r="AA1374" s="59">
        <v>0.57752808988764048</v>
      </c>
      <c r="AB1374" s="61">
        <v>4.4943820224719105E-3</v>
      </c>
      <c r="AC1374" s="61">
        <v>0</v>
      </c>
      <c r="AD1374" s="61">
        <v>0.82696629213483142</v>
      </c>
      <c r="AE1374" s="61">
        <v>2.6966292134831461E-2</v>
      </c>
      <c r="AF1374" s="61">
        <v>0</v>
      </c>
      <c r="AG1374" s="61">
        <v>0.13258426966292136</v>
      </c>
      <c r="AH1374" s="61">
        <v>8.988764044943821E-3</v>
      </c>
      <c r="AI1374" s="61">
        <v>0.86741573033707864</v>
      </c>
      <c r="AJ1374" s="59">
        <v>0.79101123595505618</v>
      </c>
      <c r="AK1374" s="59">
        <v>1.3483146067415731E-2</v>
      </c>
      <c r="AL1374" s="4">
        <v>76</v>
      </c>
      <c r="AM1374" s="4">
        <v>70</v>
      </c>
      <c r="AN1374" s="4">
        <v>8</v>
      </c>
      <c r="AO1374" s="4">
        <v>68</v>
      </c>
      <c r="AP1374" s="4">
        <v>72</v>
      </c>
      <c r="AQ1374" s="4">
        <v>77</v>
      </c>
      <c r="AR1374" s="4">
        <v>74</v>
      </c>
      <c r="AS1374" s="59">
        <v>0.10526315789473684</v>
      </c>
      <c r="AT1374" s="3">
        <v>7</v>
      </c>
      <c r="AU1374" s="3">
        <v>6</v>
      </c>
      <c r="AV1374" s="49">
        <v>79.020979020978999</v>
      </c>
      <c r="AW1374" s="49">
        <v>18.531468531468501</v>
      </c>
      <c r="AX1374" s="49">
        <v>2.0979020979021001</v>
      </c>
      <c r="AY1374" s="67">
        <v>0.34965034965035002</v>
      </c>
      <c r="AZ1374" s="63">
        <v>0.32233009708737898</v>
      </c>
      <c r="BA1374" s="63">
        <v>0</v>
      </c>
      <c r="BB1374" s="80">
        <v>92.2</v>
      </c>
      <c r="BC1374" s="80"/>
      <c r="BD1374" s="80"/>
      <c r="BE1374" s="80"/>
      <c r="BF1374" s="80"/>
      <c r="BG1374" s="80"/>
      <c r="BH1374" s="80"/>
      <c r="BI1374" s="80"/>
      <c r="BJ1374" s="3">
        <v>16.7</v>
      </c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29" t="s">
        <v>182</v>
      </c>
      <c r="CJ1374" s="18" t="s">
        <v>548</v>
      </c>
      <c r="CK1374" s="30"/>
    </row>
    <row r="1375" spans="1:99" x14ac:dyDescent="0.25">
      <c r="A1375" s="18" t="s">
        <v>548</v>
      </c>
      <c r="B1375" s="29" t="s">
        <v>176</v>
      </c>
      <c r="C1375" s="29" t="s">
        <v>183</v>
      </c>
      <c r="D1375" s="6">
        <v>72</v>
      </c>
      <c r="E1375" s="40" t="s">
        <v>83</v>
      </c>
      <c r="F1375" s="6">
        <v>72</v>
      </c>
      <c r="N1375" s="115">
        <v>5.5427251732101598E-2</v>
      </c>
      <c r="O1375" s="115">
        <v>5.5427251732101598E-2</v>
      </c>
      <c r="P1375" s="116" t="s">
        <v>83</v>
      </c>
      <c r="Q1375" s="116" t="s">
        <v>83</v>
      </c>
      <c r="R1375" s="119">
        <v>0</v>
      </c>
      <c r="S1375" s="115">
        <v>5.6250000000000001E-2</v>
      </c>
      <c r="T1375" s="115">
        <v>7.4534161490683204E-2</v>
      </c>
      <c r="U1375" s="115">
        <v>3.4161490683229802E-2</v>
      </c>
      <c r="V1375" s="115">
        <v>5.9006211180124203E-2</v>
      </c>
      <c r="W1375" s="6">
        <v>1137</v>
      </c>
      <c r="X1375" s="40">
        <f t="shared" si="98"/>
        <v>1137</v>
      </c>
      <c r="Y1375" s="40">
        <f t="shared" si="99"/>
        <v>1137</v>
      </c>
      <c r="Z1375" s="59">
        <v>0.49252418645558488</v>
      </c>
      <c r="AA1375" s="59">
        <v>0.50747581354441518</v>
      </c>
      <c r="AB1375" s="61">
        <v>8.7950747581354446E-4</v>
      </c>
      <c r="AC1375" s="61">
        <v>0</v>
      </c>
      <c r="AD1375" s="61">
        <v>0.98328935795954264</v>
      </c>
      <c r="AE1375" s="61">
        <v>8.795074758135445E-3</v>
      </c>
      <c r="AF1375" s="61">
        <v>0</v>
      </c>
      <c r="AG1375" s="61">
        <v>4.3975373790677225E-3</v>
      </c>
      <c r="AH1375" s="61">
        <v>2.6385224274406332E-3</v>
      </c>
      <c r="AI1375" s="61">
        <v>0.99560246262093233</v>
      </c>
      <c r="AJ1375" s="59">
        <v>0.82849604221635886</v>
      </c>
      <c r="AK1375" s="59">
        <v>1.7590149516270889E-3</v>
      </c>
      <c r="AL1375" s="4">
        <v>0</v>
      </c>
      <c r="AM1375" s="4">
        <v>0</v>
      </c>
      <c r="AN1375" s="4">
        <v>21</v>
      </c>
      <c r="AO1375" s="4">
        <v>255</v>
      </c>
      <c r="AP1375" s="4">
        <v>267</v>
      </c>
      <c r="AQ1375" s="4">
        <v>296</v>
      </c>
      <c r="AR1375" s="4">
        <v>298</v>
      </c>
      <c r="AS1375" s="59">
        <v>7.6086956521739135E-2</v>
      </c>
      <c r="AT1375" s="3">
        <v>9</v>
      </c>
      <c r="AU1375" s="3">
        <v>6</v>
      </c>
      <c r="AV1375" s="49">
        <v>56.761904761904802</v>
      </c>
      <c r="AW1375" s="49">
        <v>19.8095238095238</v>
      </c>
      <c r="AX1375" s="49">
        <v>19.8095238095238</v>
      </c>
      <c r="AY1375" s="67">
        <v>3.6190476190476204</v>
      </c>
      <c r="AZ1375" s="63">
        <v>0.43745082612116398</v>
      </c>
      <c r="BA1375" s="63">
        <v>0</v>
      </c>
      <c r="BB1375" s="79">
        <v>89.7</v>
      </c>
      <c r="BC1375" s="79"/>
      <c r="BD1375" s="79"/>
      <c r="BE1375" s="79"/>
      <c r="BF1375" s="79"/>
      <c r="BG1375" s="79"/>
      <c r="BH1375" s="79"/>
      <c r="BI1375" s="79"/>
      <c r="BJ1375" s="3">
        <v>16</v>
      </c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29" t="s">
        <v>183</v>
      </c>
      <c r="CJ1375" s="18" t="s">
        <v>548</v>
      </c>
      <c r="CK1375" s="30"/>
    </row>
    <row r="1376" spans="1:99" x14ac:dyDescent="0.25">
      <c r="A1376" s="18" t="s">
        <v>548</v>
      </c>
      <c r="B1376" s="29" t="s">
        <v>176</v>
      </c>
      <c r="C1376" s="29" t="s">
        <v>184</v>
      </c>
      <c r="D1376" s="6">
        <v>113</v>
      </c>
      <c r="E1376" s="40" t="s">
        <v>83</v>
      </c>
      <c r="F1376" s="6">
        <v>113</v>
      </c>
      <c r="N1376" s="115">
        <v>8.73261205564142E-2</v>
      </c>
      <c r="O1376" s="115">
        <v>8.73261205564142E-2</v>
      </c>
      <c r="P1376" s="116" t="s">
        <v>83</v>
      </c>
      <c r="Q1376" s="116" t="s">
        <v>83</v>
      </c>
      <c r="R1376" s="119">
        <v>0</v>
      </c>
      <c r="S1376" s="115">
        <v>6.5000000000000002E-2</v>
      </c>
      <c r="T1376" s="115">
        <v>8.1232492997198896E-2</v>
      </c>
      <c r="U1376" s="115">
        <v>9.7902097902097904E-2</v>
      </c>
      <c r="V1376" s="115">
        <v>0.12396694214876</v>
      </c>
      <c r="W1376" s="6">
        <v>996</v>
      </c>
      <c r="X1376" s="40">
        <f t="shared" si="98"/>
        <v>996</v>
      </c>
      <c r="Y1376" s="40">
        <f t="shared" si="99"/>
        <v>996</v>
      </c>
      <c r="Z1376" s="59">
        <v>0.46485943775100402</v>
      </c>
      <c r="AA1376" s="59">
        <v>0.53514056224899598</v>
      </c>
      <c r="AB1376" s="61">
        <v>0</v>
      </c>
      <c r="AC1376" s="61">
        <v>1.8072289156626505E-2</v>
      </c>
      <c r="AD1376" s="61">
        <v>0.78413654618473894</v>
      </c>
      <c r="AE1376" s="61">
        <v>0.13554216867469879</v>
      </c>
      <c r="AF1376" s="61">
        <v>0</v>
      </c>
      <c r="AG1376" s="61">
        <v>5.4216867469879519E-2</v>
      </c>
      <c r="AH1376" s="61">
        <v>8.0321285140562242E-3</v>
      </c>
      <c r="AI1376" s="61">
        <v>0.94578313253012047</v>
      </c>
      <c r="AJ1376" s="59">
        <v>0.82730923694779113</v>
      </c>
      <c r="AK1376" s="59">
        <v>0.11847389558232932</v>
      </c>
      <c r="AL1376" s="4">
        <v>0</v>
      </c>
      <c r="AM1376" s="4">
        <v>0</v>
      </c>
      <c r="AN1376" s="4">
        <v>48</v>
      </c>
      <c r="AO1376" s="4">
        <v>238</v>
      </c>
      <c r="AP1376" s="4">
        <v>272</v>
      </c>
      <c r="AQ1376" s="4">
        <v>236</v>
      </c>
      <c r="AR1376" s="4">
        <v>202</v>
      </c>
      <c r="AS1376" s="59">
        <v>0.16783216783216784</v>
      </c>
      <c r="AT1376" s="3">
        <v>9</v>
      </c>
      <c r="AU1376" s="3">
        <v>6</v>
      </c>
      <c r="AV1376" s="49">
        <v>55.533199195171001</v>
      </c>
      <c r="AW1376" s="49">
        <v>23.742454728370198</v>
      </c>
      <c r="AX1376" s="49">
        <v>19.315895372233399</v>
      </c>
      <c r="AY1376" s="67">
        <v>1.40845070422535</v>
      </c>
      <c r="AZ1376" s="63">
        <v>0.344435418359058</v>
      </c>
      <c r="BA1376" s="63">
        <v>0</v>
      </c>
      <c r="BB1376" s="80">
        <v>86.7</v>
      </c>
      <c r="BC1376" s="80"/>
      <c r="BD1376" s="80"/>
      <c r="BE1376" s="80"/>
      <c r="BF1376" s="80"/>
      <c r="BG1376" s="80"/>
      <c r="BH1376" s="80"/>
      <c r="BI1376" s="80"/>
      <c r="BJ1376" s="3">
        <v>15.7</v>
      </c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29" t="s">
        <v>184</v>
      </c>
      <c r="CJ1376" s="18" t="s">
        <v>548</v>
      </c>
      <c r="CK1376" s="30"/>
    </row>
    <row r="1377" spans="1:89" x14ac:dyDescent="0.25">
      <c r="A1377" s="18" t="s">
        <v>548</v>
      </c>
      <c r="B1377" s="29" t="s">
        <v>176</v>
      </c>
      <c r="C1377" s="29" t="s">
        <v>185</v>
      </c>
      <c r="D1377" s="6">
        <v>66</v>
      </c>
      <c r="E1377" s="40" t="s">
        <v>83</v>
      </c>
      <c r="F1377" s="6">
        <v>66</v>
      </c>
      <c r="N1377" s="115">
        <v>4.6908315565031999E-2</v>
      </c>
      <c r="O1377" s="115">
        <v>4.6908315565031999E-2</v>
      </c>
      <c r="P1377" s="116" t="s">
        <v>83</v>
      </c>
      <c r="Q1377" s="116" t="s">
        <v>83</v>
      </c>
      <c r="R1377" s="119">
        <v>0</v>
      </c>
      <c r="S1377" s="115">
        <v>3.7383177570093497E-2</v>
      </c>
      <c r="T1377" s="115">
        <v>5.2325581395348798E-2</v>
      </c>
      <c r="U1377" s="115">
        <v>4.4378698224852103E-2</v>
      </c>
      <c r="V1377" s="115">
        <v>5.7627118644067797E-2</v>
      </c>
      <c r="W1377" s="6">
        <v>1207</v>
      </c>
      <c r="X1377" s="40">
        <f t="shared" si="98"/>
        <v>1207</v>
      </c>
      <c r="Y1377" s="40">
        <f t="shared" si="99"/>
        <v>1207</v>
      </c>
      <c r="Z1377" s="59">
        <v>0.46230323115161559</v>
      </c>
      <c r="AA1377" s="59">
        <v>0.53769676884838447</v>
      </c>
      <c r="AB1377" s="61">
        <v>3.3140016570008283E-3</v>
      </c>
      <c r="AC1377" s="61">
        <v>3.3968516984258491E-2</v>
      </c>
      <c r="AD1377" s="61">
        <v>0.59569179784589887</v>
      </c>
      <c r="AE1377" s="61">
        <v>0.12924606462303231</v>
      </c>
      <c r="AF1377" s="61">
        <v>1.6570008285004142E-3</v>
      </c>
      <c r="AG1377" s="61">
        <v>0.21541010770505387</v>
      </c>
      <c r="AH1377" s="61">
        <v>2.0712510356255178E-2</v>
      </c>
      <c r="AI1377" s="61">
        <v>0.78458989229494613</v>
      </c>
      <c r="AJ1377" s="59">
        <v>0.70008285004142501</v>
      </c>
      <c r="AK1377" s="59">
        <v>9.0306545153272577E-2</v>
      </c>
      <c r="AL1377" s="4">
        <v>0</v>
      </c>
      <c r="AM1377" s="4">
        <v>0</v>
      </c>
      <c r="AN1377" s="4">
        <v>9</v>
      </c>
      <c r="AO1377" s="4">
        <v>356</v>
      </c>
      <c r="AP1377" s="4">
        <v>282</v>
      </c>
      <c r="AQ1377" s="4">
        <v>283</v>
      </c>
      <c r="AR1377" s="4">
        <v>277</v>
      </c>
      <c r="AS1377" s="59">
        <v>2.4657534246575342E-2</v>
      </c>
      <c r="AT1377" s="3">
        <v>9</v>
      </c>
      <c r="AU1377" s="3">
        <v>6</v>
      </c>
      <c r="AV1377" s="49">
        <v>61.882716049382701</v>
      </c>
      <c r="AW1377" s="49">
        <v>21.141975308641999</v>
      </c>
      <c r="AX1377" s="49">
        <v>15.7407407407407</v>
      </c>
      <c r="AY1377" s="67">
        <v>1.2345679012345698</v>
      </c>
      <c r="AZ1377" s="63">
        <v>0.34587554269175103</v>
      </c>
      <c r="BA1377" s="63">
        <v>0</v>
      </c>
      <c r="BB1377" s="80">
        <v>91.6</v>
      </c>
      <c r="BC1377" s="80"/>
      <c r="BD1377" s="80"/>
      <c r="BE1377" s="80"/>
      <c r="BF1377" s="80"/>
      <c r="BG1377" s="80"/>
      <c r="BH1377" s="80"/>
      <c r="BI1377" s="80"/>
      <c r="BJ1377" s="3">
        <v>17.7</v>
      </c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29" t="s">
        <v>185</v>
      </c>
      <c r="CJ1377" s="18" t="s">
        <v>548</v>
      </c>
      <c r="CK1377" s="30"/>
    </row>
    <row r="1378" spans="1:89" x14ac:dyDescent="0.25">
      <c r="A1378" s="18" t="s">
        <v>548</v>
      </c>
      <c r="B1378" s="29" t="s">
        <v>176</v>
      </c>
      <c r="C1378" s="29" t="s">
        <v>481</v>
      </c>
      <c r="D1378" s="6">
        <v>8</v>
      </c>
      <c r="E1378" s="40" t="s">
        <v>83</v>
      </c>
      <c r="F1378" s="6">
        <v>8</v>
      </c>
      <c r="N1378" s="115">
        <v>1.40105078809107E-2</v>
      </c>
      <c r="O1378" s="115">
        <v>1.40105078809107E-2</v>
      </c>
      <c r="P1378" s="116" t="s">
        <v>83</v>
      </c>
      <c r="Q1378" s="116" t="s">
        <v>83</v>
      </c>
      <c r="R1378" s="119">
        <v>0</v>
      </c>
      <c r="S1378" s="115">
        <v>7.09219858156028E-3</v>
      </c>
      <c r="T1378" s="115">
        <v>1.5625E-2</v>
      </c>
      <c r="U1378" s="115">
        <v>1.0928961748633901E-2</v>
      </c>
      <c r="V1378" s="115">
        <v>2.5210084033613401E-2</v>
      </c>
      <c r="W1378" s="6">
        <v>538</v>
      </c>
      <c r="X1378" s="40">
        <f t="shared" si="98"/>
        <v>538</v>
      </c>
      <c r="Y1378" s="40">
        <f t="shared" si="99"/>
        <v>538</v>
      </c>
      <c r="Z1378" s="59">
        <v>0.58364312267657992</v>
      </c>
      <c r="AA1378" s="59">
        <v>0.41635687732342008</v>
      </c>
      <c r="AB1378" s="61">
        <v>0</v>
      </c>
      <c r="AC1378" s="61">
        <v>0</v>
      </c>
      <c r="AD1378" s="61">
        <v>0.96468401486988853</v>
      </c>
      <c r="AE1378" s="61">
        <v>1.858736059479554E-2</v>
      </c>
      <c r="AF1378" s="61">
        <v>0</v>
      </c>
      <c r="AG1378" s="61">
        <v>1.1152416356877323E-2</v>
      </c>
      <c r="AH1378" s="61">
        <v>5.5762081784386614E-3</v>
      </c>
      <c r="AI1378" s="61">
        <v>0.98884758364312264</v>
      </c>
      <c r="AJ1378" s="59">
        <v>0.77509293680297398</v>
      </c>
      <c r="AK1378" s="59">
        <v>3.7174721189591076E-3</v>
      </c>
      <c r="AL1378" s="4">
        <v>0</v>
      </c>
      <c r="AM1378" s="4">
        <v>0</v>
      </c>
      <c r="AN1378" s="4">
        <v>4</v>
      </c>
      <c r="AO1378" s="4">
        <v>133</v>
      </c>
      <c r="AP1378" s="4">
        <v>115</v>
      </c>
      <c r="AQ1378" s="4">
        <v>171</v>
      </c>
      <c r="AR1378" s="4">
        <v>115</v>
      </c>
      <c r="AS1378" s="59">
        <v>2.9197080291970802E-2</v>
      </c>
      <c r="AT1378" s="3">
        <v>9</v>
      </c>
      <c r="AU1378" s="3">
        <v>1</v>
      </c>
      <c r="AV1378" s="49">
        <v>53.174603174603199</v>
      </c>
      <c r="AW1378" s="49">
        <v>25.396825396825403</v>
      </c>
      <c r="AX1378" s="49">
        <v>19.841269841269803</v>
      </c>
      <c r="AY1378" s="67">
        <v>1.5873015873015901</v>
      </c>
      <c r="AZ1378" s="63">
        <v>1.06194690265487E-2</v>
      </c>
      <c r="BA1378" s="63">
        <v>0.208849557522124</v>
      </c>
      <c r="BB1378" s="79">
        <v>93.1</v>
      </c>
      <c r="BC1378" s="79"/>
      <c r="BD1378" s="79"/>
      <c r="BE1378" s="79"/>
      <c r="BF1378" s="79"/>
      <c r="BG1378" s="79"/>
      <c r="BH1378" s="79"/>
      <c r="BI1378" s="79"/>
      <c r="BJ1378" s="3">
        <v>16.2</v>
      </c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29" t="s">
        <v>481</v>
      </c>
      <c r="CJ1378" s="18" t="s">
        <v>548</v>
      </c>
      <c r="CK1378" s="28" t="s">
        <v>508</v>
      </c>
    </row>
    <row r="1379" spans="1:89" x14ac:dyDescent="0.25">
      <c r="A1379" s="18" t="s">
        <v>548</v>
      </c>
      <c r="B1379" s="29" t="s">
        <v>176</v>
      </c>
      <c r="C1379" s="29" t="s">
        <v>492</v>
      </c>
      <c r="D1379" s="6">
        <v>2</v>
      </c>
      <c r="E1379" s="40" t="s">
        <v>83</v>
      </c>
      <c r="F1379" s="6">
        <v>2</v>
      </c>
      <c r="N1379" s="115">
        <v>1.8099547511312201E-3</v>
      </c>
      <c r="O1379" s="115">
        <v>1.8099547511312201E-3</v>
      </c>
      <c r="P1379" s="116" t="s">
        <v>83</v>
      </c>
      <c r="Q1379" s="116" t="s">
        <v>83</v>
      </c>
      <c r="R1379" s="116" t="s">
        <v>83</v>
      </c>
      <c r="S1379" s="115">
        <v>2.6525198938992002E-3</v>
      </c>
      <c r="T1379" s="115">
        <v>0</v>
      </c>
      <c r="U1379" s="115">
        <v>0</v>
      </c>
      <c r="V1379" s="115">
        <v>5.78034682080925E-3</v>
      </c>
      <c r="W1379" s="6">
        <v>1081</v>
      </c>
      <c r="X1379" s="40">
        <f t="shared" si="98"/>
        <v>1081</v>
      </c>
      <c r="Y1379" s="40">
        <f t="shared" si="99"/>
        <v>1081</v>
      </c>
      <c r="Z1379" s="59">
        <v>0.61979648473635518</v>
      </c>
      <c r="AA1379" s="59">
        <v>0.38020351526364476</v>
      </c>
      <c r="AB1379" s="61">
        <v>0</v>
      </c>
      <c r="AC1379" s="61">
        <v>5.3654024051803882E-2</v>
      </c>
      <c r="AD1379" s="61">
        <v>0.69195189639222943</v>
      </c>
      <c r="AE1379" s="61">
        <v>5.6429232192414434E-2</v>
      </c>
      <c r="AF1379" s="61">
        <v>2.7752081406105457E-3</v>
      </c>
      <c r="AG1379" s="61">
        <v>0.18686401480111009</v>
      </c>
      <c r="AH1379" s="61">
        <v>8.3256244218316375E-3</v>
      </c>
      <c r="AI1379" s="61">
        <v>0.81313598519888997</v>
      </c>
      <c r="AJ1379" s="59">
        <v>0.48843663274745608</v>
      </c>
      <c r="AK1379" s="59">
        <v>5.5504162812210914E-3</v>
      </c>
      <c r="AL1379" s="4">
        <v>0</v>
      </c>
      <c r="AM1379" s="4">
        <v>0</v>
      </c>
      <c r="AN1379" s="4">
        <v>0</v>
      </c>
      <c r="AO1379" s="4">
        <v>367</v>
      </c>
      <c r="AP1379" s="4">
        <v>300</v>
      </c>
      <c r="AQ1379" s="4">
        <v>243</v>
      </c>
      <c r="AR1379" s="4">
        <v>171</v>
      </c>
      <c r="AS1379" s="59">
        <v>0</v>
      </c>
      <c r="AT1379" s="3">
        <v>9</v>
      </c>
      <c r="AU1379" s="3">
        <v>7</v>
      </c>
      <c r="AV1379" s="49">
        <v>42.606516290726795</v>
      </c>
      <c r="AW1379" s="49">
        <v>17.543859649122801</v>
      </c>
      <c r="AX1379" s="49">
        <v>35.087719298245602</v>
      </c>
      <c r="AY1379" s="67">
        <v>4.7619047619047601</v>
      </c>
      <c r="AZ1379" s="63">
        <v>0.20852221214868499</v>
      </c>
      <c r="BA1379" s="63">
        <v>0</v>
      </c>
      <c r="BB1379" s="80">
        <v>96.2</v>
      </c>
      <c r="BC1379" s="80"/>
      <c r="BD1379" s="80"/>
      <c r="BE1379" s="80"/>
      <c r="BF1379" s="80"/>
      <c r="BG1379" s="80"/>
      <c r="BH1379" s="80"/>
      <c r="BI1379" s="80"/>
      <c r="BJ1379" s="3">
        <v>23</v>
      </c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29" t="s">
        <v>492</v>
      </c>
      <c r="CJ1379" s="18" t="s">
        <v>548</v>
      </c>
      <c r="CK1379" s="28"/>
    </row>
    <row r="1380" spans="1:89" x14ac:dyDescent="0.25">
      <c r="A1380" s="18" t="s">
        <v>548</v>
      </c>
      <c r="B1380" s="29" t="s">
        <v>189</v>
      </c>
      <c r="C1380" s="29" t="s">
        <v>190</v>
      </c>
      <c r="D1380" s="6">
        <v>3</v>
      </c>
      <c r="E1380" s="40" t="s">
        <v>83</v>
      </c>
      <c r="F1380" s="6">
        <v>3</v>
      </c>
      <c r="N1380" s="115">
        <v>1.09090909090909E-2</v>
      </c>
      <c r="O1380" s="115">
        <v>1.09090909090909E-2</v>
      </c>
      <c r="P1380" s="116" t="s">
        <v>83</v>
      </c>
      <c r="Q1380" s="116" t="s">
        <v>83</v>
      </c>
      <c r="R1380" s="116" t="s">
        <v>83</v>
      </c>
      <c r="S1380" s="115">
        <v>1.20481927710843E-2</v>
      </c>
      <c r="T1380" s="115">
        <v>1.85185185185185E-2</v>
      </c>
      <c r="U1380" s="115">
        <v>0</v>
      </c>
      <c r="V1380" s="115">
        <v>1.58730158730159E-2</v>
      </c>
      <c r="W1380" s="6">
        <v>260</v>
      </c>
      <c r="X1380" s="40">
        <f t="shared" si="98"/>
        <v>260</v>
      </c>
      <c r="Y1380" s="40">
        <f t="shared" si="99"/>
        <v>260</v>
      </c>
      <c r="Z1380" s="59">
        <v>0.51538461538461533</v>
      </c>
      <c r="AA1380" s="59">
        <v>0.48461538461538461</v>
      </c>
      <c r="AB1380" s="61">
        <v>0</v>
      </c>
      <c r="AC1380" s="61">
        <v>7.6923076923076927E-3</v>
      </c>
      <c r="AD1380" s="61">
        <v>0.99230769230769234</v>
      </c>
      <c r="AE1380" s="61">
        <v>0</v>
      </c>
      <c r="AF1380" s="61">
        <v>0</v>
      </c>
      <c r="AG1380" s="61">
        <v>0</v>
      </c>
      <c r="AH1380" s="61">
        <v>0</v>
      </c>
      <c r="AI1380" s="61">
        <v>1</v>
      </c>
      <c r="AJ1380" s="59">
        <v>0.93076923076923079</v>
      </c>
      <c r="AK1380" s="59">
        <v>0</v>
      </c>
      <c r="AL1380" s="4">
        <v>0</v>
      </c>
      <c r="AM1380" s="4">
        <v>0</v>
      </c>
      <c r="AN1380" s="4">
        <v>0</v>
      </c>
      <c r="AO1380" s="4">
        <v>78</v>
      </c>
      <c r="AP1380" s="4">
        <v>52</v>
      </c>
      <c r="AQ1380" s="4">
        <v>69</v>
      </c>
      <c r="AR1380" s="4">
        <v>61</v>
      </c>
      <c r="AS1380" s="59">
        <v>0</v>
      </c>
      <c r="AT1380" s="3">
        <v>9</v>
      </c>
      <c r="AU1380" s="3">
        <v>6</v>
      </c>
      <c r="AV1380" s="49">
        <v>82.78145695364239</v>
      </c>
      <c r="AW1380" s="49">
        <v>12.582781456953601</v>
      </c>
      <c r="AX1380" s="49">
        <v>3.9735099337748299</v>
      </c>
      <c r="AY1380" s="67">
        <v>0.66225165562913901</v>
      </c>
      <c r="AZ1380" s="63">
        <v>0.19047619047618999</v>
      </c>
      <c r="BA1380" s="63">
        <v>0</v>
      </c>
      <c r="BB1380" s="80">
        <v>94.7</v>
      </c>
      <c r="BC1380" s="80"/>
      <c r="BD1380" s="80"/>
      <c r="BE1380" s="80"/>
      <c r="BF1380" s="80"/>
      <c r="BG1380" s="80"/>
      <c r="BH1380" s="80"/>
      <c r="BI1380" s="80"/>
      <c r="BJ1380" s="3">
        <v>15.2</v>
      </c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29" t="s">
        <v>190</v>
      </c>
      <c r="CJ1380" s="18" t="s">
        <v>548</v>
      </c>
      <c r="CK1380" s="30"/>
    </row>
    <row r="1381" spans="1:89" x14ac:dyDescent="0.25">
      <c r="A1381" s="18" t="s">
        <v>548</v>
      </c>
      <c r="B1381" s="29" t="s">
        <v>191</v>
      </c>
      <c r="C1381" s="29" t="s">
        <v>192</v>
      </c>
      <c r="D1381" s="6">
        <v>11</v>
      </c>
      <c r="E1381" s="40" t="s">
        <v>83</v>
      </c>
      <c r="F1381" s="6">
        <v>11</v>
      </c>
      <c r="N1381" s="115">
        <v>3.4920634920634901E-2</v>
      </c>
      <c r="O1381" s="115">
        <v>3.4920634920634901E-2</v>
      </c>
      <c r="P1381" s="116" t="s">
        <v>83</v>
      </c>
      <c r="Q1381" s="116" t="s">
        <v>83</v>
      </c>
      <c r="R1381" s="115">
        <v>3.125E-2</v>
      </c>
      <c r="S1381" s="115">
        <v>0</v>
      </c>
      <c r="T1381" s="115">
        <v>4.5977011494252901E-2</v>
      </c>
      <c r="U1381" s="115">
        <v>5.1948051948052E-2</v>
      </c>
      <c r="V1381" s="115">
        <v>2.7397260273972601E-2</v>
      </c>
      <c r="W1381" s="6">
        <v>289</v>
      </c>
      <c r="X1381" s="40">
        <f t="shared" si="98"/>
        <v>289</v>
      </c>
      <c r="Y1381" s="40">
        <f t="shared" si="99"/>
        <v>289</v>
      </c>
      <c r="Z1381" s="59">
        <v>0.51903114186851207</v>
      </c>
      <c r="AA1381" s="59">
        <v>0.48096885813148788</v>
      </c>
      <c r="AB1381" s="61">
        <v>0</v>
      </c>
      <c r="AC1381" s="61">
        <v>0</v>
      </c>
      <c r="AD1381" s="61">
        <v>0.95847750865051906</v>
      </c>
      <c r="AE1381" s="61">
        <v>0</v>
      </c>
      <c r="AF1381" s="61">
        <v>0</v>
      </c>
      <c r="AG1381" s="61">
        <v>3.1141868512110725E-2</v>
      </c>
      <c r="AH1381" s="61">
        <v>1.0380622837370242E-2</v>
      </c>
      <c r="AI1381" s="61">
        <v>0.96885813148788924</v>
      </c>
      <c r="AJ1381" s="59">
        <v>0.77162629757785473</v>
      </c>
      <c r="AK1381" s="59">
        <v>0</v>
      </c>
      <c r="AL1381" s="4">
        <v>0</v>
      </c>
      <c r="AM1381" s="4">
        <v>0</v>
      </c>
      <c r="AN1381" s="4">
        <v>34</v>
      </c>
      <c r="AO1381" s="4">
        <v>36</v>
      </c>
      <c r="AP1381" s="4">
        <v>78</v>
      </c>
      <c r="AQ1381" s="4">
        <v>72</v>
      </c>
      <c r="AR1381" s="4">
        <v>69</v>
      </c>
      <c r="AS1381" s="59">
        <v>0.48571428571428571</v>
      </c>
      <c r="AT1381" s="3">
        <v>9</v>
      </c>
      <c r="AU1381" s="3">
        <v>6</v>
      </c>
      <c r="AV1381" s="49">
        <v>80.6691449814126</v>
      </c>
      <c r="AW1381" s="49">
        <v>16.728624535316001</v>
      </c>
      <c r="AX1381" s="49">
        <v>2.6022304832713798</v>
      </c>
      <c r="AY1381" s="67">
        <v>0</v>
      </c>
      <c r="AZ1381" s="63">
        <v>0.23472668810289399</v>
      </c>
      <c r="BA1381" s="63">
        <v>3.8585209003215402E-2</v>
      </c>
      <c r="BB1381" s="80">
        <v>91</v>
      </c>
      <c r="BC1381" s="80"/>
      <c r="BD1381" s="80"/>
      <c r="BE1381" s="80"/>
      <c r="BF1381" s="80"/>
      <c r="BG1381" s="80"/>
      <c r="BH1381" s="80"/>
      <c r="BI1381" s="80"/>
      <c r="BJ1381" s="3">
        <v>15.9</v>
      </c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29" t="s">
        <v>192</v>
      </c>
      <c r="CJ1381" s="18" t="s">
        <v>548</v>
      </c>
      <c r="CK1381" s="30"/>
    </row>
    <row r="1382" spans="1:89" x14ac:dyDescent="0.25">
      <c r="A1382" s="18" t="s">
        <v>548</v>
      </c>
      <c r="B1382" s="29" t="s">
        <v>191</v>
      </c>
      <c r="C1382" s="29" t="s">
        <v>193</v>
      </c>
      <c r="D1382" s="6">
        <v>11</v>
      </c>
      <c r="E1382" s="6">
        <v>3</v>
      </c>
      <c r="F1382" s="6">
        <v>8</v>
      </c>
      <c r="N1382" s="115">
        <v>2.7989821882951699E-2</v>
      </c>
      <c r="O1382" s="115">
        <v>3.2653061224489799E-2</v>
      </c>
      <c r="P1382" s="115">
        <v>1.4084507042253501E-2</v>
      </c>
      <c r="Q1382" s="115">
        <v>2.5974025974026E-2</v>
      </c>
      <c r="R1382" s="116" t="s">
        <v>83</v>
      </c>
      <c r="S1382" s="115">
        <v>0</v>
      </c>
      <c r="T1382" s="115">
        <v>1.5625E-2</v>
      </c>
      <c r="U1382" s="115">
        <v>5.1724137931034503E-2</v>
      </c>
      <c r="V1382" s="115">
        <v>7.1428571428571397E-2</v>
      </c>
      <c r="W1382" s="6">
        <v>370</v>
      </c>
      <c r="X1382" s="40">
        <f t="shared" si="98"/>
        <v>232</v>
      </c>
      <c r="Y1382" s="40">
        <f t="shared" si="99"/>
        <v>370</v>
      </c>
      <c r="Z1382" s="59">
        <v>0.53243243243243243</v>
      </c>
      <c r="AA1382" s="59">
        <v>0.46756756756756757</v>
      </c>
      <c r="AB1382" s="61">
        <v>0</v>
      </c>
      <c r="AC1382" s="61">
        <v>0</v>
      </c>
      <c r="AD1382" s="61">
        <v>0.28378378378378377</v>
      </c>
      <c r="AE1382" s="61">
        <v>5.4054054054054057E-3</v>
      </c>
      <c r="AF1382" s="61">
        <v>0</v>
      </c>
      <c r="AG1382" s="61">
        <v>0.70270270270270274</v>
      </c>
      <c r="AH1382" s="61">
        <v>8.1081081081081086E-3</v>
      </c>
      <c r="AI1382" s="61">
        <v>0.29729729729729731</v>
      </c>
      <c r="AJ1382" s="59">
        <v>0.52702702702702697</v>
      </c>
      <c r="AK1382" s="59">
        <v>0</v>
      </c>
      <c r="AL1382" s="4">
        <v>69</v>
      </c>
      <c r="AM1382" s="4">
        <v>69</v>
      </c>
      <c r="AN1382" s="4">
        <v>0</v>
      </c>
      <c r="AO1382" s="4">
        <v>66</v>
      </c>
      <c r="AP1382" s="4">
        <v>59</v>
      </c>
      <c r="AQ1382" s="4">
        <v>56</v>
      </c>
      <c r="AR1382" s="4">
        <v>51</v>
      </c>
      <c r="AS1382" s="59">
        <v>0</v>
      </c>
      <c r="AT1382" s="3">
        <v>7</v>
      </c>
      <c r="AU1382" s="3">
        <v>1</v>
      </c>
      <c r="AV1382" s="49">
        <v>52.892561983471097</v>
      </c>
      <c r="AW1382" s="49">
        <v>46.280991735537199</v>
      </c>
      <c r="AX1382" s="49">
        <v>0.82644628099173612</v>
      </c>
      <c r="AY1382" s="67">
        <v>0</v>
      </c>
      <c r="AZ1382" s="63">
        <v>0</v>
      </c>
      <c r="BA1382" s="63">
        <v>9.0206185567010294E-2</v>
      </c>
      <c r="BB1382" s="79">
        <v>93.8</v>
      </c>
      <c r="BC1382" s="79"/>
      <c r="BD1382" s="79"/>
      <c r="BE1382" s="79"/>
      <c r="BF1382" s="79"/>
      <c r="BG1382" s="79"/>
      <c r="BH1382" s="79"/>
      <c r="BI1382" s="79"/>
      <c r="BJ1382" s="3">
        <v>19.2</v>
      </c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29" t="s">
        <v>193</v>
      </c>
      <c r="CJ1382" s="18" t="s">
        <v>548</v>
      </c>
      <c r="CK1382" s="28" t="s">
        <v>193</v>
      </c>
    </row>
    <row r="1383" spans="1:89" x14ac:dyDescent="0.25">
      <c r="A1383" s="18" t="s">
        <v>548</v>
      </c>
      <c r="B1383" s="29" t="s">
        <v>194</v>
      </c>
      <c r="C1383" s="29" t="s">
        <v>195</v>
      </c>
      <c r="D1383" s="6">
        <v>4</v>
      </c>
      <c r="E1383" s="6">
        <v>0</v>
      </c>
      <c r="F1383" s="6">
        <v>4</v>
      </c>
      <c r="N1383" s="115">
        <v>1.0928961748633901E-2</v>
      </c>
      <c r="O1383" s="115">
        <v>1.7391304347826101E-2</v>
      </c>
      <c r="P1383" s="115">
        <v>0</v>
      </c>
      <c r="Q1383" s="115">
        <v>0</v>
      </c>
      <c r="R1383" s="115">
        <v>0</v>
      </c>
      <c r="S1383" s="115">
        <v>3.7037037037037E-2</v>
      </c>
      <c r="T1383" s="115">
        <v>1.58730158730159E-2</v>
      </c>
      <c r="U1383" s="115">
        <v>2.27272727272727E-2</v>
      </c>
      <c r="V1383" s="115">
        <v>0</v>
      </c>
      <c r="W1383" s="6">
        <v>463</v>
      </c>
      <c r="X1383" s="40">
        <f t="shared" si="98"/>
        <v>214</v>
      </c>
      <c r="Y1383" s="40">
        <f t="shared" si="99"/>
        <v>335</v>
      </c>
      <c r="Z1383" s="59">
        <v>0.48812095032397407</v>
      </c>
      <c r="AA1383" s="59">
        <v>0.51187904967602593</v>
      </c>
      <c r="AB1383" s="61">
        <v>4.3196544276457886E-3</v>
      </c>
      <c r="AC1383" s="61">
        <v>8.6393088552915772E-3</v>
      </c>
      <c r="AD1383" s="61">
        <v>0.18142548596112312</v>
      </c>
      <c r="AE1383" s="61">
        <v>4.5356371490280781E-2</v>
      </c>
      <c r="AF1383" s="61">
        <v>0</v>
      </c>
      <c r="AG1383" s="61">
        <v>0.74730021598272134</v>
      </c>
      <c r="AH1383" s="61">
        <v>1.2958963282937365E-2</v>
      </c>
      <c r="AI1383" s="61">
        <v>0.25269978401727861</v>
      </c>
      <c r="AJ1383" s="59">
        <v>0.52915766738660908</v>
      </c>
      <c r="AK1383" s="59">
        <v>1.079913606911447E-2</v>
      </c>
      <c r="AL1383" s="4">
        <v>55</v>
      </c>
      <c r="AM1383" s="4">
        <v>66</v>
      </c>
      <c r="AN1383" s="4">
        <v>14</v>
      </c>
      <c r="AO1383" s="4">
        <v>46</v>
      </c>
      <c r="AP1383" s="4">
        <v>60</v>
      </c>
      <c r="AQ1383" s="4">
        <v>41</v>
      </c>
      <c r="AR1383" s="4">
        <v>53</v>
      </c>
      <c r="AS1383" s="59">
        <v>0.23333333333333334</v>
      </c>
      <c r="AT1383" s="3">
        <v>5</v>
      </c>
      <c r="AU1383" s="3">
        <v>6</v>
      </c>
      <c r="AV1383" s="49">
        <v>70.612244897959201</v>
      </c>
      <c r="AW1383" s="49">
        <v>22.040816326530599</v>
      </c>
      <c r="AX1383" s="49">
        <v>4.8979591836734695</v>
      </c>
      <c r="AY1383" s="67">
        <v>2.4489795918367299</v>
      </c>
      <c r="AZ1383" s="63">
        <v>5.97609561752988E-2</v>
      </c>
      <c r="BA1383" s="63">
        <v>0.14541832669322699</v>
      </c>
      <c r="BB1383" s="80">
        <v>93.6</v>
      </c>
      <c r="BC1383" s="80"/>
      <c r="BD1383" s="80"/>
      <c r="BE1383" s="80"/>
      <c r="BF1383" s="80"/>
      <c r="BG1383" s="80"/>
      <c r="BH1383" s="80"/>
      <c r="BI1383" s="80"/>
      <c r="BJ1383" s="3">
        <v>19.600000000000001</v>
      </c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29" t="s">
        <v>195</v>
      </c>
      <c r="CJ1383" s="18" t="s">
        <v>548</v>
      </c>
      <c r="CK1383" s="30"/>
    </row>
    <row r="1384" spans="1:89" x14ac:dyDescent="0.25">
      <c r="A1384" s="18" t="s">
        <v>548</v>
      </c>
      <c r="B1384" s="29" t="s">
        <v>194</v>
      </c>
      <c r="C1384" s="29" t="s">
        <v>196</v>
      </c>
      <c r="D1384" s="6">
        <v>10</v>
      </c>
      <c r="E1384" s="6">
        <v>2</v>
      </c>
      <c r="F1384" s="6">
        <v>8</v>
      </c>
      <c r="N1384" s="115">
        <v>1.4598540145985399E-2</v>
      </c>
      <c r="O1384" s="115">
        <v>1.72043010752688E-2</v>
      </c>
      <c r="P1384" s="115">
        <v>0</v>
      </c>
      <c r="Q1384" s="115">
        <v>1.72413793103448E-2</v>
      </c>
      <c r="R1384" s="116" t="s">
        <v>83</v>
      </c>
      <c r="S1384" s="115">
        <v>2.8776978417266199E-2</v>
      </c>
      <c r="T1384" s="115">
        <v>1.6E-2</v>
      </c>
      <c r="U1384" s="115">
        <v>1.85185185185185E-2</v>
      </c>
      <c r="V1384" s="115">
        <v>0</v>
      </c>
      <c r="W1384" s="6">
        <v>837</v>
      </c>
      <c r="X1384" s="40">
        <f t="shared" si="98"/>
        <v>445</v>
      </c>
      <c r="Y1384" s="40">
        <f t="shared" si="99"/>
        <v>647</v>
      </c>
      <c r="Z1384" s="59">
        <v>0.50418160095579445</v>
      </c>
      <c r="AA1384" s="59">
        <v>0.49581839904420549</v>
      </c>
      <c r="AB1384" s="61">
        <v>1.1947431302270011E-3</v>
      </c>
      <c r="AC1384" s="61">
        <v>2.3894862604540022E-3</v>
      </c>
      <c r="AD1384" s="61">
        <v>0.4038231780167264</v>
      </c>
      <c r="AE1384" s="61">
        <v>5.9737156511350063E-3</v>
      </c>
      <c r="AF1384" s="61">
        <v>0</v>
      </c>
      <c r="AG1384" s="61">
        <v>0.53643966547192357</v>
      </c>
      <c r="AH1384" s="61">
        <v>5.0179211469534052E-2</v>
      </c>
      <c r="AI1384" s="61">
        <v>0.46356033452807649</v>
      </c>
      <c r="AJ1384" s="59">
        <v>0.7084826762246117</v>
      </c>
      <c r="AK1384" s="59">
        <v>1.1947431302270011E-3</v>
      </c>
      <c r="AL1384" s="4">
        <v>96</v>
      </c>
      <c r="AM1384" s="4">
        <v>106</v>
      </c>
      <c r="AN1384" s="4">
        <v>0</v>
      </c>
      <c r="AO1384" s="4">
        <v>134</v>
      </c>
      <c r="AP1384" s="4">
        <v>121</v>
      </c>
      <c r="AQ1384" s="4">
        <v>105</v>
      </c>
      <c r="AR1384" s="4">
        <v>85</v>
      </c>
      <c r="AS1384" s="59">
        <v>0</v>
      </c>
      <c r="AT1384" s="3">
        <v>5</v>
      </c>
      <c r="AU1384" s="3">
        <v>6</v>
      </c>
      <c r="AV1384" s="49">
        <v>65.586034912718205</v>
      </c>
      <c r="AW1384" s="49">
        <v>22.194513715710702</v>
      </c>
      <c r="AX1384" s="49">
        <v>11.471321695760601</v>
      </c>
      <c r="AY1384" s="67">
        <v>0.74812967581047396</v>
      </c>
      <c r="AZ1384" s="63">
        <v>0.27659574468085102</v>
      </c>
      <c r="BA1384" s="63">
        <v>4.7032474804031402E-2</v>
      </c>
      <c r="BB1384" s="79">
        <v>92.4</v>
      </c>
      <c r="BC1384" s="79"/>
      <c r="BD1384" s="79"/>
      <c r="BE1384" s="79"/>
      <c r="BF1384" s="79"/>
      <c r="BG1384" s="79"/>
      <c r="BH1384" s="79"/>
      <c r="BI1384" s="79"/>
      <c r="BJ1384" s="3">
        <v>17.5</v>
      </c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29" t="s">
        <v>196</v>
      </c>
      <c r="CJ1384" s="18" t="s">
        <v>548</v>
      </c>
      <c r="CK1384" s="30"/>
    </row>
    <row r="1385" spans="1:89" x14ac:dyDescent="0.25">
      <c r="A1385" s="18" t="s">
        <v>548</v>
      </c>
      <c r="B1385" s="29" t="s">
        <v>194</v>
      </c>
      <c r="C1385" s="29" t="s">
        <v>197</v>
      </c>
      <c r="D1385" s="6">
        <v>20</v>
      </c>
      <c r="E1385" s="40" t="s">
        <v>83</v>
      </c>
      <c r="F1385" s="6">
        <v>20</v>
      </c>
      <c r="N1385" s="115">
        <v>4.4052863436123399E-2</v>
      </c>
      <c r="O1385" s="115">
        <v>4.4052863436123399E-2</v>
      </c>
      <c r="P1385" s="116" t="s">
        <v>83</v>
      </c>
      <c r="Q1385" s="116" t="s">
        <v>83</v>
      </c>
      <c r="R1385" s="115">
        <v>0</v>
      </c>
      <c r="S1385" s="115">
        <v>5.7377049180327898E-2</v>
      </c>
      <c r="T1385" s="115">
        <v>4.0983606557376998E-2</v>
      </c>
      <c r="U1385" s="115">
        <v>5.7471264367816098E-2</v>
      </c>
      <c r="V1385" s="115">
        <v>3.09278350515464E-2</v>
      </c>
      <c r="W1385" s="6">
        <v>765</v>
      </c>
      <c r="X1385" s="40">
        <f t="shared" si="98"/>
        <v>428</v>
      </c>
      <c r="Y1385" s="40">
        <f t="shared" si="99"/>
        <v>428</v>
      </c>
      <c r="Z1385" s="59">
        <v>0.48496732026143791</v>
      </c>
      <c r="AA1385" s="59">
        <v>0.51503267973856204</v>
      </c>
      <c r="AB1385" s="61">
        <v>2.6143790849673201E-3</v>
      </c>
      <c r="AC1385" s="61">
        <v>0</v>
      </c>
      <c r="AD1385" s="61">
        <v>0.10588235294117647</v>
      </c>
      <c r="AE1385" s="61">
        <v>9.1503267973856214E-3</v>
      </c>
      <c r="AF1385" s="61">
        <v>1.30718954248366E-3</v>
      </c>
      <c r="AG1385" s="61">
        <v>0.8666666666666667</v>
      </c>
      <c r="AH1385" s="61">
        <v>1.4379084967320261E-2</v>
      </c>
      <c r="AI1385" s="61">
        <v>0.13333333333333333</v>
      </c>
      <c r="AJ1385" s="59">
        <v>0.5934640522875817</v>
      </c>
      <c r="AK1385" s="59">
        <v>0</v>
      </c>
      <c r="AL1385" s="4">
        <v>0</v>
      </c>
      <c r="AM1385" s="4">
        <v>0</v>
      </c>
      <c r="AN1385" s="4">
        <v>2</v>
      </c>
      <c r="AO1385" s="4">
        <v>133</v>
      </c>
      <c r="AP1385" s="4">
        <v>115</v>
      </c>
      <c r="AQ1385" s="4">
        <v>81</v>
      </c>
      <c r="AR1385" s="4">
        <v>97</v>
      </c>
      <c r="AS1385" s="59">
        <v>1.4814814814814815E-2</v>
      </c>
      <c r="AT1385" s="3">
        <v>9</v>
      </c>
      <c r="AU1385" s="3">
        <v>6</v>
      </c>
      <c r="AV1385" s="49">
        <v>66.176470588235304</v>
      </c>
      <c r="AW1385" s="49">
        <v>23.161764705882401</v>
      </c>
      <c r="AX1385" s="49">
        <v>9.5588235294117592</v>
      </c>
      <c r="AY1385" s="67">
        <v>1.1029411764705901</v>
      </c>
      <c r="AZ1385" s="63">
        <v>0.128834355828221</v>
      </c>
      <c r="BA1385" s="63">
        <v>5.2760736196318998E-2</v>
      </c>
      <c r="BB1385" s="80">
        <v>93.4</v>
      </c>
      <c r="BC1385" s="80"/>
      <c r="BD1385" s="80"/>
      <c r="BE1385" s="80"/>
      <c r="BF1385" s="80"/>
      <c r="BG1385" s="80"/>
      <c r="BH1385" s="80"/>
      <c r="BI1385" s="80"/>
      <c r="BJ1385" s="3">
        <v>18.7</v>
      </c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29" t="s">
        <v>197</v>
      </c>
      <c r="CJ1385" s="18" t="s">
        <v>548</v>
      </c>
      <c r="CK1385" s="30"/>
    </row>
    <row r="1386" spans="1:89" x14ac:dyDescent="0.25">
      <c r="A1386" s="18" t="s">
        <v>548</v>
      </c>
      <c r="B1386" s="29" t="s">
        <v>194</v>
      </c>
      <c r="C1386" s="29" t="s">
        <v>198</v>
      </c>
      <c r="D1386" s="6">
        <v>14</v>
      </c>
      <c r="E1386" s="6">
        <v>1</v>
      </c>
      <c r="F1386" s="6">
        <v>13</v>
      </c>
      <c r="N1386" s="115">
        <v>2.02020202020202E-2</v>
      </c>
      <c r="O1386" s="115">
        <v>2.7777777777777801E-2</v>
      </c>
      <c r="P1386" s="115">
        <v>0</v>
      </c>
      <c r="Q1386" s="115">
        <v>8.8495575221238902E-3</v>
      </c>
      <c r="R1386" s="115">
        <v>0</v>
      </c>
      <c r="S1386" s="115">
        <v>7.1428571428571397E-2</v>
      </c>
      <c r="T1386" s="115">
        <v>8.1967213114754103E-3</v>
      </c>
      <c r="U1386" s="115">
        <v>0.04</v>
      </c>
      <c r="V1386" s="115">
        <v>0</v>
      </c>
      <c r="W1386" s="6">
        <v>719</v>
      </c>
      <c r="X1386" s="40">
        <f t="shared" si="98"/>
        <v>422</v>
      </c>
      <c r="Y1386" s="40">
        <f t="shared" si="99"/>
        <v>629</v>
      </c>
      <c r="Z1386" s="59">
        <v>0.47844228094575797</v>
      </c>
      <c r="AA1386" s="59">
        <v>0.52155771905424197</v>
      </c>
      <c r="AB1386" s="61">
        <v>0</v>
      </c>
      <c r="AC1386" s="61">
        <v>1.2517385257301807E-2</v>
      </c>
      <c r="AD1386" s="61">
        <v>0.66203059805285114</v>
      </c>
      <c r="AE1386" s="61">
        <v>1.3908205841446454E-2</v>
      </c>
      <c r="AF1386" s="61">
        <v>0</v>
      </c>
      <c r="AG1386" s="61">
        <v>0.29902642559109877</v>
      </c>
      <c r="AH1386" s="61">
        <v>1.2517385257301807E-2</v>
      </c>
      <c r="AI1386" s="61">
        <v>0.70097357440890129</v>
      </c>
      <c r="AJ1386" s="59">
        <v>0.79694019471488176</v>
      </c>
      <c r="AK1386" s="59">
        <v>0</v>
      </c>
      <c r="AL1386" s="4">
        <v>105</v>
      </c>
      <c r="AM1386" s="4">
        <v>102</v>
      </c>
      <c r="AN1386" s="4">
        <v>32</v>
      </c>
      <c r="AO1386" s="4">
        <v>97</v>
      </c>
      <c r="AP1386" s="4">
        <v>109</v>
      </c>
      <c r="AQ1386" s="4">
        <v>90</v>
      </c>
      <c r="AR1386" s="4">
        <v>94</v>
      </c>
      <c r="AS1386" s="59">
        <v>0.24806201550387597</v>
      </c>
      <c r="AT1386" s="3">
        <v>6</v>
      </c>
      <c r="AU1386" s="3">
        <v>6</v>
      </c>
      <c r="AV1386" s="49">
        <v>65.875370919881306</v>
      </c>
      <c r="AW1386" s="49">
        <v>24.9258160237389</v>
      </c>
      <c r="AX1386" s="49">
        <v>8.3086053412462899</v>
      </c>
      <c r="AY1386" s="67">
        <v>0.89020771513353103</v>
      </c>
      <c r="AZ1386" s="63">
        <v>0.29648241206030201</v>
      </c>
      <c r="BA1386" s="63">
        <v>0.17211055276381901</v>
      </c>
      <c r="BB1386" s="79">
        <v>92.6</v>
      </c>
      <c r="BC1386" s="79"/>
      <c r="BD1386" s="79"/>
      <c r="BE1386" s="79"/>
      <c r="BF1386" s="79"/>
      <c r="BG1386" s="79"/>
      <c r="BH1386" s="79"/>
      <c r="BI1386" s="79"/>
      <c r="BJ1386" s="3">
        <v>17.600000000000001</v>
      </c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29" t="s">
        <v>198</v>
      </c>
      <c r="CJ1386" s="18" t="s">
        <v>548</v>
      </c>
      <c r="CK1386" s="30"/>
    </row>
    <row r="1387" spans="1:89" x14ac:dyDescent="0.25">
      <c r="A1387" s="18" t="s">
        <v>548</v>
      </c>
      <c r="B1387" s="29" t="s">
        <v>199</v>
      </c>
      <c r="C1387" s="29" t="s">
        <v>200</v>
      </c>
      <c r="D1387" s="6">
        <v>10</v>
      </c>
      <c r="E1387" s="40" t="s">
        <v>83</v>
      </c>
      <c r="F1387" s="6">
        <v>10</v>
      </c>
      <c r="N1387" s="115">
        <v>1.1198208286674101E-2</v>
      </c>
      <c r="O1387" s="115">
        <v>1.1198208286674101E-2</v>
      </c>
      <c r="P1387" s="116" t="s">
        <v>83</v>
      </c>
      <c r="Q1387" s="116" t="s">
        <v>83</v>
      </c>
      <c r="R1387" s="116" t="s">
        <v>83</v>
      </c>
      <c r="S1387" s="115">
        <v>7.2992700729926996E-3</v>
      </c>
      <c r="T1387" s="115">
        <v>1.3824884792626699E-2</v>
      </c>
      <c r="U1387" s="115">
        <v>9.5238095238095195E-3</v>
      </c>
      <c r="V1387" s="115">
        <v>1.5625E-2</v>
      </c>
      <c r="W1387" s="6">
        <v>776</v>
      </c>
      <c r="X1387" s="40">
        <f t="shared" si="98"/>
        <v>776</v>
      </c>
      <c r="Y1387" s="40">
        <f t="shared" si="99"/>
        <v>776</v>
      </c>
      <c r="Z1387" s="59">
        <v>0.52190721649484539</v>
      </c>
      <c r="AA1387" s="59">
        <v>0.47809278350515466</v>
      </c>
      <c r="AB1387" s="61">
        <v>1.288659793814433E-3</v>
      </c>
      <c r="AC1387" s="61">
        <v>5.1546391752577319E-3</v>
      </c>
      <c r="AD1387" s="61">
        <v>0.50644329896907214</v>
      </c>
      <c r="AE1387" s="61">
        <v>1.2886597938144329E-2</v>
      </c>
      <c r="AF1387" s="61">
        <v>0</v>
      </c>
      <c r="AG1387" s="61">
        <v>0.46262886597938147</v>
      </c>
      <c r="AH1387" s="61">
        <v>1.1597938144329897E-2</v>
      </c>
      <c r="AI1387" s="61">
        <v>0.53737113402061853</v>
      </c>
      <c r="AJ1387" s="59">
        <v>0.78350515463917525</v>
      </c>
      <c r="AK1387" s="59">
        <v>1.288659793814433E-3</v>
      </c>
      <c r="AL1387" s="4">
        <v>0</v>
      </c>
      <c r="AM1387" s="4">
        <v>0</v>
      </c>
      <c r="AN1387" s="4">
        <v>0</v>
      </c>
      <c r="AO1387" s="4">
        <v>228</v>
      </c>
      <c r="AP1387" s="4">
        <v>188</v>
      </c>
      <c r="AQ1387" s="4">
        <v>191</v>
      </c>
      <c r="AR1387" s="4">
        <v>169</v>
      </c>
      <c r="AS1387" s="59">
        <v>0</v>
      </c>
      <c r="AT1387" s="3">
        <v>9</v>
      </c>
      <c r="AU1387" s="3">
        <v>6</v>
      </c>
      <c r="AV1387" s="49">
        <v>70.270270270270302</v>
      </c>
      <c r="AW1387" s="49">
        <v>27.027027027027</v>
      </c>
      <c r="AX1387" s="49">
        <v>1.35135135135135</v>
      </c>
      <c r="AY1387" s="67">
        <v>1.35135135135135</v>
      </c>
      <c r="AZ1387" s="63">
        <v>0.200676437429538</v>
      </c>
      <c r="BA1387" s="63">
        <v>3.6076662908680897E-2</v>
      </c>
      <c r="BB1387" s="80">
        <v>89.1</v>
      </c>
      <c r="BC1387" s="80"/>
      <c r="BD1387" s="80"/>
      <c r="BE1387" s="80"/>
      <c r="BF1387" s="80"/>
      <c r="BG1387" s="80"/>
      <c r="BH1387" s="80"/>
      <c r="BI1387" s="80"/>
      <c r="BJ1387" s="3">
        <v>17.399999999999999</v>
      </c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29" t="s">
        <v>200</v>
      </c>
      <c r="CJ1387" s="18" t="s">
        <v>548</v>
      </c>
      <c r="CK1387" s="30"/>
    </row>
    <row r="1388" spans="1:89" x14ac:dyDescent="0.25">
      <c r="A1388" s="18" t="s">
        <v>548</v>
      </c>
      <c r="B1388" s="29" t="s">
        <v>201</v>
      </c>
      <c r="C1388" s="29" t="s">
        <v>202</v>
      </c>
      <c r="D1388" s="6">
        <v>0</v>
      </c>
      <c r="E1388" s="6">
        <v>0</v>
      </c>
      <c r="F1388" s="6">
        <v>0</v>
      </c>
      <c r="N1388" s="115">
        <v>0</v>
      </c>
      <c r="O1388" s="115">
        <v>0</v>
      </c>
      <c r="P1388" s="115">
        <v>0</v>
      </c>
      <c r="Q1388" s="115">
        <v>0</v>
      </c>
      <c r="R1388" s="116" t="s">
        <v>83</v>
      </c>
      <c r="S1388" s="115">
        <v>0</v>
      </c>
      <c r="T1388" s="115">
        <v>0</v>
      </c>
      <c r="U1388" s="115">
        <v>0</v>
      </c>
      <c r="V1388" s="115">
        <v>0</v>
      </c>
      <c r="W1388" s="6">
        <v>267</v>
      </c>
      <c r="X1388" s="40">
        <f t="shared" si="98"/>
        <v>89</v>
      </c>
      <c r="Y1388" s="40">
        <f t="shared" si="99"/>
        <v>125</v>
      </c>
      <c r="Z1388" s="59">
        <v>0.49063670411985016</v>
      </c>
      <c r="AA1388" s="59">
        <v>0.50936329588014984</v>
      </c>
      <c r="AB1388" s="61">
        <v>1.1235955056179775E-2</v>
      </c>
      <c r="AC1388" s="61">
        <v>0</v>
      </c>
      <c r="AD1388" s="61">
        <v>0</v>
      </c>
      <c r="AE1388" s="61">
        <v>7.4906367041198503E-3</v>
      </c>
      <c r="AF1388" s="61">
        <v>0</v>
      </c>
      <c r="AG1388" s="61">
        <v>0.97378277153558057</v>
      </c>
      <c r="AH1388" s="61">
        <v>7.4906367041198503E-3</v>
      </c>
      <c r="AI1388" s="61">
        <v>2.6217228464419477E-2</v>
      </c>
      <c r="AJ1388" s="59">
        <v>0.62546816479400746</v>
      </c>
      <c r="AK1388" s="59">
        <v>0</v>
      </c>
      <c r="AL1388" s="4">
        <v>15</v>
      </c>
      <c r="AM1388" s="4">
        <v>21</v>
      </c>
      <c r="AN1388" s="4">
        <v>0</v>
      </c>
      <c r="AO1388" s="4">
        <v>24</v>
      </c>
      <c r="AP1388" s="4">
        <v>23</v>
      </c>
      <c r="AQ1388" s="4">
        <v>23</v>
      </c>
      <c r="AR1388" s="4">
        <v>19</v>
      </c>
      <c r="AS1388" s="59">
        <v>0</v>
      </c>
      <c r="AT1388" s="3">
        <v>1</v>
      </c>
      <c r="AU1388" s="3">
        <v>6</v>
      </c>
      <c r="AV1388" s="49">
        <v>84.117647058823493</v>
      </c>
      <c r="AW1388" s="49">
        <v>14.705882352941199</v>
      </c>
      <c r="AX1388" s="49">
        <v>1.1764705882352899</v>
      </c>
      <c r="AY1388" s="67">
        <v>0</v>
      </c>
      <c r="AZ1388" s="63">
        <v>2.06896551724138E-2</v>
      </c>
      <c r="BA1388" s="63">
        <v>6.8965517241379296E-2</v>
      </c>
      <c r="BB1388" s="79">
        <v>92.5</v>
      </c>
      <c r="BC1388" s="79"/>
      <c r="BD1388" s="79"/>
      <c r="BE1388" s="79"/>
      <c r="BF1388" s="79"/>
      <c r="BG1388" s="79"/>
      <c r="BH1388" s="79"/>
      <c r="BI1388" s="79"/>
      <c r="BJ1388" s="3">
        <v>16.8</v>
      </c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29" t="s">
        <v>202</v>
      </c>
      <c r="CJ1388" s="18" t="s">
        <v>548</v>
      </c>
      <c r="CK1388" s="30"/>
    </row>
    <row r="1389" spans="1:89" x14ac:dyDescent="0.25">
      <c r="A1389" s="18" t="s">
        <v>548</v>
      </c>
      <c r="B1389" s="29" t="s">
        <v>201</v>
      </c>
      <c r="C1389" s="29" t="s">
        <v>203</v>
      </c>
      <c r="D1389" s="6">
        <v>2</v>
      </c>
      <c r="E1389" s="40" t="s">
        <v>83</v>
      </c>
      <c r="F1389" s="6">
        <v>2</v>
      </c>
      <c r="N1389" s="115">
        <v>2.93685756240822E-3</v>
      </c>
      <c r="O1389" s="115">
        <v>2.93685756240822E-3</v>
      </c>
      <c r="P1389" s="116" t="s">
        <v>83</v>
      </c>
      <c r="Q1389" s="116" t="s">
        <v>83</v>
      </c>
      <c r="R1389" s="115">
        <v>0</v>
      </c>
      <c r="S1389" s="115">
        <v>5.2083333333333296E-3</v>
      </c>
      <c r="T1389" s="115">
        <v>0</v>
      </c>
      <c r="U1389" s="115">
        <v>0</v>
      </c>
      <c r="V1389" s="115">
        <v>6.2893081761006301E-3</v>
      </c>
      <c r="W1389" s="6">
        <v>636</v>
      </c>
      <c r="X1389" s="40">
        <f t="shared" si="98"/>
        <v>636</v>
      </c>
      <c r="Y1389" s="40">
        <f t="shared" si="99"/>
        <v>636</v>
      </c>
      <c r="Z1389" s="59">
        <v>0.49685534591194969</v>
      </c>
      <c r="AA1389" s="59">
        <v>0.50314465408805031</v>
      </c>
      <c r="AB1389" s="61">
        <v>3.1446540880503146E-3</v>
      </c>
      <c r="AC1389" s="61">
        <v>3.1446540880503146E-3</v>
      </c>
      <c r="AD1389" s="61">
        <v>0.12106918238993711</v>
      </c>
      <c r="AE1389" s="61">
        <v>1.7295597484276729E-2</v>
      </c>
      <c r="AF1389" s="61">
        <v>0</v>
      </c>
      <c r="AG1389" s="61">
        <v>0.84276729559748431</v>
      </c>
      <c r="AH1389" s="61">
        <v>1.2578616352201259E-2</v>
      </c>
      <c r="AI1389" s="61">
        <v>0.15723270440251572</v>
      </c>
      <c r="AJ1389" s="59">
        <v>0.57704402515723274</v>
      </c>
      <c r="AK1389" s="59">
        <v>0</v>
      </c>
      <c r="AL1389" s="4">
        <v>0</v>
      </c>
      <c r="AM1389" s="4">
        <v>0</v>
      </c>
      <c r="AN1389" s="4">
        <v>15</v>
      </c>
      <c r="AO1389" s="4">
        <v>178</v>
      </c>
      <c r="AP1389" s="4">
        <v>171</v>
      </c>
      <c r="AQ1389" s="4">
        <v>133</v>
      </c>
      <c r="AR1389" s="4">
        <v>139</v>
      </c>
      <c r="AS1389" s="59">
        <v>7.7720207253886009E-2</v>
      </c>
      <c r="AT1389" s="3">
        <v>9</v>
      </c>
      <c r="AU1389" s="3">
        <v>6</v>
      </c>
      <c r="AV1389" s="49">
        <v>79.596412556053792</v>
      </c>
      <c r="AW1389" s="49">
        <v>15.022421524663701</v>
      </c>
      <c r="AX1389" s="49">
        <v>5.3811659192825099</v>
      </c>
      <c r="AY1389" s="67">
        <v>0</v>
      </c>
      <c r="AZ1389" s="63">
        <v>5.43318649045521E-2</v>
      </c>
      <c r="BA1389" s="63">
        <v>3.5242290748898703E-2</v>
      </c>
      <c r="BB1389" s="80">
        <v>92.1</v>
      </c>
      <c r="BC1389" s="80"/>
      <c r="BD1389" s="80"/>
      <c r="BE1389" s="80"/>
      <c r="BF1389" s="80"/>
      <c r="BG1389" s="80"/>
      <c r="BH1389" s="80"/>
      <c r="BI1389" s="80"/>
      <c r="BJ1389" s="3">
        <v>18</v>
      </c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29" t="s">
        <v>203</v>
      </c>
      <c r="CJ1389" s="18" t="s">
        <v>548</v>
      </c>
      <c r="CK1389" s="30"/>
    </row>
    <row r="1390" spans="1:89" x14ac:dyDescent="0.25">
      <c r="A1390" s="18" t="s">
        <v>548</v>
      </c>
      <c r="B1390" s="29" t="s">
        <v>201</v>
      </c>
      <c r="C1390" s="29" t="s">
        <v>204</v>
      </c>
      <c r="D1390" s="6">
        <v>0</v>
      </c>
      <c r="E1390" s="6">
        <v>0</v>
      </c>
      <c r="F1390" s="6">
        <v>0</v>
      </c>
      <c r="N1390" s="115">
        <v>0</v>
      </c>
      <c r="O1390" s="115">
        <v>0</v>
      </c>
      <c r="P1390" s="115">
        <v>0</v>
      </c>
      <c r="Q1390" s="115">
        <v>0</v>
      </c>
      <c r="R1390" s="116" t="s">
        <v>83</v>
      </c>
      <c r="S1390" s="115">
        <v>0</v>
      </c>
      <c r="T1390" s="115">
        <v>0</v>
      </c>
      <c r="U1390" s="115">
        <v>0</v>
      </c>
      <c r="V1390" s="115">
        <v>0</v>
      </c>
      <c r="W1390" s="6">
        <v>189</v>
      </c>
      <c r="X1390" s="40">
        <f t="shared" si="98"/>
        <v>133</v>
      </c>
      <c r="Y1390" s="40">
        <f t="shared" si="99"/>
        <v>189</v>
      </c>
      <c r="Z1390" s="59">
        <v>0.42328042328042326</v>
      </c>
      <c r="AA1390" s="59">
        <v>0.57671957671957674</v>
      </c>
      <c r="AB1390" s="61">
        <v>5.2910052910052907E-3</v>
      </c>
      <c r="AC1390" s="61">
        <v>1.5873015873015872E-2</v>
      </c>
      <c r="AD1390" s="61">
        <v>0.12169312169312169</v>
      </c>
      <c r="AE1390" s="61">
        <v>1.0582010582010581E-2</v>
      </c>
      <c r="AF1390" s="61">
        <v>0</v>
      </c>
      <c r="AG1390" s="61">
        <v>0.83597883597883593</v>
      </c>
      <c r="AH1390" s="61">
        <v>1.0582010582010581E-2</v>
      </c>
      <c r="AI1390" s="61">
        <v>0.16402116402116401</v>
      </c>
      <c r="AJ1390" s="59">
        <v>0.69312169312169314</v>
      </c>
      <c r="AK1390" s="59">
        <v>0</v>
      </c>
      <c r="AL1390" s="4">
        <v>24</v>
      </c>
      <c r="AM1390" s="4">
        <v>32</v>
      </c>
      <c r="AN1390" s="4">
        <v>0</v>
      </c>
      <c r="AO1390" s="4">
        <v>29</v>
      </c>
      <c r="AP1390" s="4">
        <v>42</v>
      </c>
      <c r="AQ1390" s="4">
        <v>26</v>
      </c>
      <c r="AR1390" s="4">
        <v>36</v>
      </c>
      <c r="AS1390" s="59">
        <v>0</v>
      </c>
      <c r="AT1390" s="3">
        <v>7</v>
      </c>
      <c r="AU1390" s="3">
        <v>6</v>
      </c>
      <c r="AV1390" s="49">
        <v>86.516853932584297</v>
      </c>
      <c r="AW1390" s="49">
        <v>9.5505617977528097</v>
      </c>
      <c r="AX1390" s="49">
        <v>3.9325842696629199</v>
      </c>
      <c r="AY1390" s="67">
        <v>0</v>
      </c>
      <c r="AZ1390" s="63">
        <v>0</v>
      </c>
      <c r="BA1390" s="63">
        <v>0.173267326732673</v>
      </c>
      <c r="BB1390" s="79">
        <v>93.1</v>
      </c>
      <c r="BC1390" s="79"/>
      <c r="BD1390" s="79"/>
      <c r="BE1390" s="79"/>
      <c r="BF1390" s="79"/>
      <c r="BG1390" s="79"/>
      <c r="BH1390" s="79"/>
      <c r="BI1390" s="79"/>
      <c r="BJ1390" s="3">
        <v>18.2</v>
      </c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29" t="s">
        <v>204</v>
      </c>
      <c r="CJ1390" s="18" t="s">
        <v>548</v>
      </c>
      <c r="CK1390" s="30"/>
    </row>
    <row r="1391" spans="1:89" x14ac:dyDescent="0.25">
      <c r="A1391" s="18" t="s">
        <v>548</v>
      </c>
      <c r="B1391" s="29" t="s">
        <v>205</v>
      </c>
      <c r="C1391" s="29" t="s">
        <v>206</v>
      </c>
      <c r="D1391" s="6">
        <v>1</v>
      </c>
      <c r="E1391" s="6">
        <v>1</v>
      </c>
      <c r="F1391" s="6">
        <v>0</v>
      </c>
      <c r="N1391" s="115">
        <v>1.9120458891013401E-3</v>
      </c>
      <c r="O1391" s="115">
        <v>0</v>
      </c>
      <c r="P1391" s="115">
        <v>0</v>
      </c>
      <c r="Q1391" s="115">
        <v>1.1111111111111099E-2</v>
      </c>
      <c r="R1391" s="115">
        <v>0</v>
      </c>
      <c r="S1391" s="115">
        <v>0</v>
      </c>
      <c r="T1391" s="115">
        <v>0</v>
      </c>
      <c r="U1391" s="115">
        <v>0</v>
      </c>
      <c r="V1391" s="115">
        <v>0</v>
      </c>
      <c r="W1391" s="6">
        <v>584</v>
      </c>
      <c r="X1391" s="40">
        <f t="shared" si="98"/>
        <v>335</v>
      </c>
      <c r="Y1391" s="40">
        <f t="shared" si="99"/>
        <v>503</v>
      </c>
      <c r="Z1391" s="59">
        <v>0.49143835616438358</v>
      </c>
      <c r="AA1391" s="59">
        <v>0.50856164383561642</v>
      </c>
      <c r="AB1391" s="61">
        <v>1.7123287671232876E-3</v>
      </c>
      <c r="AC1391" s="61">
        <v>3.4246575342465752E-3</v>
      </c>
      <c r="AD1391" s="61">
        <v>9.5890410958904104E-2</v>
      </c>
      <c r="AE1391" s="61">
        <v>6.6780821917808222E-2</v>
      </c>
      <c r="AF1391" s="61">
        <v>0</v>
      </c>
      <c r="AG1391" s="61">
        <v>0.81506849315068497</v>
      </c>
      <c r="AH1391" s="61">
        <v>1.7123287671232876E-2</v>
      </c>
      <c r="AI1391" s="61">
        <v>0.18493150684931506</v>
      </c>
      <c r="AJ1391" s="59">
        <v>0.62157534246575341</v>
      </c>
      <c r="AK1391" s="59">
        <v>1.8835616438356163E-2</v>
      </c>
      <c r="AL1391" s="4">
        <v>80</v>
      </c>
      <c r="AM1391" s="4">
        <v>88</v>
      </c>
      <c r="AN1391" s="4">
        <v>16</v>
      </c>
      <c r="AO1391" s="4">
        <v>87</v>
      </c>
      <c r="AP1391" s="4">
        <v>90</v>
      </c>
      <c r="AQ1391" s="4">
        <v>77</v>
      </c>
      <c r="AR1391" s="4">
        <v>65</v>
      </c>
      <c r="AS1391" s="59">
        <v>0.1553398058252427</v>
      </c>
      <c r="AT1391" s="3">
        <v>6</v>
      </c>
      <c r="AU1391" s="3">
        <v>6</v>
      </c>
      <c r="AV1391" s="49">
        <v>66.193181818181799</v>
      </c>
      <c r="AW1391" s="49">
        <v>19.886363636363598</v>
      </c>
      <c r="AX1391" s="49">
        <v>13.352272727272698</v>
      </c>
      <c r="AY1391" s="67">
        <v>0.56818181818181801</v>
      </c>
      <c r="AZ1391" s="63">
        <v>0.31466227347611198</v>
      </c>
      <c r="BA1391" s="63">
        <v>2.1416803953871501E-2</v>
      </c>
      <c r="BB1391" s="80">
        <v>95.4</v>
      </c>
      <c r="BC1391" s="80"/>
      <c r="BD1391" s="80"/>
      <c r="BE1391" s="80"/>
      <c r="BF1391" s="80"/>
      <c r="BG1391" s="80"/>
      <c r="BH1391" s="80"/>
      <c r="BI1391" s="80"/>
      <c r="BJ1391" s="3">
        <v>19.3</v>
      </c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29" t="s">
        <v>206</v>
      </c>
      <c r="CJ1391" s="18" t="s">
        <v>548</v>
      </c>
      <c r="CK1391" s="30"/>
    </row>
    <row r="1392" spans="1:89" x14ac:dyDescent="0.25">
      <c r="A1392" s="18" t="s">
        <v>548</v>
      </c>
      <c r="B1392" s="29" t="s">
        <v>205</v>
      </c>
      <c r="C1392" s="29" t="s">
        <v>207</v>
      </c>
      <c r="D1392" s="6">
        <v>0</v>
      </c>
      <c r="E1392" s="6">
        <v>0</v>
      </c>
      <c r="F1392" s="6">
        <v>0</v>
      </c>
      <c r="N1392" s="115">
        <v>0</v>
      </c>
      <c r="O1392" s="115">
        <v>0</v>
      </c>
      <c r="P1392" s="115">
        <v>0</v>
      </c>
      <c r="Q1392" s="115">
        <v>0</v>
      </c>
      <c r="R1392" s="115">
        <v>0</v>
      </c>
      <c r="S1392" s="115">
        <v>0</v>
      </c>
      <c r="T1392" s="115">
        <v>0</v>
      </c>
      <c r="U1392" s="115">
        <v>0</v>
      </c>
      <c r="V1392" s="115">
        <v>0</v>
      </c>
      <c r="W1392" s="6">
        <v>409</v>
      </c>
      <c r="X1392" s="40">
        <f t="shared" si="98"/>
        <v>253</v>
      </c>
      <c r="Y1392" s="40">
        <f t="shared" si="99"/>
        <v>409</v>
      </c>
      <c r="Z1392" s="59">
        <v>0.49633251833740832</v>
      </c>
      <c r="AA1392" s="59">
        <v>0.50366748166259168</v>
      </c>
      <c r="AB1392" s="61">
        <v>0</v>
      </c>
      <c r="AC1392" s="61">
        <v>0</v>
      </c>
      <c r="AD1392" s="61">
        <v>0.86063569682151586</v>
      </c>
      <c r="AE1392" s="61">
        <v>1.9559902200488997E-2</v>
      </c>
      <c r="AF1392" s="61">
        <v>0</v>
      </c>
      <c r="AG1392" s="61">
        <v>0.11491442542787286</v>
      </c>
      <c r="AH1392" s="61">
        <v>4.8899755501222494E-3</v>
      </c>
      <c r="AI1392" s="61">
        <v>0.88508557457212711</v>
      </c>
      <c r="AJ1392" s="59">
        <v>0.85819070904645478</v>
      </c>
      <c r="AK1392" s="59">
        <v>1.7114914425427872E-2</v>
      </c>
      <c r="AL1392" s="4">
        <v>80</v>
      </c>
      <c r="AM1392" s="4">
        <v>76</v>
      </c>
      <c r="AN1392" s="4">
        <v>1</v>
      </c>
      <c r="AO1392" s="4">
        <v>61</v>
      </c>
      <c r="AP1392" s="4">
        <v>61</v>
      </c>
      <c r="AQ1392" s="4">
        <v>62</v>
      </c>
      <c r="AR1392" s="4">
        <v>68</v>
      </c>
      <c r="AS1392" s="59">
        <v>1.6129032258064516E-2</v>
      </c>
      <c r="AT1392" s="3">
        <v>7</v>
      </c>
      <c r="AU1392" s="3">
        <v>6</v>
      </c>
      <c r="AV1392" s="49">
        <v>84.307692307692292</v>
      </c>
      <c r="AW1392" s="49">
        <v>13.230769230769198</v>
      </c>
      <c r="AX1392" s="49">
        <v>2.4615384615384603</v>
      </c>
      <c r="AY1392" s="67">
        <v>0</v>
      </c>
      <c r="AZ1392" s="63">
        <v>0.26039387308533901</v>
      </c>
      <c r="BA1392" s="63">
        <v>4.5951859956236303E-2</v>
      </c>
      <c r="BB1392" s="79">
        <v>91.7</v>
      </c>
      <c r="BC1392" s="79"/>
      <c r="BD1392" s="79"/>
      <c r="BE1392" s="79"/>
      <c r="BF1392" s="79"/>
      <c r="BG1392" s="79"/>
      <c r="BH1392" s="79"/>
      <c r="BI1392" s="79"/>
      <c r="BJ1392" s="3">
        <v>16.100000000000001</v>
      </c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29" t="s">
        <v>207</v>
      </c>
      <c r="CJ1392" s="18" t="s">
        <v>548</v>
      </c>
      <c r="CK1392" s="30"/>
    </row>
    <row r="1393" spans="1:89" x14ac:dyDescent="0.25">
      <c r="A1393" s="18" t="s">
        <v>548</v>
      </c>
      <c r="B1393" s="29" t="s">
        <v>205</v>
      </c>
      <c r="C1393" s="29" t="s">
        <v>208</v>
      </c>
      <c r="D1393" s="6">
        <v>4</v>
      </c>
      <c r="E1393" s="6">
        <v>2</v>
      </c>
      <c r="F1393" s="6">
        <v>2</v>
      </c>
      <c r="N1393" s="115">
        <v>7.4349442379182196E-3</v>
      </c>
      <c r="O1393" s="115">
        <v>5.9880239520958096E-3</v>
      </c>
      <c r="P1393" s="115">
        <v>0</v>
      </c>
      <c r="Q1393" s="115">
        <v>2.1978021978022001E-2</v>
      </c>
      <c r="R1393" s="115">
        <v>0.16666666666666699</v>
      </c>
      <c r="S1393" s="115">
        <v>0</v>
      </c>
      <c r="T1393" s="115">
        <v>0</v>
      </c>
      <c r="U1393" s="115">
        <v>0</v>
      </c>
      <c r="V1393" s="115">
        <v>1.2500000000000001E-2</v>
      </c>
      <c r="W1393" s="6">
        <v>510</v>
      </c>
      <c r="X1393" s="40">
        <f t="shared" si="98"/>
        <v>318</v>
      </c>
      <c r="Y1393" s="40">
        <f t="shared" si="99"/>
        <v>510</v>
      </c>
      <c r="Z1393" s="59">
        <v>0.4823529411764706</v>
      </c>
      <c r="AA1393" s="59">
        <v>0.51764705882352946</v>
      </c>
      <c r="AB1393" s="61">
        <v>0</v>
      </c>
      <c r="AC1393" s="61">
        <v>3.9215686274509803E-3</v>
      </c>
      <c r="AD1393" s="61">
        <v>0.19607843137254902</v>
      </c>
      <c r="AE1393" s="61">
        <v>1.3725490196078431E-2</v>
      </c>
      <c r="AF1393" s="61">
        <v>0</v>
      </c>
      <c r="AG1393" s="61">
        <v>0.76666666666666672</v>
      </c>
      <c r="AH1393" s="61">
        <v>1.9607843137254902E-2</v>
      </c>
      <c r="AI1393" s="61">
        <v>0.23333333333333334</v>
      </c>
      <c r="AJ1393" s="59">
        <v>0.41176470588235292</v>
      </c>
      <c r="AK1393" s="59">
        <v>3.9215686274509803E-3</v>
      </c>
      <c r="AL1393" s="4">
        <v>109</v>
      </c>
      <c r="AM1393" s="4">
        <v>83</v>
      </c>
      <c r="AN1393" s="4">
        <v>2</v>
      </c>
      <c r="AO1393" s="4">
        <v>90</v>
      </c>
      <c r="AP1393" s="4">
        <v>76</v>
      </c>
      <c r="AQ1393" s="4">
        <v>80</v>
      </c>
      <c r="AR1393" s="4">
        <v>70</v>
      </c>
      <c r="AS1393" s="59">
        <v>2.1739130434782608E-2</v>
      </c>
      <c r="AT1393" s="3">
        <v>7</v>
      </c>
      <c r="AU1393" s="3">
        <v>6</v>
      </c>
      <c r="AV1393" s="49">
        <v>70.695970695970701</v>
      </c>
      <c r="AW1393" s="49">
        <v>18.6813186813187</v>
      </c>
      <c r="AX1393" s="49">
        <v>10.622710622710601</v>
      </c>
      <c r="AY1393" s="67">
        <v>0</v>
      </c>
      <c r="AZ1393" s="63">
        <v>0.14711359404096799</v>
      </c>
      <c r="BA1393" s="63">
        <v>7.4487895716945996E-3</v>
      </c>
      <c r="BB1393" s="80">
        <v>95.9</v>
      </c>
      <c r="BC1393" s="80"/>
      <c r="BD1393" s="80"/>
      <c r="BE1393" s="80"/>
      <c r="BF1393" s="80"/>
      <c r="BG1393" s="80"/>
      <c r="BH1393" s="80"/>
      <c r="BI1393" s="80"/>
      <c r="BJ1393" s="3">
        <v>19.5</v>
      </c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29" t="s">
        <v>208</v>
      </c>
      <c r="CJ1393" s="18" t="s">
        <v>548</v>
      </c>
      <c r="CK1393" s="30"/>
    </row>
    <row r="1394" spans="1:89" x14ac:dyDescent="0.25">
      <c r="A1394" s="18" t="s">
        <v>548</v>
      </c>
      <c r="B1394" s="29" t="s">
        <v>205</v>
      </c>
      <c r="C1394" s="29" t="s">
        <v>209</v>
      </c>
      <c r="D1394" s="6">
        <v>12</v>
      </c>
      <c r="E1394" s="40" t="s">
        <v>83</v>
      </c>
      <c r="F1394" s="6">
        <v>12</v>
      </c>
      <c r="N1394" s="115">
        <v>1.0517090271691501E-2</v>
      </c>
      <c r="O1394" s="115">
        <v>1.0517090271691501E-2</v>
      </c>
      <c r="P1394" s="116" t="s">
        <v>83</v>
      </c>
      <c r="Q1394" s="116" t="s">
        <v>83</v>
      </c>
      <c r="R1394" s="115">
        <v>0</v>
      </c>
      <c r="S1394" s="115">
        <v>1.18694362017804E-2</v>
      </c>
      <c r="T1394" s="115">
        <v>1.03448275862069E-2</v>
      </c>
      <c r="U1394" s="115">
        <v>4.0000000000000001E-3</v>
      </c>
      <c r="V1394" s="115">
        <v>1.5748031496062999E-2</v>
      </c>
      <c r="W1394" s="6">
        <v>1028</v>
      </c>
      <c r="X1394" s="40">
        <f t="shared" si="98"/>
        <v>1028</v>
      </c>
      <c r="Y1394" s="40">
        <f t="shared" si="99"/>
        <v>1028</v>
      </c>
      <c r="Z1394" s="59">
        <v>0.51556420233463029</v>
      </c>
      <c r="AA1394" s="59">
        <v>0.48443579766536965</v>
      </c>
      <c r="AB1394" s="61">
        <v>9.727626459143969E-4</v>
      </c>
      <c r="AC1394" s="61">
        <v>7.3929961089494164E-2</v>
      </c>
      <c r="AD1394" s="61">
        <v>0.57392996108949412</v>
      </c>
      <c r="AE1394" s="61">
        <v>2.2373540856031129E-2</v>
      </c>
      <c r="AF1394" s="61">
        <v>0</v>
      </c>
      <c r="AG1394" s="61">
        <v>0.31614785992217898</v>
      </c>
      <c r="AH1394" s="61">
        <v>1.264591439688716E-2</v>
      </c>
      <c r="AI1394" s="61">
        <v>0.68385214007782102</v>
      </c>
      <c r="AJ1394" s="59">
        <v>0.76945525291828798</v>
      </c>
      <c r="AK1394" s="59">
        <v>1.264591439688716E-2</v>
      </c>
      <c r="AL1394" s="4">
        <v>0</v>
      </c>
      <c r="AM1394" s="4">
        <v>0</v>
      </c>
      <c r="AN1394" s="4">
        <v>58</v>
      </c>
      <c r="AO1394" s="4">
        <v>243</v>
      </c>
      <c r="AP1394" s="4">
        <v>266</v>
      </c>
      <c r="AQ1394" s="4">
        <v>241</v>
      </c>
      <c r="AR1394" s="4">
        <v>220</v>
      </c>
      <c r="AS1394" s="59">
        <v>0.19269102990033224</v>
      </c>
      <c r="AT1394" s="3">
        <v>9</v>
      </c>
      <c r="AU1394" s="3">
        <v>6</v>
      </c>
      <c r="AV1394" s="49">
        <v>68.150684931506802</v>
      </c>
      <c r="AW1394" s="49">
        <v>19.349315068493201</v>
      </c>
      <c r="AX1394" s="49">
        <v>11.472602739726</v>
      </c>
      <c r="AY1394" s="67">
        <v>1.02739726027397</v>
      </c>
      <c r="AZ1394" s="63">
        <v>0.21308576480990299</v>
      </c>
      <c r="BA1394" s="63">
        <v>1.1494252873563199E-2</v>
      </c>
      <c r="BB1394" s="79">
        <v>91.6</v>
      </c>
      <c r="BC1394" s="79"/>
      <c r="BD1394" s="79"/>
      <c r="BE1394" s="79"/>
      <c r="BF1394" s="79"/>
      <c r="BG1394" s="79"/>
      <c r="BH1394" s="79"/>
      <c r="BI1394" s="79"/>
      <c r="BJ1394" s="3">
        <v>16.8</v>
      </c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29" t="s">
        <v>209</v>
      </c>
      <c r="CJ1394" s="18" t="s">
        <v>548</v>
      </c>
      <c r="CK1394" s="30"/>
    </row>
    <row r="1395" spans="1:89" x14ac:dyDescent="0.25">
      <c r="A1395" s="18" t="s">
        <v>548</v>
      </c>
      <c r="B1395" s="29" t="s">
        <v>205</v>
      </c>
      <c r="C1395" s="29" t="s">
        <v>210</v>
      </c>
      <c r="D1395" s="6">
        <v>10</v>
      </c>
      <c r="E1395" s="40" t="s">
        <v>83</v>
      </c>
      <c r="F1395" s="6">
        <v>10</v>
      </c>
      <c r="N1395" s="115">
        <v>5.9880239520958096E-3</v>
      </c>
      <c r="O1395" s="115">
        <v>5.9880239520958096E-3</v>
      </c>
      <c r="P1395" s="116" t="s">
        <v>83</v>
      </c>
      <c r="Q1395" s="116" t="s">
        <v>83</v>
      </c>
      <c r="R1395" s="115">
        <v>1.0989010989011E-2</v>
      </c>
      <c r="S1395" s="115">
        <v>5.60224089635854E-3</v>
      </c>
      <c r="T1395" s="115">
        <v>4.6620046620046603E-3</v>
      </c>
      <c r="U1395" s="115">
        <v>5.3333333333333297E-3</v>
      </c>
      <c r="V1395" s="115">
        <v>7.1770334928229701E-3</v>
      </c>
      <c r="W1395" s="6">
        <v>1566</v>
      </c>
      <c r="X1395" s="40">
        <f t="shared" si="98"/>
        <v>1566</v>
      </c>
      <c r="Y1395" s="40">
        <f t="shared" si="99"/>
        <v>1566</v>
      </c>
      <c r="Z1395" s="59">
        <v>0.48403575989782888</v>
      </c>
      <c r="AA1395" s="59">
        <v>0.51596424010217112</v>
      </c>
      <c r="AB1395" s="61">
        <v>2.554278416347382E-3</v>
      </c>
      <c r="AC1395" s="61">
        <v>2.2349936143039591E-2</v>
      </c>
      <c r="AD1395" s="61">
        <v>0.37484035759897827</v>
      </c>
      <c r="AE1395" s="61">
        <v>7.4712643678160925E-2</v>
      </c>
      <c r="AF1395" s="61">
        <v>6.3856960408684551E-4</v>
      </c>
      <c r="AG1395" s="61">
        <v>0.50957854406130265</v>
      </c>
      <c r="AH1395" s="61">
        <v>1.532567049808429E-2</v>
      </c>
      <c r="AI1395" s="61">
        <v>0.49042145593869729</v>
      </c>
      <c r="AJ1395" s="59">
        <v>0.62260536398467436</v>
      </c>
      <c r="AK1395" s="59">
        <v>2.681992337164751E-2</v>
      </c>
      <c r="AL1395" s="4">
        <v>0</v>
      </c>
      <c r="AM1395" s="4">
        <v>0</v>
      </c>
      <c r="AN1395" s="4">
        <v>85</v>
      </c>
      <c r="AO1395" s="4">
        <v>335</v>
      </c>
      <c r="AP1395" s="4">
        <v>413</v>
      </c>
      <c r="AQ1395" s="4">
        <v>355</v>
      </c>
      <c r="AR1395" s="4">
        <v>378</v>
      </c>
      <c r="AS1395" s="59">
        <v>0.20238095238095238</v>
      </c>
      <c r="AT1395" s="3">
        <v>9</v>
      </c>
      <c r="AU1395" s="3">
        <v>6</v>
      </c>
      <c r="AV1395" s="49">
        <v>62.805662805662799</v>
      </c>
      <c r="AW1395" s="49">
        <v>25.482625482625497</v>
      </c>
      <c r="AX1395" s="49">
        <v>11.1969111969112</v>
      </c>
      <c r="AY1395" s="67">
        <v>0.51480051480051492</v>
      </c>
      <c r="AZ1395" s="63">
        <v>0.25359712230215797</v>
      </c>
      <c r="BA1395" s="63">
        <v>1.4388489208633099E-2</v>
      </c>
      <c r="BB1395" s="80">
        <v>91.5</v>
      </c>
      <c r="BC1395" s="80"/>
      <c r="BD1395" s="80"/>
      <c r="BE1395" s="80"/>
      <c r="BF1395" s="80"/>
      <c r="BG1395" s="80"/>
      <c r="BH1395" s="80"/>
      <c r="BI1395" s="80"/>
      <c r="BJ1395" s="3">
        <v>18.899999999999999</v>
      </c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29" t="s">
        <v>210</v>
      </c>
      <c r="CJ1395" s="18" t="s">
        <v>548</v>
      </c>
      <c r="CK1395" s="30"/>
    </row>
    <row r="1396" spans="1:89" x14ac:dyDescent="0.25">
      <c r="A1396" s="18" t="s">
        <v>548</v>
      </c>
      <c r="B1396" s="29" t="s">
        <v>211</v>
      </c>
      <c r="C1396" s="29" t="s">
        <v>212</v>
      </c>
      <c r="D1396" s="6">
        <v>33</v>
      </c>
      <c r="E1396" s="6">
        <v>8</v>
      </c>
      <c r="F1396" s="6">
        <v>25</v>
      </c>
      <c r="N1396" s="115">
        <v>2.1739130434782601E-2</v>
      </c>
      <c r="O1396" s="115">
        <v>2.51762336354481E-2</v>
      </c>
      <c r="P1396" s="115">
        <v>0</v>
      </c>
      <c r="Q1396" s="115">
        <v>2.7118644067796599E-2</v>
      </c>
      <c r="R1396" s="115">
        <v>1.8181818181818198E-2</v>
      </c>
      <c r="S1396" s="115">
        <v>2.9126213592233E-2</v>
      </c>
      <c r="T1396" s="115">
        <v>3.2110091743119303E-2</v>
      </c>
      <c r="U1396" s="115">
        <v>2.1052631578947399E-2</v>
      </c>
      <c r="V1396" s="115">
        <v>2.2304832713754601E-2</v>
      </c>
      <c r="W1396" s="6">
        <v>1447</v>
      </c>
      <c r="X1396" s="40">
        <f t="shared" si="98"/>
        <v>948</v>
      </c>
      <c r="Y1396" s="40">
        <f t="shared" si="99"/>
        <v>1447</v>
      </c>
      <c r="Z1396" s="59">
        <v>0.47270214236351071</v>
      </c>
      <c r="AA1396" s="59">
        <v>0.52729785763648929</v>
      </c>
      <c r="AB1396" s="61">
        <v>1.38217000691085E-3</v>
      </c>
      <c r="AC1396" s="61">
        <v>5.5286800276433999E-3</v>
      </c>
      <c r="AD1396" s="61">
        <v>0.60055286800276431</v>
      </c>
      <c r="AE1396" s="61">
        <v>2.5570145127850726E-2</v>
      </c>
      <c r="AF1396" s="61">
        <v>0</v>
      </c>
      <c r="AG1396" s="61">
        <v>0.36281962681409813</v>
      </c>
      <c r="AH1396" s="61">
        <v>4.1465100207325502E-3</v>
      </c>
      <c r="AI1396" s="61">
        <v>0.63718037318590182</v>
      </c>
      <c r="AJ1396" s="59">
        <v>0.71941948859709748</v>
      </c>
      <c r="AK1396" s="59">
        <v>9.675190048375951E-3</v>
      </c>
      <c r="AL1396" s="4">
        <v>221</v>
      </c>
      <c r="AM1396" s="4">
        <v>278</v>
      </c>
      <c r="AN1396" s="4">
        <v>109</v>
      </c>
      <c r="AO1396" s="4">
        <v>194</v>
      </c>
      <c r="AP1396" s="4">
        <v>208</v>
      </c>
      <c r="AQ1396" s="4">
        <v>200</v>
      </c>
      <c r="AR1396" s="4">
        <v>237</v>
      </c>
      <c r="AS1396" s="59">
        <v>0.35973597359735976</v>
      </c>
      <c r="AT1396" s="3">
        <v>7</v>
      </c>
      <c r="AU1396" s="3">
        <v>6</v>
      </c>
      <c r="AV1396" s="49">
        <v>79.287598944590997</v>
      </c>
      <c r="AW1396" s="49">
        <v>15.831134564643801</v>
      </c>
      <c r="AX1396" s="49">
        <v>4.3535620052770501</v>
      </c>
      <c r="AY1396" s="67">
        <v>0.52770448548812698</v>
      </c>
      <c r="AZ1396" s="63">
        <v>0.24082721814543001</v>
      </c>
      <c r="BA1396" s="63">
        <v>0.15010006671114101</v>
      </c>
      <c r="BB1396" s="79">
        <v>93.1</v>
      </c>
      <c r="BC1396" s="79"/>
      <c r="BD1396" s="79"/>
      <c r="BE1396" s="79"/>
      <c r="BF1396" s="79"/>
      <c r="BG1396" s="79"/>
      <c r="BH1396" s="79"/>
      <c r="BI1396" s="79"/>
      <c r="BJ1396" s="3">
        <v>17.399999999999999</v>
      </c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29" t="s">
        <v>212</v>
      </c>
      <c r="CJ1396" s="18" t="s">
        <v>548</v>
      </c>
      <c r="CK1396" s="30"/>
    </row>
    <row r="1397" spans="1:89" x14ac:dyDescent="0.25">
      <c r="A1397" s="18" t="s">
        <v>548</v>
      </c>
      <c r="B1397" s="29" t="s">
        <v>211</v>
      </c>
      <c r="C1397" s="29" t="s">
        <v>213</v>
      </c>
      <c r="D1397" s="6">
        <v>4</v>
      </c>
      <c r="E1397" s="6">
        <v>2</v>
      </c>
      <c r="F1397" s="6">
        <v>2</v>
      </c>
      <c r="N1397" s="115">
        <v>1.25786163522013E-2</v>
      </c>
      <c r="O1397" s="115">
        <v>1.02564102564103E-2</v>
      </c>
      <c r="P1397" s="115">
        <v>0</v>
      </c>
      <c r="Q1397" s="115">
        <v>3.8461538461538498E-2</v>
      </c>
      <c r="R1397" s="116" t="s">
        <v>83</v>
      </c>
      <c r="S1397" s="115">
        <v>0</v>
      </c>
      <c r="T1397" s="115">
        <v>2.4390243902439001E-2</v>
      </c>
      <c r="U1397" s="115">
        <v>2.7027027027027001E-2</v>
      </c>
      <c r="V1397" s="115">
        <v>0</v>
      </c>
      <c r="W1397" s="6">
        <v>300</v>
      </c>
      <c r="X1397" s="40">
        <f t="shared" si="98"/>
        <v>187</v>
      </c>
      <c r="Y1397" s="40">
        <f t="shared" si="99"/>
        <v>300</v>
      </c>
      <c r="Z1397" s="59">
        <v>0.50666666666666671</v>
      </c>
      <c r="AA1397" s="59">
        <v>0.49333333333333335</v>
      </c>
      <c r="AB1397" s="61">
        <v>0</v>
      </c>
      <c r="AC1397" s="61">
        <v>0</v>
      </c>
      <c r="AD1397" s="61">
        <v>0.84666666666666668</v>
      </c>
      <c r="AE1397" s="61">
        <v>0.02</v>
      </c>
      <c r="AF1397" s="61">
        <v>0</v>
      </c>
      <c r="AG1397" s="61">
        <v>0.13333333333333333</v>
      </c>
      <c r="AH1397" s="61">
        <v>0</v>
      </c>
      <c r="AI1397" s="61">
        <v>0.8666666666666667</v>
      </c>
      <c r="AJ1397" s="59">
        <v>0.80333333333333334</v>
      </c>
      <c r="AK1397" s="59">
        <v>6.6666666666666671E-3</v>
      </c>
      <c r="AL1397" s="4">
        <v>65</v>
      </c>
      <c r="AM1397" s="4">
        <v>48</v>
      </c>
      <c r="AN1397" s="4">
        <v>0</v>
      </c>
      <c r="AO1397" s="4">
        <v>56</v>
      </c>
      <c r="AP1397" s="4">
        <v>39</v>
      </c>
      <c r="AQ1397" s="4">
        <v>39</v>
      </c>
      <c r="AR1397" s="4">
        <v>53</v>
      </c>
      <c r="AS1397" s="59">
        <v>0</v>
      </c>
      <c r="AT1397" s="3">
        <v>7</v>
      </c>
      <c r="AU1397" s="3">
        <v>6</v>
      </c>
      <c r="AV1397" s="49">
        <v>94.169096209912496</v>
      </c>
      <c r="AW1397" s="49">
        <v>5.8309037900874596</v>
      </c>
      <c r="AX1397" s="49">
        <v>0</v>
      </c>
      <c r="AY1397" s="67">
        <v>0</v>
      </c>
      <c r="AZ1397" s="63">
        <v>0.221518987341772</v>
      </c>
      <c r="BA1397" s="63">
        <v>0.180379746835443</v>
      </c>
      <c r="BB1397" s="80">
        <v>94.6</v>
      </c>
      <c r="BC1397" s="80"/>
      <c r="BD1397" s="80"/>
      <c r="BE1397" s="80"/>
      <c r="BF1397" s="80"/>
      <c r="BG1397" s="80"/>
      <c r="BH1397" s="80"/>
      <c r="BI1397" s="80"/>
      <c r="BJ1397" s="3">
        <v>16.899999999999999</v>
      </c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29" t="s">
        <v>213</v>
      </c>
      <c r="CJ1397" s="18" t="s">
        <v>548</v>
      </c>
      <c r="CK1397" s="30"/>
    </row>
    <row r="1398" spans="1:89" x14ac:dyDescent="0.25">
      <c r="A1398" s="18" t="s">
        <v>548</v>
      </c>
      <c r="B1398" s="29" t="s">
        <v>211</v>
      </c>
      <c r="C1398" s="29" t="s">
        <v>214</v>
      </c>
      <c r="D1398" s="6">
        <v>4</v>
      </c>
      <c r="E1398" s="6">
        <v>1</v>
      </c>
      <c r="F1398" s="6">
        <v>3</v>
      </c>
      <c r="N1398" s="115">
        <v>1.38888888888889E-2</v>
      </c>
      <c r="O1398" s="115">
        <v>1.7142857142857099E-2</v>
      </c>
      <c r="P1398" s="115">
        <v>0</v>
      </c>
      <c r="Q1398" s="115">
        <v>1.85185185185185E-2</v>
      </c>
      <c r="R1398" s="116" t="s">
        <v>83</v>
      </c>
      <c r="S1398" s="115">
        <v>0</v>
      </c>
      <c r="T1398" s="115">
        <v>1.85185185185185E-2</v>
      </c>
      <c r="U1398" s="115">
        <v>5.5555555555555601E-2</v>
      </c>
      <c r="V1398" s="115">
        <v>0</v>
      </c>
      <c r="W1398" s="6">
        <v>680</v>
      </c>
      <c r="X1398" s="40">
        <f t="shared" si="98"/>
        <v>167</v>
      </c>
      <c r="Y1398" s="40">
        <f t="shared" si="99"/>
        <v>268</v>
      </c>
      <c r="Z1398" s="59">
        <v>0.52647058823529413</v>
      </c>
      <c r="AA1398" s="59">
        <v>0.47352941176470587</v>
      </c>
      <c r="AB1398" s="61">
        <v>0</v>
      </c>
      <c r="AC1398" s="61">
        <v>2.0588235294117647E-2</v>
      </c>
      <c r="AD1398" s="61">
        <v>0.7838235294117647</v>
      </c>
      <c r="AE1398" s="61">
        <v>2.5000000000000001E-2</v>
      </c>
      <c r="AF1398" s="61">
        <v>0</v>
      </c>
      <c r="AG1398" s="61">
        <v>0.15588235294117647</v>
      </c>
      <c r="AH1398" s="61">
        <v>1.4705882352941176E-2</v>
      </c>
      <c r="AI1398" s="61">
        <v>0.84411764705882353</v>
      </c>
      <c r="AJ1398" s="59">
        <v>0.75441176470588234</v>
      </c>
      <c r="AK1398" s="59">
        <v>1.0294117647058823E-2</v>
      </c>
      <c r="AL1398" s="4">
        <v>49</v>
      </c>
      <c r="AM1398" s="4">
        <v>52</v>
      </c>
      <c r="AN1398" s="4">
        <v>0</v>
      </c>
      <c r="AO1398" s="4">
        <v>44</v>
      </c>
      <c r="AP1398" s="4">
        <v>52</v>
      </c>
      <c r="AQ1398" s="4">
        <v>32</v>
      </c>
      <c r="AR1398" s="4">
        <v>39</v>
      </c>
      <c r="AS1398" s="59">
        <v>0</v>
      </c>
      <c r="AT1398" s="3">
        <v>1</v>
      </c>
      <c r="AU1398" s="3">
        <v>6</v>
      </c>
      <c r="AV1398" s="49">
        <v>84.986595174262703</v>
      </c>
      <c r="AW1398" s="49">
        <v>11.5281501340483</v>
      </c>
      <c r="AX1398" s="49">
        <v>3.4852546916890095</v>
      </c>
      <c r="AY1398" s="67">
        <v>0</v>
      </c>
      <c r="AZ1398" s="63">
        <v>0.11756569847856201</v>
      </c>
      <c r="BA1398" s="63">
        <v>0.12033195020746899</v>
      </c>
      <c r="BB1398" s="79">
        <v>94.1</v>
      </c>
      <c r="BC1398" s="79"/>
      <c r="BD1398" s="79"/>
      <c r="BE1398" s="79"/>
      <c r="BF1398" s="79"/>
      <c r="BG1398" s="79"/>
      <c r="BH1398" s="79"/>
      <c r="BI1398" s="79"/>
      <c r="BJ1398" s="3">
        <v>18.600000000000001</v>
      </c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29" t="s">
        <v>214</v>
      </c>
      <c r="CJ1398" s="18" t="s">
        <v>548</v>
      </c>
      <c r="CK1398" s="30"/>
    </row>
    <row r="1399" spans="1:89" x14ac:dyDescent="0.25">
      <c r="A1399" s="18" t="s">
        <v>548</v>
      </c>
      <c r="B1399" s="29" t="s">
        <v>215</v>
      </c>
      <c r="C1399" s="29" t="s">
        <v>216</v>
      </c>
      <c r="D1399" s="6">
        <v>17</v>
      </c>
      <c r="E1399" s="40" t="s">
        <v>83</v>
      </c>
      <c r="F1399" s="6">
        <v>17</v>
      </c>
      <c r="N1399" s="115">
        <v>5.5921052631578899E-2</v>
      </c>
      <c r="O1399" s="115">
        <v>5.5921052631578899E-2</v>
      </c>
      <c r="P1399" s="116" t="s">
        <v>83</v>
      </c>
      <c r="Q1399" s="116" t="s">
        <v>83</v>
      </c>
      <c r="R1399" s="116" t="s">
        <v>83</v>
      </c>
      <c r="S1399" s="115">
        <v>6.6666666666666693E-2</v>
      </c>
      <c r="T1399" s="115">
        <v>4.81927710843374E-2</v>
      </c>
      <c r="U1399" s="115">
        <v>3.8961038961039002E-2</v>
      </c>
      <c r="V1399" s="115">
        <v>7.2463768115942004E-2</v>
      </c>
      <c r="W1399" s="6">
        <v>276</v>
      </c>
      <c r="X1399" s="40">
        <f t="shared" si="98"/>
        <v>276</v>
      </c>
      <c r="Y1399" s="40">
        <f t="shared" si="99"/>
        <v>276</v>
      </c>
      <c r="Z1399" s="59">
        <v>0.39855072463768115</v>
      </c>
      <c r="AA1399" s="59">
        <v>0.60144927536231885</v>
      </c>
      <c r="AB1399" s="61">
        <v>0</v>
      </c>
      <c r="AC1399" s="61">
        <v>1.0869565217391304E-2</v>
      </c>
      <c r="AD1399" s="61">
        <v>0.62318840579710144</v>
      </c>
      <c r="AE1399" s="61">
        <v>1.0869565217391304E-2</v>
      </c>
      <c r="AF1399" s="61">
        <v>0</v>
      </c>
      <c r="AG1399" s="61">
        <v>0.35507246376811596</v>
      </c>
      <c r="AH1399" s="61">
        <v>0</v>
      </c>
      <c r="AI1399" s="61">
        <v>0.64492753623188404</v>
      </c>
      <c r="AJ1399" s="59">
        <v>0.86956521739130432</v>
      </c>
      <c r="AK1399" s="59">
        <v>0</v>
      </c>
      <c r="AL1399" s="4">
        <v>0</v>
      </c>
      <c r="AM1399" s="4">
        <v>0</v>
      </c>
      <c r="AN1399" s="4">
        <v>0</v>
      </c>
      <c r="AO1399" s="4">
        <v>64</v>
      </c>
      <c r="AP1399" s="4">
        <v>73</v>
      </c>
      <c r="AQ1399" s="4">
        <v>82</v>
      </c>
      <c r="AR1399" s="4">
        <v>57</v>
      </c>
      <c r="AS1399" s="59">
        <v>0</v>
      </c>
      <c r="AT1399" s="3">
        <v>9</v>
      </c>
      <c r="AU1399" s="3">
        <v>6</v>
      </c>
      <c r="AV1399" s="49">
        <v>75.316455696202496</v>
      </c>
      <c r="AW1399" s="49">
        <v>20.253164556961998</v>
      </c>
      <c r="AX1399" s="49">
        <v>3.16455696202532</v>
      </c>
      <c r="AY1399" s="67">
        <v>1.26582278481013</v>
      </c>
      <c r="AZ1399" s="63">
        <v>0.239057239057239</v>
      </c>
      <c r="BA1399" s="63">
        <v>0</v>
      </c>
      <c r="BB1399" s="80">
        <v>89.6</v>
      </c>
      <c r="BC1399" s="80"/>
      <c r="BD1399" s="80"/>
      <c r="BE1399" s="80"/>
      <c r="BF1399" s="80"/>
      <c r="BG1399" s="80"/>
      <c r="BH1399" s="80"/>
      <c r="BI1399" s="80"/>
      <c r="BJ1399" s="3">
        <v>15.3</v>
      </c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29" t="s">
        <v>216</v>
      </c>
      <c r="CJ1399" s="18" t="s">
        <v>548</v>
      </c>
      <c r="CK1399" s="30"/>
    </row>
    <row r="1400" spans="1:89" x14ac:dyDescent="0.25">
      <c r="A1400" s="18" t="s">
        <v>548</v>
      </c>
      <c r="B1400" s="29" t="s">
        <v>215</v>
      </c>
      <c r="C1400" s="29" t="s">
        <v>217</v>
      </c>
      <c r="D1400" s="6">
        <v>6</v>
      </c>
      <c r="E1400" s="6">
        <v>1</v>
      </c>
      <c r="F1400" s="6">
        <v>5</v>
      </c>
      <c r="N1400" s="115">
        <v>1.8348623853211E-2</v>
      </c>
      <c r="O1400" s="115">
        <v>2.48756218905473E-2</v>
      </c>
      <c r="P1400" s="115">
        <v>1.63934426229508E-2</v>
      </c>
      <c r="Q1400" s="115">
        <v>0</v>
      </c>
      <c r="R1400" s="116" t="s">
        <v>83</v>
      </c>
      <c r="S1400" s="115">
        <v>0</v>
      </c>
      <c r="T1400" s="115">
        <v>0</v>
      </c>
      <c r="U1400" s="115">
        <v>3.6363636363636397E-2</v>
      </c>
      <c r="V1400" s="115">
        <v>6.1224489795918401E-2</v>
      </c>
      <c r="W1400" s="6">
        <v>749</v>
      </c>
      <c r="X1400" s="40">
        <f t="shared" si="98"/>
        <v>186</v>
      </c>
      <c r="Y1400" s="40">
        <f t="shared" si="99"/>
        <v>305</v>
      </c>
      <c r="Z1400" s="59">
        <v>0.49799732977303068</v>
      </c>
      <c r="AA1400" s="59">
        <v>0.50200267022696932</v>
      </c>
      <c r="AB1400" s="61">
        <v>0</v>
      </c>
      <c r="AC1400" s="61">
        <v>5.3404539385847796E-3</v>
      </c>
      <c r="AD1400" s="61">
        <v>0.17222963951935916</v>
      </c>
      <c r="AE1400" s="61">
        <v>2.1361815754339118E-2</v>
      </c>
      <c r="AF1400" s="61">
        <v>0</v>
      </c>
      <c r="AG1400" s="61">
        <v>0.78905206942590123</v>
      </c>
      <c r="AH1400" s="61">
        <v>1.2016021361815754E-2</v>
      </c>
      <c r="AI1400" s="61">
        <v>0.2109479305740988</v>
      </c>
      <c r="AJ1400" s="59">
        <v>0.53137516688918562</v>
      </c>
      <c r="AK1400" s="59">
        <v>2.6702269692923898E-3</v>
      </c>
      <c r="AL1400" s="4">
        <v>57</v>
      </c>
      <c r="AM1400" s="4">
        <v>62</v>
      </c>
      <c r="AN1400" s="4">
        <v>0</v>
      </c>
      <c r="AO1400" s="4">
        <v>43</v>
      </c>
      <c r="AP1400" s="4">
        <v>47</v>
      </c>
      <c r="AQ1400" s="4">
        <v>53</v>
      </c>
      <c r="AR1400" s="4">
        <v>43</v>
      </c>
      <c r="AS1400" s="59">
        <v>0</v>
      </c>
      <c r="AT1400" s="3">
        <v>1</v>
      </c>
      <c r="AU1400" s="3">
        <v>6</v>
      </c>
      <c r="AV1400" s="49">
        <v>56.270096463022497</v>
      </c>
      <c r="AW1400" s="49">
        <v>38.906752411575603</v>
      </c>
      <c r="AX1400" s="49">
        <v>3.8585209003215404</v>
      </c>
      <c r="AY1400" s="67">
        <v>0.96463022508038598</v>
      </c>
      <c r="AZ1400" s="63">
        <v>0.14320987654320999</v>
      </c>
      <c r="BA1400" s="63">
        <v>0</v>
      </c>
      <c r="BB1400" s="79">
        <v>93.6</v>
      </c>
      <c r="BC1400" s="79"/>
      <c r="BD1400" s="79"/>
      <c r="BE1400" s="79"/>
      <c r="BF1400" s="79"/>
      <c r="BG1400" s="79"/>
      <c r="BH1400" s="79"/>
      <c r="BI1400" s="79"/>
      <c r="BJ1400" s="3">
        <v>20.2</v>
      </c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29" t="s">
        <v>217</v>
      </c>
      <c r="CJ1400" s="18" t="s">
        <v>548</v>
      </c>
      <c r="CK1400" s="30"/>
    </row>
    <row r="1401" spans="1:89" x14ac:dyDescent="0.25">
      <c r="A1401" s="18" t="s">
        <v>548</v>
      </c>
      <c r="B1401" s="29" t="s">
        <v>215</v>
      </c>
      <c r="C1401" s="29" t="s">
        <v>218</v>
      </c>
      <c r="D1401" s="6">
        <v>1</v>
      </c>
      <c r="E1401" s="6">
        <v>1</v>
      </c>
      <c r="F1401" s="6">
        <v>0</v>
      </c>
      <c r="N1401" s="115">
        <v>3.3783783783783799E-3</v>
      </c>
      <c r="O1401" s="115">
        <v>0</v>
      </c>
      <c r="P1401" s="115">
        <v>0</v>
      </c>
      <c r="Q1401" s="115">
        <v>2.04081632653061E-2</v>
      </c>
      <c r="R1401" s="116" t="s">
        <v>83</v>
      </c>
      <c r="S1401" s="115">
        <v>0</v>
      </c>
      <c r="T1401" s="115">
        <v>0</v>
      </c>
      <c r="U1401" s="115">
        <v>0</v>
      </c>
      <c r="V1401" s="115">
        <v>0</v>
      </c>
      <c r="W1401" s="6">
        <v>696</v>
      </c>
      <c r="X1401" s="40">
        <f t="shared" si="98"/>
        <v>180</v>
      </c>
      <c r="Y1401" s="40">
        <f t="shared" si="99"/>
        <v>286</v>
      </c>
      <c r="Z1401" s="59">
        <v>0.48994252873563221</v>
      </c>
      <c r="AA1401" s="59">
        <v>0.51005747126436785</v>
      </c>
      <c r="AB1401" s="61">
        <v>0</v>
      </c>
      <c r="AC1401" s="61">
        <v>0</v>
      </c>
      <c r="AD1401" s="61">
        <v>0.17097701149425287</v>
      </c>
      <c r="AE1401" s="61">
        <v>3.5919540229885055E-2</v>
      </c>
      <c r="AF1401" s="61">
        <v>0</v>
      </c>
      <c r="AG1401" s="61">
        <v>0.76005747126436785</v>
      </c>
      <c r="AH1401" s="61">
        <v>3.3045977011494254E-2</v>
      </c>
      <c r="AI1401" s="61">
        <v>0.23994252873563218</v>
      </c>
      <c r="AJ1401" s="59">
        <v>0.66954022988505746</v>
      </c>
      <c r="AK1401" s="59">
        <v>7.1839080459770114E-3</v>
      </c>
      <c r="AL1401" s="4">
        <v>60</v>
      </c>
      <c r="AM1401" s="4">
        <v>46</v>
      </c>
      <c r="AN1401" s="4">
        <v>0</v>
      </c>
      <c r="AO1401" s="4">
        <v>47</v>
      </c>
      <c r="AP1401" s="4">
        <v>53</v>
      </c>
      <c r="AQ1401" s="4">
        <v>34</v>
      </c>
      <c r="AR1401" s="4">
        <v>46</v>
      </c>
      <c r="AS1401" s="59">
        <v>0</v>
      </c>
      <c r="AT1401" s="3">
        <v>1</v>
      </c>
      <c r="AU1401" s="3">
        <v>6</v>
      </c>
      <c r="AV1401" s="49">
        <v>60.465116279069797</v>
      </c>
      <c r="AW1401" s="49">
        <v>26.910299003322301</v>
      </c>
      <c r="AX1401" s="49">
        <v>11.960132890365401</v>
      </c>
      <c r="AY1401" s="67">
        <v>0.66445182724252505</v>
      </c>
      <c r="AZ1401" s="63">
        <v>0.159459459459459</v>
      </c>
      <c r="BA1401" s="63">
        <v>2.7027027027026998E-3</v>
      </c>
      <c r="BB1401" s="80">
        <v>93.6</v>
      </c>
      <c r="BC1401" s="80"/>
      <c r="BD1401" s="80"/>
      <c r="BE1401" s="80"/>
      <c r="BF1401" s="80"/>
      <c r="BG1401" s="80"/>
      <c r="BH1401" s="80"/>
      <c r="BI1401" s="80"/>
      <c r="BJ1401" s="3">
        <v>19.7</v>
      </c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29" t="s">
        <v>218</v>
      </c>
      <c r="CJ1401" s="18" t="s">
        <v>548</v>
      </c>
      <c r="CK1401" s="30"/>
    </row>
    <row r="1402" spans="1:89" x14ac:dyDescent="0.25">
      <c r="A1402" s="18" t="s">
        <v>548</v>
      </c>
      <c r="B1402" s="29" t="s">
        <v>219</v>
      </c>
      <c r="C1402" s="29" t="s">
        <v>220</v>
      </c>
      <c r="D1402" s="6">
        <v>136</v>
      </c>
      <c r="E1402" s="40" t="s">
        <v>83</v>
      </c>
      <c r="F1402" s="6">
        <v>136</v>
      </c>
      <c r="N1402" s="115">
        <v>8.98876404494382E-2</v>
      </c>
      <c r="O1402" s="115">
        <v>8.98876404494382E-2</v>
      </c>
      <c r="P1402" s="116" t="s">
        <v>83</v>
      </c>
      <c r="Q1402" s="116" t="s">
        <v>83</v>
      </c>
      <c r="R1402" s="115">
        <v>0</v>
      </c>
      <c r="S1402" s="115">
        <v>9.9796334012220003E-2</v>
      </c>
      <c r="T1402" s="115">
        <v>9.2348284960422203E-2</v>
      </c>
      <c r="U1402" s="115">
        <v>0.101492537313433</v>
      </c>
      <c r="V1402" s="115">
        <v>6.4981949458483707E-2</v>
      </c>
      <c r="W1402" s="6">
        <v>1285</v>
      </c>
      <c r="X1402" s="40">
        <f t="shared" si="98"/>
        <v>1285</v>
      </c>
      <c r="Y1402" s="40">
        <f t="shared" si="99"/>
        <v>1285</v>
      </c>
      <c r="Z1402" s="59">
        <v>0.43346303501945527</v>
      </c>
      <c r="AA1402" s="59">
        <v>0.56653696498054473</v>
      </c>
      <c r="AB1402" s="61">
        <v>7.7821011673151756E-4</v>
      </c>
      <c r="AC1402" s="61">
        <v>2.1789883268482489E-2</v>
      </c>
      <c r="AD1402" s="61">
        <v>0.34630350194552528</v>
      </c>
      <c r="AE1402" s="61">
        <v>0.4404669260700389</v>
      </c>
      <c r="AF1402" s="61">
        <v>1.5564202334630351E-3</v>
      </c>
      <c r="AG1402" s="61">
        <v>0.1556420233463035</v>
      </c>
      <c r="AH1402" s="61">
        <v>3.3463035019455252E-2</v>
      </c>
      <c r="AI1402" s="61">
        <v>0.8443579766536965</v>
      </c>
      <c r="AJ1402" s="59">
        <v>0.87081712062256811</v>
      </c>
      <c r="AK1402" s="59">
        <v>0.25680933852140075</v>
      </c>
      <c r="AL1402" s="4">
        <v>0</v>
      </c>
      <c r="AM1402" s="4">
        <v>0</v>
      </c>
      <c r="AN1402" s="4">
        <v>102</v>
      </c>
      <c r="AO1402" s="4">
        <v>300</v>
      </c>
      <c r="AP1402" s="4">
        <v>295</v>
      </c>
      <c r="AQ1402" s="4">
        <v>332</v>
      </c>
      <c r="AR1402" s="4">
        <v>256</v>
      </c>
      <c r="AS1402" s="59">
        <v>0.2537313432835821</v>
      </c>
      <c r="AT1402" s="3">
        <v>9</v>
      </c>
      <c r="AU1402" s="3">
        <v>6</v>
      </c>
      <c r="AV1402" s="49">
        <v>55.789473684210499</v>
      </c>
      <c r="AW1402" s="49">
        <v>20.902255639097699</v>
      </c>
      <c r="AX1402" s="49">
        <v>19.2481203007519</v>
      </c>
      <c r="AY1402" s="67">
        <v>4.0601503759398501</v>
      </c>
      <c r="AZ1402" s="63">
        <v>0.18449931412894399</v>
      </c>
      <c r="BA1402" s="63">
        <v>0.14266117969821701</v>
      </c>
      <c r="BB1402" s="79">
        <v>86.1</v>
      </c>
      <c r="BC1402" s="79"/>
      <c r="BD1402" s="79"/>
      <c r="BE1402" s="79"/>
      <c r="BF1402" s="79"/>
      <c r="BG1402" s="79"/>
      <c r="BH1402" s="79"/>
      <c r="BI1402" s="79"/>
      <c r="BJ1402" s="3">
        <v>16.600000000000001</v>
      </c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29" t="s">
        <v>220</v>
      </c>
      <c r="CJ1402" s="18" t="s">
        <v>548</v>
      </c>
      <c r="CK1402" s="30"/>
    </row>
    <row r="1403" spans="1:89" x14ac:dyDescent="0.25">
      <c r="A1403" s="18" t="s">
        <v>548</v>
      </c>
      <c r="B1403" s="29" t="s">
        <v>219</v>
      </c>
      <c r="C1403" s="29" t="s">
        <v>221</v>
      </c>
      <c r="D1403" s="6">
        <v>17</v>
      </c>
      <c r="E1403" s="40" t="s">
        <v>83</v>
      </c>
      <c r="F1403" s="6">
        <v>17</v>
      </c>
      <c r="N1403" s="115">
        <v>1.43218197135636E-2</v>
      </c>
      <c r="O1403" s="115">
        <v>1.43218197135636E-2</v>
      </c>
      <c r="P1403" s="116" t="s">
        <v>83</v>
      </c>
      <c r="Q1403" s="116" t="s">
        <v>83</v>
      </c>
      <c r="R1403" s="115">
        <v>0</v>
      </c>
      <c r="S1403" s="115">
        <v>0.01</v>
      </c>
      <c r="T1403" s="115">
        <v>9.77198697068404E-3</v>
      </c>
      <c r="U1403" s="115">
        <v>2.7397260273972601E-2</v>
      </c>
      <c r="V1403" s="115">
        <v>1.09090909090909E-2</v>
      </c>
      <c r="W1403" s="6">
        <v>1073</v>
      </c>
      <c r="X1403" s="40">
        <f t="shared" si="98"/>
        <v>1073</v>
      </c>
      <c r="Y1403" s="40">
        <f t="shared" si="99"/>
        <v>1073</v>
      </c>
      <c r="Z1403" s="59">
        <v>0.4939422180801491</v>
      </c>
      <c r="AA1403" s="59">
        <v>0.50605778191985085</v>
      </c>
      <c r="AB1403" s="61">
        <v>2.7958993476234857E-3</v>
      </c>
      <c r="AC1403" s="61">
        <v>3.0754892823858342E-2</v>
      </c>
      <c r="AD1403" s="61">
        <v>0.66262814538676607</v>
      </c>
      <c r="AE1403" s="61">
        <v>0.14445479962721341</v>
      </c>
      <c r="AF1403" s="61">
        <v>0</v>
      </c>
      <c r="AG1403" s="61">
        <v>0.13979496738117428</v>
      </c>
      <c r="AH1403" s="61">
        <v>1.9571295433364399E-2</v>
      </c>
      <c r="AI1403" s="61">
        <v>0.86020503261882575</v>
      </c>
      <c r="AJ1403" s="59">
        <v>0.8536812674743709</v>
      </c>
      <c r="AK1403" s="59">
        <v>0.15097856477166821</v>
      </c>
      <c r="AL1403" s="4">
        <v>0</v>
      </c>
      <c r="AM1403" s="4">
        <v>0</v>
      </c>
      <c r="AN1403" s="4">
        <v>65</v>
      </c>
      <c r="AO1403" s="4">
        <v>205</v>
      </c>
      <c r="AP1403" s="4">
        <v>279</v>
      </c>
      <c r="AQ1403" s="4">
        <v>268</v>
      </c>
      <c r="AR1403" s="4">
        <v>256</v>
      </c>
      <c r="AS1403" s="59">
        <v>0.24074074074074073</v>
      </c>
      <c r="AT1403" s="3">
        <v>9</v>
      </c>
      <c r="AU1403" s="3">
        <v>6</v>
      </c>
      <c r="AV1403" s="49">
        <v>32.8445747800587</v>
      </c>
      <c r="AW1403" s="49">
        <v>14.662756598240501</v>
      </c>
      <c r="AX1403" s="49">
        <v>31.085043988269799</v>
      </c>
      <c r="AY1403" s="67">
        <v>21.407624633431098</v>
      </c>
      <c r="AZ1403" s="63">
        <v>0.30697278911564602</v>
      </c>
      <c r="BA1403" s="63">
        <v>0.17431972789115599</v>
      </c>
      <c r="BB1403" s="80">
        <v>92.8</v>
      </c>
      <c r="BC1403" s="80"/>
      <c r="BD1403" s="80"/>
      <c r="BE1403" s="80"/>
      <c r="BF1403" s="80"/>
      <c r="BG1403" s="80"/>
      <c r="BH1403" s="80"/>
      <c r="BI1403" s="80"/>
      <c r="BJ1403" s="3">
        <v>17</v>
      </c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29" t="s">
        <v>221</v>
      </c>
      <c r="CJ1403" s="18" t="s">
        <v>548</v>
      </c>
      <c r="CK1403" s="30"/>
    </row>
    <row r="1404" spans="1:89" x14ac:dyDescent="0.25">
      <c r="A1404" s="18" t="s">
        <v>548</v>
      </c>
      <c r="B1404" s="29" t="s">
        <v>219</v>
      </c>
      <c r="C1404" s="29" t="s">
        <v>222</v>
      </c>
      <c r="D1404" s="6">
        <v>107</v>
      </c>
      <c r="E1404" s="40" t="s">
        <v>83</v>
      </c>
      <c r="F1404" s="6">
        <v>107</v>
      </c>
      <c r="N1404" s="115">
        <v>8.0089820359281402E-2</v>
      </c>
      <c r="O1404" s="115">
        <v>8.0089820359281402E-2</v>
      </c>
      <c r="P1404" s="116" t="s">
        <v>83</v>
      </c>
      <c r="Q1404" s="116" t="s">
        <v>83</v>
      </c>
      <c r="R1404" s="115">
        <v>7.69230769230769E-2</v>
      </c>
      <c r="S1404" s="115">
        <v>0.114754098360656</v>
      </c>
      <c r="T1404" s="115">
        <v>8.8050314465408799E-2</v>
      </c>
      <c r="U1404" s="115">
        <v>6.2091503267973899E-2</v>
      </c>
      <c r="V1404" s="115">
        <v>3.6764705882352901E-2</v>
      </c>
      <c r="W1404" s="6">
        <v>1168</v>
      </c>
      <c r="X1404" s="40">
        <f t="shared" si="98"/>
        <v>1168</v>
      </c>
      <c r="Y1404" s="40">
        <f t="shared" si="99"/>
        <v>1168</v>
      </c>
      <c r="Z1404" s="59">
        <v>0.44863013698630139</v>
      </c>
      <c r="AA1404" s="59">
        <v>0.55136986301369861</v>
      </c>
      <c r="AB1404" s="61">
        <v>1.7123287671232876E-3</v>
      </c>
      <c r="AC1404" s="61">
        <v>1.1130136986301369E-2</v>
      </c>
      <c r="AD1404" s="61">
        <v>0.3125</v>
      </c>
      <c r="AE1404" s="61">
        <v>0.33647260273972601</v>
      </c>
      <c r="AF1404" s="61">
        <v>0</v>
      </c>
      <c r="AG1404" s="61">
        <v>0.30907534246575341</v>
      </c>
      <c r="AH1404" s="61">
        <v>2.9109589041095889E-2</v>
      </c>
      <c r="AI1404" s="61">
        <v>0.69092465753424659</v>
      </c>
      <c r="AJ1404" s="59">
        <v>0.8202054794520548</v>
      </c>
      <c r="AK1404" s="59">
        <v>0.1583904109589041</v>
      </c>
      <c r="AL1404" s="4">
        <v>0</v>
      </c>
      <c r="AM1404" s="4">
        <v>0</v>
      </c>
      <c r="AN1404" s="4">
        <v>113</v>
      </c>
      <c r="AO1404" s="4">
        <v>234</v>
      </c>
      <c r="AP1404" s="4">
        <v>281</v>
      </c>
      <c r="AQ1404" s="4">
        <v>295</v>
      </c>
      <c r="AR1404" s="4">
        <v>245</v>
      </c>
      <c r="AS1404" s="59">
        <v>0.32564841498559077</v>
      </c>
      <c r="AT1404" s="3">
        <v>9</v>
      </c>
      <c r="AU1404" s="3">
        <v>6</v>
      </c>
      <c r="AV1404" s="49">
        <v>58.865248226950392</v>
      </c>
      <c r="AW1404" s="49">
        <v>8.1560283687943294</v>
      </c>
      <c r="AX1404" s="49">
        <v>23.404255319148902</v>
      </c>
      <c r="AY1404" s="67">
        <v>9.5744680851063801</v>
      </c>
      <c r="AZ1404" s="63">
        <v>0.21544401544401501</v>
      </c>
      <c r="BA1404" s="63">
        <v>0.118146718146718</v>
      </c>
      <c r="BB1404" s="79">
        <v>89.2</v>
      </c>
      <c r="BC1404" s="79"/>
      <c r="BD1404" s="79"/>
      <c r="BE1404" s="79"/>
      <c r="BF1404" s="79"/>
      <c r="BG1404" s="79"/>
      <c r="BH1404" s="79"/>
      <c r="BI1404" s="79"/>
      <c r="BJ1404" s="3">
        <v>17.8</v>
      </c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29" t="s">
        <v>222</v>
      </c>
      <c r="CJ1404" s="18" t="s">
        <v>548</v>
      </c>
      <c r="CK1404" s="30"/>
    </row>
    <row r="1405" spans="1:89" x14ac:dyDescent="0.25">
      <c r="A1405" s="18" t="s">
        <v>548</v>
      </c>
      <c r="B1405" s="29" t="s">
        <v>219</v>
      </c>
      <c r="C1405" s="29" t="s">
        <v>223</v>
      </c>
      <c r="D1405" s="6">
        <v>72</v>
      </c>
      <c r="E1405" s="40" t="s">
        <v>83</v>
      </c>
      <c r="F1405" s="6">
        <v>72</v>
      </c>
      <c r="N1405" s="115">
        <v>3.1704095112285301E-2</v>
      </c>
      <c r="O1405" s="115">
        <v>3.1704095112285301E-2</v>
      </c>
      <c r="P1405" s="116" t="s">
        <v>83</v>
      </c>
      <c r="Q1405" s="116" t="s">
        <v>83</v>
      </c>
      <c r="R1405" s="115">
        <v>6.1224489795918401E-2</v>
      </c>
      <c r="S1405" s="115">
        <v>2.7164685908319199E-2</v>
      </c>
      <c r="T1405" s="115">
        <v>3.4782608695652202E-2</v>
      </c>
      <c r="U1405" s="115">
        <v>2.4489795918367301E-2</v>
      </c>
      <c r="V1405" s="115">
        <v>3.6971830985915499E-2</v>
      </c>
      <c r="W1405" s="6">
        <v>2089</v>
      </c>
      <c r="X1405" s="40">
        <f t="shared" si="98"/>
        <v>2089</v>
      </c>
      <c r="Y1405" s="40">
        <f t="shared" si="99"/>
        <v>2089</v>
      </c>
      <c r="Z1405" s="59">
        <v>0.498324557204404</v>
      </c>
      <c r="AA1405" s="59">
        <v>0.50167544279559595</v>
      </c>
      <c r="AB1405" s="61">
        <v>1.1010052656773576E-2</v>
      </c>
      <c r="AC1405" s="61">
        <v>7.6112972714217325E-2</v>
      </c>
      <c r="AD1405" s="61">
        <v>0.52608903781713734</v>
      </c>
      <c r="AE1405" s="61">
        <v>0.14648157012924845</v>
      </c>
      <c r="AF1405" s="61">
        <v>0</v>
      </c>
      <c r="AG1405" s="61">
        <v>0.21014839636189564</v>
      </c>
      <c r="AH1405" s="61">
        <v>3.0157970320727621E-2</v>
      </c>
      <c r="AI1405" s="61">
        <v>0.78985160363810436</v>
      </c>
      <c r="AJ1405" s="59">
        <v>0.81570129248444234</v>
      </c>
      <c r="AK1405" s="59">
        <v>4.9305887984681669E-2</v>
      </c>
      <c r="AL1405" s="4">
        <v>0</v>
      </c>
      <c r="AM1405" s="4">
        <v>0</v>
      </c>
      <c r="AN1405" s="4">
        <v>330</v>
      </c>
      <c r="AO1405" s="4">
        <v>232</v>
      </c>
      <c r="AP1405" s="4">
        <v>529</v>
      </c>
      <c r="AQ1405" s="4">
        <v>516</v>
      </c>
      <c r="AR1405" s="4">
        <v>482</v>
      </c>
      <c r="AS1405" s="59">
        <v>0.58718861209964412</v>
      </c>
      <c r="AT1405" s="3">
        <v>9</v>
      </c>
      <c r="AU1405" s="3">
        <v>6</v>
      </c>
      <c r="AV1405" s="49">
        <v>39.084967320261399</v>
      </c>
      <c r="AW1405" s="49">
        <v>12.9411764705882</v>
      </c>
      <c r="AX1405" s="49">
        <v>29.934640522875799</v>
      </c>
      <c r="AY1405" s="67">
        <v>18.039215686274503</v>
      </c>
      <c r="AZ1405" s="63">
        <v>0.12684234033050501</v>
      </c>
      <c r="BA1405" s="63">
        <v>0.15006699419383701</v>
      </c>
      <c r="BB1405" s="80">
        <v>88.8</v>
      </c>
      <c r="BC1405" s="80"/>
      <c r="BD1405" s="80"/>
      <c r="BE1405" s="80"/>
      <c r="BF1405" s="80"/>
      <c r="BG1405" s="80"/>
      <c r="BH1405" s="80"/>
      <c r="BI1405" s="80"/>
      <c r="BJ1405" s="3">
        <v>17.399999999999999</v>
      </c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29" t="s">
        <v>223</v>
      </c>
      <c r="CJ1405" s="18" t="s">
        <v>548</v>
      </c>
      <c r="CK1405" s="30"/>
    </row>
    <row r="1406" spans="1:89" x14ac:dyDescent="0.25">
      <c r="A1406" s="18" t="s">
        <v>548</v>
      </c>
      <c r="B1406" s="29" t="s">
        <v>219</v>
      </c>
      <c r="C1406" s="29" t="s">
        <v>224</v>
      </c>
      <c r="D1406" s="6">
        <v>8</v>
      </c>
      <c r="E1406" s="6">
        <v>2</v>
      </c>
      <c r="F1406" s="6">
        <v>6</v>
      </c>
      <c r="N1406" s="115">
        <v>1.7621145374449299E-2</v>
      </c>
      <c r="O1406" s="115">
        <v>2.0338983050847501E-2</v>
      </c>
      <c r="P1406" s="115">
        <v>0</v>
      </c>
      <c r="Q1406" s="115">
        <v>2.5974025974026E-2</v>
      </c>
      <c r="R1406" s="115">
        <v>0</v>
      </c>
      <c r="S1406" s="115">
        <v>1.2500000000000001E-2</v>
      </c>
      <c r="T1406" s="115">
        <v>2.7397260273972601E-2</v>
      </c>
      <c r="U1406" s="115">
        <v>1.4285714285714299E-2</v>
      </c>
      <c r="V1406" s="115">
        <v>2.7777777777777801E-2</v>
      </c>
      <c r="W1406" s="6">
        <v>498</v>
      </c>
      <c r="X1406" s="40">
        <f t="shared" si="98"/>
        <v>278</v>
      </c>
      <c r="Y1406" s="40">
        <f t="shared" si="99"/>
        <v>419</v>
      </c>
      <c r="Z1406" s="59">
        <v>0.50602409638554213</v>
      </c>
      <c r="AA1406" s="59">
        <v>0.49397590361445781</v>
      </c>
      <c r="AB1406" s="61">
        <v>2.6104417670682729E-2</v>
      </c>
      <c r="AC1406" s="61">
        <v>4.0160642570281121E-3</v>
      </c>
      <c r="AD1406" s="61">
        <v>1.0040160642570281E-2</v>
      </c>
      <c r="AE1406" s="61">
        <v>0.11847389558232932</v>
      </c>
      <c r="AF1406" s="61">
        <v>0</v>
      </c>
      <c r="AG1406" s="61">
        <v>0.79116465863453811</v>
      </c>
      <c r="AH1406" s="61">
        <v>5.0200803212851405E-2</v>
      </c>
      <c r="AI1406" s="61">
        <v>0.20883534136546184</v>
      </c>
      <c r="AJ1406" s="59">
        <v>0.63654618473895586</v>
      </c>
      <c r="AK1406" s="59">
        <v>1.8072289156626505E-2</v>
      </c>
      <c r="AL1406" s="4">
        <v>71</v>
      </c>
      <c r="AM1406" s="4">
        <v>70</v>
      </c>
      <c r="AN1406" s="4">
        <v>19</v>
      </c>
      <c r="AO1406" s="4">
        <v>55</v>
      </c>
      <c r="AP1406" s="4">
        <v>69</v>
      </c>
      <c r="AQ1406" s="4">
        <v>69</v>
      </c>
      <c r="AR1406" s="4">
        <v>66</v>
      </c>
      <c r="AS1406" s="59">
        <v>0.25675675675675674</v>
      </c>
      <c r="AT1406" s="3">
        <v>6</v>
      </c>
      <c r="AU1406" s="3">
        <v>6</v>
      </c>
      <c r="AV1406" s="49">
        <v>76.296296296296291</v>
      </c>
      <c r="AW1406" s="49">
        <v>15.5555555555556</v>
      </c>
      <c r="AX1406" s="49">
        <v>6.6666666666666696</v>
      </c>
      <c r="AY1406" s="67">
        <v>1.4814814814814801</v>
      </c>
      <c r="AZ1406" s="63">
        <v>0.14925373134328401</v>
      </c>
      <c r="BA1406" s="63">
        <v>0.10820895522388101</v>
      </c>
      <c r="BB1406" s="79">
        <v>93.3</v>
      </c>
      <c r="BC1406" s="79"/>
      <c r="BD1406" s="79"/>
      <c r="BE1406" s="79"/>
      <c r="BF1406" s="79"/>
      <c r="BG1406" s="79"/>
      <c r="BH1406" s="79"/>
      <c r="BI1406" s="79"/>
      <c r="BJ1406" s="3">
        <v>17.399999999999999</v>
      </c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29" t="s">
        <v>224</v>
      </c>
      <c r="CJ1406" s="18" t="s">
        <v>548</v>
      </c>
      <c r="CK1406" s="30"/>
    </row>
    <row r="1407" spans="1:89" x14ac:dyDescent="0.25">
      <c r="A1407" s="18" t="s">
        <v>548</v>
      </c>
      <c r="B1407" s="29" t="s">
        <v>219</v>
      </c>
      <c r="C1407" s="29" t="s">
        <v>225</v>
      </c>
      <c r="D1407" s="6">
        <v>1</v>
      </c>
      <c r="E1407" s="6">
        <v>0</v>
      </c>
      <c r="F1407" s="6">
        <v>1</v>
      </c>
      <c r="N1407" s="115">
        <v>1.4285714285714299E-2</v>
      </c>
      <c r="O1407" s="115">
        <v>2.04081632653061E-2</v>
      </c>
      <c r="P1407" s="115">
        <v>0</v>
      </c>
      <c r="Q1407" s="115">
        <v>0</v>
      </c>
      <c r="R1407" s="115">
        <v>0</v>
      </c>
      <c r="S1407" s="115">
        <v>0</v>
      </c>
      <c r="T1407" s="115">
        <v>9.0909090909090898E-2</v>
      </c>
      <c r="U1407" s="115">
        <v>0</v>
      </c>
      <c r="V1407" s="115">
        <v>0</v>
      </c>
      <c r="W1407" s="6">
        <v>144</v>
      </c>
      <c r="X1407" s="40">
        <f t="shared" si="98"/>
        <v>45</v>
      </c>
      <c r="Y1407" s="40">
        <f t="shared" si="99"/>
        <v>64</v>
      </c>
      <c r="Z1407" s="59">
        <v>0.52083333333333337</v>
      </c>
      <c r="AA1407" s="59">
        <v>0.47916666666666669</v>
      </c>
      <c r="AB1407" s="61">
        <v>0.1111111111111111</v>
      </c>
      <c r="AC1407" s="61">
        <v>0</v>
      </c>
      <c r="AD1407" s="61">
        <v>6.9444444444444441E-3</v>
      </c>
      <c r="AE1407" s="61">
        <v>2.7777777777777776E-2</v>
      </c>
      <c r="AF1407" s="61">
        <v>0</v>
      </c>
      <c r="AG1407" s="61">
        <v>0.81944444444444442</v>
      </c>
      <c r="AH1407" s="61">
        <v>3.4722222222222224E-2</v>
      </c>
      <c r="AI1407" s="61">
        <v>0.18055555555555555</v>
      </c>
      <c r="AJ1407" s="59">
        <v>0.61111111111111116</v>
      </c>
      <c r="AK1407" s="59">
        <v>2.0833333333333332E-2</v>
      </c>
      <c r="AL1407" s="4">
        <v>9</v>
      </c>
      <c r="AM1407" s="4">
        <v>10</v>
      </c>
      <c r="AN1407" s="4">
        <v>4</v>
      </c>
      <c r="AO1407" s="4">
        <v>11</v>
      </c>
      <c r="AP1407" s="4">
        <v>10</v>
      </c>
      <c r="AQ1407" s="4">
        <v>11</v>
      </c>
      <c r="AR1407" s="4">
        <v>9</v>
      </c>
      <c r="AS1407" s="59">
        <v>0.26666666666666666</v>
      </c>
      <c r="AT1407" s="3">
        <v>1</v>
      </c>
      <c r="AU1407" s="3">
        <v>6</v>
      </c>
      <c r="AV1407" s="49">
        <v>99.354838709677395</v>
      </c>
      <c r="AW1407" s="49">
        <v>0.64516129032258096</v>
      </c>
      <c r="AX1407" s="49">
        <v>0</v>
      </c>
      <c r="AY1407" s="67">
        <v>0</v>
      </c>
      <c r="AZ1407" s="63">
        <v>0.12962962962963001</v>
      </c>
      <c r="BA1407" s="63">
        <v>4.9382716049382699E-2</v>
      </c>
      <c r="BB1407" s="80">
        <v>92.5</v>
      </c>
      <c r="BC1407" s="80"/>
      <c r="BD1407" s="80"/>
      <c r="BE1407" s="80"/>
      <c r="BF1407" s="80"/>
      <c r="BG1407" s="80"/>
      <c r="BH1407" s="80"/>
      <c r="BI1407" s="80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29" t="s">
        <v>225</v>
      </c>
      <c r="CJ1407" s="18" t="s">
        <v>548</v>
      </c>
      <c r="CK1407" s="30"/>
    </row>
    <row r="1408" spans="1:89" x14ac:dyDescent="0.25">
      <c r="A1408" s="18" t="s">
        <v>548</v>
      </c>
      <c r="B1408" s="29" t="s">
        <v>219</v>
      </c>
      <c r="C1408" s="29" t="s">
        <v>226</v>
      </c>
      <c r="D1408" s="6">
        <v>2</v>
      </c>
      <c r="E1408" s="6">
        <v>1</v>
      </c>
      <c r="F1408" s="6">
        <v>1</v>
      </c>
      <c r="N1408" s="115">
        <v>2.7100271002710001E-3</v>
      </c>
      <c r="O1408" s="115">
        <v>2.0661157024793402E-3</v>
      </c>
      <c r="P1408" s="115">
        <v>7.7519379844961196E-3</v>
      </c>
      <c r="Q1408" s="115">
        <v>0</v>
      </c>
      <c r="R1408" s="116" t="s">
        <v>83</v>
      </c>
      <c r="S1408" s="115">
        <v>0</v>
      </c>
      <c r="T1408" s="115">
        <v>0</v>
      </c>
      <c r="U1408" s="115">
        <v>8.0645161290322596E-3</v>
      </c>
      <c r="V1408" s="115">
        <v>0</v>
      </c>
      <c r="W1408" s="6">
        <v>854</v>
      </c>
      <c r="X1408" s="40">
        <f t="shared" si="98"/>
        <v>480</v>
      </c>
      <c r="Y1408" s="40">
        <f t="shared" si="99"/>
        <v>728</v>
      </c>
      <c r="Z1408" s="59">
        <v>0.54566744730679162</v>
      </c>
      <c r="AA1408" s="59">
        <v>0.45433255269320844</v>
      </c>
      <c r="AB1408" s="61">
        <v>2.34192037470726E-3</v>
      </c>
      <c r="AC1408" s="61">
        <v>0.1756440281030445</v>
      </c>
      <c r="AD1408" s="61">
        <v>4.9180327868852458E-2</v>
      </c>
      <c r="AE1408" s="61">
        <v>0.14871194379391101</v>
      </c>
      <c r="AF1408" s="61">
        <v>0</v>
      </c>
      <c r="AG1408" s="61">
        <v>0.57494145199063229</v>
      </c>
      <c r="AH1408" s="61">
        <v>4.9180327868852458E-2</v>
      </c>
      <c r="AI1408" s="61">
        <v>0.42505854800936765</v>
      </c>
      <c r="AJ1408" s="59">
        <v>0.34426229508196721</v>
      </c>
      <c r="AK1408" s="59">
        <v>0</v>
      </c>
      <c r="AL1408" s="4">
        <v>123</v>
      </c>
      <c r="AM1408" s="4">
        <v>125</v>
      </c>
      <c r="AN1408" s="4">
        <v>0</v>
      </c>
      <c r="AO1408" s="4">
        <v>123</v>
      </c>
      <c r="AP1408" s="4">
        <v>116</v>
      </c>
      <c r="AQ1408" s="4">
        <v>121</v>
      </c>
      <c r="AR1408" s="4">
        <v>120</v>
      </c>
      <c r="AS1408" s="59">
        <v>0</v>
      </c>
      <c r="AT1408" s="3">
        <v>6</v>
      </c>
      <c r="AU1408" s="3">
        <v>7</v>
      </c>
      <c r="AV1408" s="49">
        <v>45.424836601307199</v>
      </c>
      <c r="AW1408" s="49">
        <v>26.797385620914998</v>
      </c>
      <c r="AX1408" s="49">
        <v>25.490196078431399</v>
      </c>
      <c r="AY1408" s="67">
        <v>2.28758169934641</v>
      </c>
      <c r="AZ1408" s="63">
        <v>4.1763341067285402E-2</v>
      </c>
      <c r="BA1408" s="63">
        <v>1.3921113689095099E-2</v>
      </c>
      <c r="BB1408" s="79">
        <v>96.5</v>
      </c>
      <c r="BC1408" s="79"/>
      <c r="BD1408" s="79"/>
      <c r="BE1408" s="79"/>
      <c r="BF1408" s="79"/>
      <c r="BG1408" s="79"/>
      <c r="BH1408" s="79"/>
      <c r="BI1408" s="79"/>
      <c r="BJ1408" s="3">
        <v>31</v>
      </c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29" t="s">
        <v>226</v>
      </c>
      <c r="CJ1408" s="18" t="s">
        <v>548</v>
      </c>
      <c r="CK1408" s="30"/>
    </row>
    <row r="1409" spans="1:99" x14ac:dyDescent="0.25">
      <c r="A1409" s="18" t="s">
        <v>548</v>
      </c>
      <c r="B1409" s="29" t="s">
        <v>219</v>
      </c>
      <c r="C1409" s="29" t="s">
        <v>227</v>
      </c>
      <c r="D1409" s="6">
        <v>64</v>
      </c>
      <c r="E1409" s="40" t="s">
        <v>83</v>
      </c>
      <c r="F1409" s="6">
        <v>64</v>
      </c>
      <c r="N1409" s="115">
        <v>4.6783625730994101E-2</v>
      </c>
      <c r="O1409" s="115">
        <v>4.6783625730994101E-2</v>
      </c>
      <c r="P1409" s="116" t="s">
        <v>83</v>
      </c>
      <c r="Q1409" s="116" t="s">
        <v>83</v>
      </c>
      <c r="R1409" s="115">
        <v>3.125E-2</v>
      </c>
      <c r="S1409" s="115">
        <v>9.31372549019608E-2</v>
      </c>
      <c r="T1409" s="115">
        <v>4.8780487804878099E-2</v>
      </c>
      <c r="U1409" s="115">
        <v>3.6666666666666702E-2</v>
      </c>
      <c r="V1409" s="115">
        <v>3.3210332103321E-2</v>
      </c>
      <c r="W1409" s="6">
        <v>1201</v>
      </c>
      <c r="X1409" s="40">
        <f t="shared" si="98"/>
        <v>1201</v>
      </c>
      <c r="Y1409" s="40">
        <f t="shared" si="99"/>
        <v>1201</v>
      </c>
      <c r="Z1409" s="59">
        <v>0.49791840133222315</v>
      </c>
      <c r="AA1409" s="59">
        <v>0.50208159866777691</v>
      </c>
      <c r="AB1409" s="61">
        <v>4.9958368026644462E-3</v>
      </c>
      <c r="AC1409" s="61">
        <v>4.1631973355537054E-2</v>
      </c>
      <c r="AD1409" s="61">
        <v>0.61948376353039136</v>
      </c>
      <c r="AE1409" s="61">
        <v>0.15487094088259784</v>
      </c>
      <c r="AF1409" s="61">
        <v>8.3263946711074107E-4</v>
      </c>
      <c r="AG1409" s="61">
        <v>0.15237302248126561</v>
      </c>
      <c r="AH1409" s="61">
        <v>2.5811823480432972E-2</v>
      </c>
      <c r="AI1409" s="61">
        <v>0.84762697751873439</v>
      </c>
      <c r="AJ1409" s="59">
        <v>0.88509575353871772</v>
      </c>
      <c r="AK1409" s="59">
        <v>8.2431307243963359E-2</v>
      </c>
      <c r="AL1409" s="4">
        <v>0</v>
      </c>
      <c r="AM1409" s="4">
        <v>0</v>
      </c>
      <c r="AN1409" s="4">
        <v>230</v>
      </c>
      <c r="AO1409" s="4">
        <v>134</v>
      </c>
      <c r="AP1409" s="4">
        <v>317</v>
      </c>
      <c r="AQ1409" s="4">
        <v>271</v>
      </c>
      <c r="AR1409" s="4">
        <v>249</v>
      </c>
      <c r="AS1409" s="59">
        <v>0.63186813186813184</v>
      </c>
      <c r="AT1409" s="3">
        <v>9</v>
      </c>
      <c r="AU1409" s="3">
        <v>6</v>
      </c>
      <c r="AV1409" s="49">
        <v>49.063670411985001</v>
      </c>
      <c r="AW1409" s="49">
        <v>13.670411985018699</v>
      </c>
      <c r="AX1409" s="49">
        <v>30.711610486891399</v>
      </c>
      <c r="AY1409" s="67">
        <v>6.5543071161048694</v>
      </c>
      <c r="AZ1409" s="63">
        <v>0.39597315436241598</v>
      </c>
      <c r="BA1409" s="63">
        <v>0.228187919463087</v>
      </c>
      <c r="BB1409" s="80">
        <v>89.1</v>
      </c>
      <c r="BC1409" s="80"/>
      <c r="BD1409" s="80"/>
      <c r="BE1409" s="80"/>
      <c r="BF1409" s="80"/>
      <c r="BG1409" s="80"/>
      <c r="BH1409" s="80"/>
      <c r="BI1409" s="80"/>
      <c r="BJ1409" s="3">
        <v>16.399999999999999</v>
      </c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29" t="s">
        <v>227</v>
      </c>
      <c r="CJ1409" s="18" t="s">
        <v>548</v>
      </c>
      <c r="CK1409" s="30"/>
    </row>
    <row r="1410" spans="1:99" x14ac:dyDescent="0.25">
      <c r="A1410" s="18" t="s">
        <v>548</v>
      </c>
      <c r="B1410" s="29" t="s">
        <v>219</v>
      </c>
      <c r="C1410" s="29" t="s">
        <v>228</v>
      </c>
      <c r="D1410" s="6">
        <v>95</v>
      </c>
      <c r="E1410" s="40" t="s">
        <v>83</v>
      </c>
      <c r="F1410" s="6">
        <v>95</v>
      </c>
      <c r="N1410" s="115">
        <v>5.9042883778744601E-2</v>
      </c>
      <c r="O1410" s="115">
        <v>5.9042883778744601E-2</v>
      </c>
      <c r="P1410" s="116" t="s">
        <v>83</v>
      </c>
      <c r="Q1410" s="116" t="s">
        <v>83</v>
      </c>
      <c r="R1410" s="115">
        <v>0</v>
      </c>
      <c r="S1410" s="115">
        <v>5.95009596928983E-2</v>
      </c>
      <c r="T1410" s="115">
        <v>7.9452054794520596E-2</v>
      </c>
      <c r="U1410" s="115">
        <v>6.5714285714285697E-2</v>
      </c>
      <c r="V1410" s="115">
        <v>3.4782608695652202E-2</v>
      </c>
      <c r="W1410" s="6">
        <v>1381</v>
      </c>
      <c r="X1410" s="40">
        <f t="shared" si="98"/>
        <v>1381</v>
      </c>
      <c r="Y1410" s="40">
        <f t="shared" si="99"/>
        <v>1381</v>
      </c>
      <c r="Z1410" s="59">
        <v>0.46415640839971034</v>
      </c>
      <c r="AA1410" s="59">
        <v>0.5358435916002896</v>
      </c>
      <c r="AB1410" s="61">
        <v>5.0687907313540911E-3</v>
      </c>
      <c r="AC1410" s="61">
        <v>5.286024619840695E-2</v>
      </c>
      <c r="AD1410" s="61">
        <v>0.24040550325850832</v>
      </c>
      <c r="AE1410" s="61">
        <v>0.498913830557567</v>
      </c>
      <c r="AF1410" s="61">
        <v>0</v>
      </c>
      <c r="AG1410" s="61">
        <v>0.18754525706010139</v>
      </c>
      <c r="AH1410" s="61">
        <v>1.5206372194062274E-2</v>
      </c>
      <c r="AI1410" s="61">
        <v>0.81245474293989861</v>
      </c>
      <c r="AJ1410" s="59">
        <v>0.85155684286748734</v>
      </c>
      <c r="AK1410" s="59">
        <v>0.3265749456915279</v>
      </c>
      <c r="AL1410" s="4">
        <v>0</v>
      </c>
      <c r="AM1410" s="4">
        <v>0</v>
      </c>
      <c r="AN1410" s="4">
        <v>158</v>
      </c>
      <c r="AO1410" s="4">
        <v>259</v>
      </c>
      <c r="AP1410" s="4">
        <v>335</v>
      </c>
      <c r="AQ1410" s="4">
        <v>316</v>
      </c>
      <c r="AR1410" s="4">
        <v>313</v>
      </c>
      <c r="AS1410" s="59">
        <v>0.37889688249400477</v>
      </c>
      <c r="AT1410" s="3">
        <v>9</v>
      </c>
      <c r="AU1410" s="3">
        <v>6</v>
      </c>
      <c r="AV1410" s="49">
        <v>52.800000000000004</v>
      </c>
      <c r="AW1410" s="49">
        <v>18.079999999999998</v>
      </c>
      <c r="AX1410" s="49">
        <v>24.32</v>
      </c>
      <c r="AY1410" s="67">
        <v>4.8</v>
      </c>
      <c r="AZ1410" s="63">
        <v>0.15180265654649</v>
      </c>
      <c r="BA1410" s="63">
        <v>9.3611638203668607E-2</v>
      </c>
      <c r="BB1410" s="79">
        <v>93.1</v>
      </c>
      <c r="BC1410" s="79"/>
      <c r="BD1410" s="79"/>
      <c r="BE1410" s="79"/>
      <c r="BF1410" s="79"/>
      <c r="BG1410" s="79"/>
      <c r="BH1410" s="79"/>
      <c r="BI1410" s="79"/>
      <c r="BJ1410" s="3">
        <v>17.899999999999999</v>
      </c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29" t="s">
        <v>228</v>
      </c>
      <c r="CJ1410" s="18" t="s">
        <v>548</v>
      </c>
      <c r="CK1410" s="30"/>
    </row>
    <row r="1411" spans="1:99" x14ac:dyDescent="0.25">
      <c r="A1411" s="18" t="s">
        <v>548</v>
      </c>
      <c r="B1411" s="29" t="s">
        <v>219</v>
      </c>
      <c r="C1411" s="29" t="s">
        <v>229</v>
      </c>
      <c r="D1411" s="6">
        <v>24</v>
      </c>
      <c r="E1411" s="40" t="s">
        <v>83</v>
      </c>
      <c r="F1411" s="6">
        <v>24</v>
      </c>
      <c r="N1411" s="115">
        <v>1.9323671497584499E-2</v>
      </c>
      <c r="O1411" s="115">
        <v>1.9323671497584499E-2</v>
      </c>
      <c r="P1411" s="116" t="s">
        <v>83</v>
      </c>
      <c r="Q1411" s="116" t="s">
        <v>83</v>
      </c>
      <c r="R1411" s="115">
        <v>0</v>
      </c>
      <c r="S1411" s="115">
        <v>2.8645833333333301E-2</v>
      </c>
      <c r="T1411" s="115">
        <v>6.4724919093851101E-3</v>
      </c>
      <c r="U1411" s="115">
        <v>2.20820189274448E-2</v>
      </c>
      <c r="V1411" s="115">
        <v>1.72413793103448E-2</v>
      </c>
      <c r="W1411" s="6">
        <v>1160</v>
      </c>
      <c r="X1411" s="40">
        <f t="shared" si="98"/>
        <v>1160</v>
      </c>
      <c r="Y1411" s="40">
        <f t="shared" si="99"/>
        <v>1160</v>
      </c>
      <c r="Z1411" s="59">
        <v>0.51982758620689651</v>
      </c>
      <c r="AA1411" s="59">
        <v>0.48017241379310344</v>
      </c>
      <c r="AB1411" s="61">
        <v>4.3103448275862068E-3</v>
      </c>
      <c r="AC1411" s="61">
        <v>4.6551724137931037E-2</v>
      </c>
      <c r="AD1411" s="61">
        <v>0.31120689655172412</v>
      </c>
      <c r="AE1411" s="61">
        <v>0.26293103448275862</v>
      </c>
      <c r="AF1411" s="61">
        <v>0</v>
      </c>
      <c r="AG1411" s="61">
        <v>0.33879310344827585</v>
      </c>
      <c r="AH1411" s="61">
        <v>3.6206896551724141E-2</v>
      </c>
      <c r="AI1411" s="61">
        <v>0.66120689655172415</v>
      </c>
      <c r="AJ1411" s="59">
        <v>0.73879310344827587</v>
      </c>
      <c r="AK1411" s="59">
        <v>6.7241379310344823E-2</v>
      </c>
      <c r="AL1411" s="4">
        <v>0</v>
      </c>
      <c r="AM1411" s="4">
        <v>0</v>
      </c>
      <c r="AN1411" s="4">
        <v>166</v>
      </c>
      <c r="AO1411" s="4">
        <v>181</v>
      </c>
      <c r="AP1411" s="4">
        <v>295</v>
      </c>
      <c r="AQ1411" s="4">
        <v>299</v>
      </c>
      <c r="AR1411" s="4">
        <v>219</v>
      </c>
      <c r="AS1411" s="59">
        <v>0.47838616714697407</v>
      </c>
      <c r="AT1411" s="3">
        <v>9</v>
      </c>
      <c r="AU1411" s="3">
        <v>6</v>
      </c>
      <c r="AV1411" s="49">
        <v>41.533546325878604</v>
      </c>
      <c r="AW1411" s="49">
        <v>19.808306709265199</v>
      </c>
      <c r="AX1411" s="49">
        <v>38.338658146964896</v>
      </c>
      <c r="AY1411" s="67">
        <v>0.31948881789137401</v>
      </c>
      <c r="AZ1411" s="63">
        <v>0.29454841334418203</v>
      </c>
      <c r="BA1411" s="63">
        <v>0.11554109031733099</v>
      </c>
      <c r="BB1411" s="80">
        <v>93.6</v>
      </c>
      <c r="BC1411" s="80"/>
      <c r="BD1411" s="80"/>
      <c r="BE1411" s="80"/>
      <c r="BF1411" s="80"/>
      <c r="BG1411" s="80"/>
      <c r="BH1411" s="80"/>
      <c r="BI1411" s="80"/>
      <c r="BJ1411" s="3">
        <v>19.5</v>
      </c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29" t="s">
        <v>229</v>
      </c>
      <c r="CJ1411" s="18" t="s">
        <v>548</v>
      </c>
      <c r="CK1411" s="30"/>
    </row>
    <row r="1412" spans="1:99" x14ac:dyDescent="0.25">
      <c r="A1412" s="18" t="s">
        <v>548</v>
      </c>
      <c r="B1412" s="29" t="s">
        <v>219</v>
      </c>
      <c r="C1412" s="29" t="s">
        <v>230</v>
      </c>
      <c r="D1412" s="6">
        <v>116</v>
      </c>
      <c r="E1412" s="40" t="s">
        <v>83</v>
      </c>
      <c r="F1412" s="6">
        <v>116</v>
      </c>
      <c r="N1412" s="115">
        <v>6.7796610169491497E-2</v>
      </c>
      <c r="O1412" s="115">
        <v>6.7796610169491497E-2</v>
      </c>
      <c r="P1412" s="116" t="s">
        <v>83</v>
      </c>
      <c r="Q1412" s="116" t="s">
        <v>83</v>
      </c>
      <c r="R1412" s="115">
        <v>0</v>
      </c>
      <c r="S1412" s="115">
        <v>5.0335570469798703E-2</v>
      </c>
      <c r="T1412" s="115">
        <v>7.3349633251833704E-2</v>
      </c>
      <c r="U1412" s="115">
        <v>9.1383812010443904E-2</v>
      </c>
      <c r="V1412" s="115">
        <v>6.5420560747663503E-2</v>
      </c>
      <c r="W1412" s="6">
        <v>1465</v>
      </c>
      <c r="X1412" s="40">
        <f t="shared" si="98"/>
        <v>1465</v>
      </c>
      <c r="Y1412" s="40">
        <f t="shared" si="99"/>
        <v>1465</v>
      </c>
      <c r="Z1412" s="59">
        <v>0.46416382252559729</v>
      </c>
      <c r="AA1412" s="59">
        <v>0.53583617747440271</v>
      </c>
      <c r="AB1412" s="61">
        <v>6.8259385665529011E-4</v>
      </c>
      <c r="AC1412" s="61">
        <v>2.5255972696245733E-2</v>
      </c>
      <c r="AD1412" s="61">
        <v>0.52559726962457343</v>
      </c>
      <c r="AE1412" s="61">
        <v>0.32013651877133104</v>
      </c>
      <c r="AF1412" s="61">
        <v>0</v>
      </c>
      <c r="AG1412" s="61">
        <v>0.10170648464163823</v>
      </c>
      <c r="AH1412" s="61">
        <v>2.6621160409556314E-2</v>
      </c>
      <c r="AI1412" s="61">
        <v>0.89829351535836177</v>
      </c>
      <c r="AJ1412" s="59">
        <v>0.92218430034129695</v>
      </c>
      <c r="AK1412" s="59">
        <v>0.25392491467576794</v>
      </c>
      <c r="AL1412" s="4">
        <v>0</v>
      </c>
      <c r="AM1412" s="4">
        <v>0</v>
      </c>
      <c r="AN1412" s="4">
        <v>101</v>
      </c>
      <c r="AO1412" s="4">
        <v>377</v>
      </c>
      <c r="AP1412" s="4">
        <v>346</v>
      </c>
      <c r="AQ1412" s="4">
        <v>350</v>
      </c>
      <c r="AR1412" s="4">
        <v>291</v>
      </c>
      <c r="AS1412" s="59">
        <v>0.21129707112970711</v>
      </c>
      <c r="AT1412" s="3">
        <v>9</v>
      </c>
      <c r="AU1412" s="3">
        <v>6</v>
      </c>
      <c r="AV1412" s="49">
        <v>28.421052631578902</v>
      </c>
      <c r="AW1412" s="49">
        <v>20.350877192982502</v>
      </c>
      <c r="AX1412" s="49">
        <v>40.701754385964897</v>
      </c>
      <c r="AY1412" s="67">
        <v>10.526315789473701</v>
      </c>
      <c r="AZ1412" s="63">
        <v>0.28188319427890302</v>
      </c>
      <c r="BA1412" s="63">
        <v>0.16150178784267</v>
      </c>
      <c r="BB1412" s="79">
        <v>88.7</v>
      </c>
      <c r="BC1412" s="79"/>
      <c r="BD1412" s="79"/>
      <c r="BE1412" s="79"/>
      <c r="BF1412" s="79"/>
      <c r="BG1412" s="79"/>
      <c r="BH1412" s="79"/>
      <c r="BI1412" s="79"/>
      <c r="BJ1412" s="3">
        <v>16.2</v>
      </c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29" t="s">
        <v>230</v>
      </c>
      <c r="CJ1412" s="18" t="s">
        <v>548</v>
      </c>
      <c r="CK1412" s="30"/>
    </row>
    <row r="1413" spans="1:99" x14ac:dyDescent="0.25">
      <c r="A1413" s="18" t="s">
        <v>548</v>
      </c>
      <c r="B1413" s="29" t="s">
        <v>219</v>
      </c>
      <c r="C1413" s="29" t="s">
        <v>231</v>
      </c>
      <c r="D1413" s="6">
        <v>3</v>
      </c>
      <c r="E1413" s="6">
        <v>1</v>
      </c>
      <c r="F1413" s="6">
        <v>2</v>
      </c>
      <c r="N1413" s="115">
        <v>4.87012987012987E-3</v>
      </c>
      <c r="O1413" s="115">
        <v>5.1813471502590702E-3</v>
      </c>
      <c r="P1413" s="115">
        <v>0</v>
      </c>
      <c r="Q1413" s="115">
        <v>9.7087378640776708E-3</v>
      </c>
      <c r="R1413" s="116" t="s">
        <v>83</v>
      </c>
      <c r="S1413" s="115">
        <v>0</v>
      </c>
      <c r="T1413" s="115">
        <v>0</v>
      </c>
      <c r="U1413" s="115">
        <v>2.3529411764705899E-2</v>
      </c>
      <c r="V1413" s="115">
        <v>0</v>
      </c>
      <c r="W1413" s="6">
        <v>721</v>
      </c>
      <c r="X1413" s="40">
        <f t="shared" si="98"/>
        <v>379</v>
      </c>
      <c r="Y1413" s="40">
        <f t="shared" si="99"/>
        <v>602</v>
      </c>
      <c r="Z1413" s="59">
        <v>0.48127600554785022</v>
      </c>
      <c r="AA1413" s="59">
        <v>0.51872399445214978</v>
      </c>
      <c r="AB1413" s="61">
        <v>2.7739251040221915E-3</v>
      </c>
      <c r="AC1413" s="61">
        <v>0.15811373092926492</v>
      </c>
      <c r="AD1413" s="61">
        <v>0.18585298196948682</v>
      </c>
      <c r="AE1413" s="61">
        <v>0.12621359223300971</v>
      </c>
      <c r="AF1413" s="61">
        <v>0</v>
      </c>
      <c r="AG1413" s="61">
        <v>0.49653259361997226</v>
      </c>
      <c r="AH1413" s="61">
        <v>3.0513176144244106E-2</v>
      </c>
      <c r="AI1413" s="61">
        <v>0.50346740638002774</v>
      </c>
      <c r="AJ1413" s="59">
        <v>0.3855755894590846</v>
      </c>
      <c r="AK1413" s="59">
        <v>0</v>
      </c>
      <c r="AL1413" s="4">
        <v>123</v>
      </c>
      <c r="AM1413" s="4">
        <v>100</v>
      </c>
      <c r="AN1413" s="4">
        <v>0</v>
      </c>
      <c r="AO1413" s="4">
        <v>122</v>
      </c>
      <c r="AP1413" s="4">
        <v>98</v>
      </c>
      <c r="AQ1413" s="4">
        <v>84</v>
      </c>
      <c r="AR1413" s="4">
        <v>75</v>
      </c>
      <c r="AS1413" s="59">
        <v>0</v>
      </c>
      <c r="AT1413" s="3">
        <v>6</v>
      </c>
      <c r="AU1413" s="3">
        <v>7</v>
      </c>
      <c r="AV1413" s="49">
        <v>44.649446494464904</v>
      </c>
      <c r="AW1413" s="49">
        <v>13.2841328413284</v>
      </c>
      <c r="AX1413" s="49">
        <v>29.151291512915101</v>
      </c>
      <c r="AY1413" s="67">
        <v>12.915129151291499</v>
      </c>
      <c r="AZ1413" s="63">
        <v>1.0869565217391301E-2</v>
      </c>
      <c r="BA1413" s="63">
        <v>8.1521739130434798E-3</v>
      </c>
      <c r="BB1413" s="80">
        <v>96.8</v>
      </c>
      <c r="BC1413" s="80"/>
      <c r="BD1413" s="80"/>
      <c r="BE1413" s="80"/>
      <c r="BF1413" s="80"/>
      <c r="BG1413" s="80"/>
      <c r="BH1413" s="80"/>
      <c r="BI1413" s="80"/>
      <c r="BJ1413" s="3">
        <v>30.4</v>
      </c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29" t="s">
        <v>231</v>
      </c>
      <c r="CJ1413" s="18" t="s">
        <v>548</v>
      </c>
      <c r="CK1413" s="30"/>
    </row>
    <row r="1414" spans="1:99" x14ac:dyDescent="0.25">
      <c r="A1414" s="18" t="s">
        <v>548</v>
      </c>
      <c r="B1414" s="29" t="s">
        <v>219</v>
      </c>
      <c r="C1414" s="29" t="s">
        <v>232</v>
      </c>
      <c r="D1414" s="6">
        <v>0</v>
      </c>
      <c r="E1414" s="40" t="s">
        <v>83</v>
      </c>
      <c r="F1414" s="6">
        <v>0</v>
      </c>
      <c r="N1414" s="115">
        <v>0</v>
      </c>
      <c r="O1414" s="115">
        <v>0</v>
      </c>
      <c r="P1414" s="116" t="s">
        <v>83</v>
      </c>
      <c r="Q1414" s="116" t="s">
        <v>83</v>
      </c>
      <c r="R1414" s="116" t="s">
        <v>83</v>
      </c>
      <c r="S1414" s="115">
        <v>0</v>
      </c>
      <c r="T1414" s="115">
        <v>0</v>
      </c>
      <c r="U1414" s="115">
        <v>0</v>
      </c>
      <c r="V1414" s="115">
        <v>0</v>
      </c>
      <c r="W1414" s="6">
        <v>399</v>
      </c>
      <c r="X1414" s="40">
        <f t="shared" si="98"/>
        <v>399</v>
      </c>
      <c r="Y1414" s="40">
        <f t="shared" si="99"/>
        <v>399</v>
      </c>
      <c r="Z1414" s="59">
        <v>0.50125313283208017</v>
      </c>
      <c r="AA1414" s="59">
        <v>0.49874686716791977</v>
      </c>
      <c r="AB1414" s="61">
        <v>5.0125313283208017E-3</v>
      </c>
      <c r="AC1414" s="61">
        <v>0.18796992481203006</v>
      </c>
      <c r="AD1414" s="61">
        <v>0.2857142857142857</v>
      </c>
      <c r="AE1414" s="61">
        <v>9.5238095238095233E-2</v>
      </c>
      <c r="AF1414" s="61">
        <v>0</v>
      </c>
      <c r="AG1414" s="61">
        <v>0.40350877192982454</v>
      </c>
      <c r="AH1414" s="61">
        <v>2.2556390977443608E-2</v>
      </c>
      <c r="AI1414" s="61">
        <v>0.59649122807017541</v>
      </c>
      <c r="AJ1414" s="59">
        <v>0.54385964912280704</v>
      </c>
      <c r="AK1414" s="59">
        <v>0</v>
      </c>
      <c r="AL1414" s="4">
        <v>0</v>
      </c>
      <c r="AM1414" s="4">
        <v>0</v>
      </c>
      <c r="AN1414" s="4">
        <v>0</v>
      </c>
      <c r="AO1414" s="4">
        <v>86</v>
      </c>
      <c r="AP1414" s="4">
        <v>105</v>
      </c>
      <c r="AQ1414" s="4">
        <v>114</v>
      </c>
      <c r="AR1414" s="4">
        <v>94</v>
      </c>
      <c r="AS1414" s="59">
        <v>0</v>
      </c>
      <c r="AT1414" s="3">
        <v>9</v>
      </c>
      <c r="AU1414" s="3">
        <v>7</v>
      </c>
      <c r="AV1414" s="49">
        <v>64.766839378238288</v>
      </c>
      <c r="AW1414" s="49">
        <v>15.544041450777199</v>
      </c>
      <c r="AX1414" s="49">
        <v>19.689119170984501</v>
      </c>
      <c r="AY1414" s="67">
        <v>0</v>
      </c>
      <c r="AZ1414" s="63">
        <v>1.4888337468982601E-2</v>
      </c>
      <c r="BA1414" s="63">
        <v>4.2183622828784101E-2</v>
      </c>
      <c r="BB1414" s="79">
        <v>96</v>
      </c>
      <c r="BC1414" s="79"/>
      <c r="BD1414" s="79"/>
      <c r="BE1414" s="79"/>
      <c r="BF1414" s="79"/>
      <c r="BG1414" s="79"/>
      <c r="BH1414" s="79"/>
      <c r="BI1414" s="79"/>
      <c r="BJ1414" s="3">
        <v>27.5</v>
      </c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29" t="s">
        <v>232</v>
      </c>
      <c r="CJ1414" s="18" t="s">
        <v>548</v>
      </c>
      <c r="CK1414" s="30"/>
    </row>
    <row r="1415" spans="1:99" x14ac:dyDescent="0.25">
      <c r="A1415" s="18" t="s">
        <v>548</v>
      </c>
      <c r="B1415" s="29" t="s">
        <v>219</v>
      </c>
      <c r="C1415" s="29" t="s">
        <v>493</v>
      </c>
      <c r="D1415" s="6">
        <v>5</v>
      </c>
      <c r="E1415" s="6">
        <v>1</v>
      </c>
      <c r="F1415" s="6">
        <v>4</v>
      </c>
      <c r="N1415" s="115">
        <v>8.0385852090032097E-3</v>
      </c>
      <c r="O1415" s="115">
        <v>9.7560975609756097E-3</v>
      </c>
      <c r="P1415" s="115">
        <v>9.3457943925233603E-3</v>
      </c>
      <c r="Q1415" s="115">
        <v>0</v>
      </c>
      <c r="R1415" s="115">
        <v>0</v>
      </c>
      <c r="S1415" s="115">
        <v>1.7543859649122799E-2</v>
      </c>
      <c r="T1415" s="115">
        <v>7.5187969924812E-3</v>
      </c>
      <c r="U1415" s="115">
        <v>0</v>
      </c>
      <c r="V1415" s="116" t="s">
        <v>83</v>
      </c>
      <c r="W1415" s="6">
        <v>1537</v>
      </c>
      <c r="X1415" s="40">
        <f t="shared" si="98"/>
        <v>405</v>
      </c>
      <c r="Y1415" s="40">
        <f t="shared" si="99"/>
        <v>614</v>
      </c>
      <c r="Z1415" s="59">
        <v>0.48080676642810671</v>
      </c>
      <c r="AA1415" s="59">
        <v>0.51919323357189329</v>
      </c>
      <c r="AB1415" s="61">
        <v>3.2530904359141183E-3</v>
      </c>
      <c r="AC1415" s="61">
        <v>4.2290175666883541E-2</v>
      </c>
      <c r="AD1415" s="61">
        <v>0.1652569941444372</v>
      </c>
      <c r="AE1415" s="61">
        <v>0.25829538061158103</v>
      </c>
      <c r="AF1415" s="61">
        <v>6.5061808718282373E-4</v>
      </c>
      <c r="AG1415" s="61">
        <v>0.50227716330513983</v>
      </c>
      <c r="AH1415" s="61">
        <v>2.797657774886142E-2</v>
      </c>
      <c r="AI1415" s="61">
        <v>0.49772283669486012</v>
      </c>
      <c r="AJ1415" s="59">
        <v>0.66948601171112554</v>
      </c>
      <c r="AK1415" s="59">
        <v>3.9037085230969423E-2</v>
      </c>
      <c r="AL1415" s="4">
        <v>105</v>
      </c>
      <c r="AM1415" s="4">
        <v>104</v>
      </c>
      <c r="AN1415" s="4">
        <v>23</v>
      </c>
      <c r="AO1415" s="4">
        <v>145</v>
      </c>
      <c r="AP1415" s="4">
        <v>135</v>
      </c>
      <c r="AQ1415" s="4">
        <v>102</v>
      </c>
      <c r="AR1415" s="4">
        <v>0</v>
      </c>
      <c r="AS1415" s="59">
        <v>0.13690476190476192</v>
      </c>
      <c r="AT1415" s="3">
        <v>1</v>
      </c>
      <c r="AU1415" s="3">
        <v>1</v>
      </c>
      <c r="AV1415" s="49">
        <v>14.133333333333301</v>
      </c>
      <c r="AW1415" s="49">
        <v>68.266666666666694</v>
      </c>
      <c r="AX1415" s="49">
        <v>15.466666666666701</v>
      </c>
      <c r="AY1415" s="67">
        <v>2.1333333333333302</v>
      </c>
      <c r="AZ1415" s="63">
        <v>7.9487179487179496E-2</v>
      </c>
      <c r="BA1415" s="63">
        <v>4.3589743589743601E-2</v>
      </c>
      <c r="BB1415" s="80">
        <v>96.3</v>
      </c>
      <c r="BC1415" s="80"/>
      <c r="BD1415" s="80"/>
      <c r="BE1415" s="80"/>
      <c r="BF1415" s="80"/>
      <c r="BG1415" s="80"/>
      <c r="BH1415" s="80"/>
      <c r="BI1415" s="80"/>
      <c r="BJ1415" s="80"/>
      <c r="BK1415" s="80"/>
      <c r="BL1415" s="80"/>
      <c r="BM1415" s="80"/>
      <c r="BN1415" s="80"/>
      <c r="BO1415" s="80"/>
      <c r="BP1415" s="80"/>
      <c r="BQ1415" s="80"/>
      <c r="BR1415" s="80"/>
      <c r="BS1415" s="80"/>
      <c r="BT1415" s="80"/>
      <c r="BU1415" s="80"/>
      <c r="BV1415" s="80"/>
      <c r="BW1415" s="80"/>
      <c r="BX1415" s="80"/>
      <c r="BY1415" s="80"/>
      <c r="BZ1415" s="80"/>
      <c r="CA1415" s="80"/>
      <c r="CB1415" s="80"/>
      <c r="CC1415" s="80"/>
      <c r="CD1415" s="80"/>
      <c r="CE1415" s="80"/>
      <c r="CF1415" s="80"/>
      <c r="CG1415" s="80"/>
      <c r="CH1415" s="80"/>
      <c r="CI1415" s="29" t="s">
        <v>493</v>
      </c>
      <c r="CJ1415" s="18" t="s">
        <v>548</v>
      </c>
      <c r="CK1415" s="30" t="s">
        <v>509</v>
      </c>
    </row>
    <row r="1416" spans="1:99" x14ac:dyDescent="0.25">
      <c r="A1416" s="18" t="s">
        <v>548</v>
      </c>
      <c r="B1416" s="29" t="s">
        <v>219</v>
      </c>
      <c r="C1416" s="29" t="s">
        <v>556</v>
      </c>
      <c r="D1416" s="6">
        <v>13</v>
      </c>
      <c r="E1416" s="6">
        <v>7</v>
      </c>
      <c r="F1416" s="6">
        <v>6</v>
      </c>
      <c r="N1416" s="115">
        <v>3.6111111111111101E-2</v>
      </c>
      <c r="O1416" s="115">
        <v>5.8252427184466E-2</v>
      </c>
      <c r="P1416" s="115">
        <v>1.58730158730159E-2</v>
      </c>
      <c r="Q1416" s="115">
        <v>3.8167938931297697E-2</v>
      </c>
      <c r="R1416" s="115">
        <v>0</v>
      </c>
      <c r="S1416" s="115">
        <v>5.8252427184466E-2</v>
      </c>
      <c r="T1416" s="116" t="s">
        <v>83</v>
      </c>
      <c r="U1416" s="116" t="s">
        <v>83</v>
      </c>
      <c r="V1416" s="116" t="s">
        <v>83</v>
      </c>
      <c r="W1416" s="6">
        <v>435</v>
      </c>
      <c r="X1416" s="40">
        <f t="shared" si="98"/>
        <v>90</v>
      </c>
      <c r="Y1416" s="40">
        <f t="shared" si="99"/>
        <v>321</v>
      </c>
      <c r="Z1416" s="59">
        <v>0.49885057471264366</v>
      </c>
      <c r="AA1416" s="59">
        <v>0.50114942528735629</v>
      </c>
      <c r="AB1416" s="61">
        <v>4.5977011494252873E-3</v>
      </c>
      <c r="AC1416" s="61">
        <v>2.528735632183908E-2</v>
      </c>
      <c r="AD1416" s="61">
        <v>0.55172413793103448</v>
      </c>
      <c r="AE1416" s="61">
        <v>0.12183908045977011</v>
      </c>
      <c r="AF1416" s="61">
        <v>0</v>
      </c>
      <c r="AG1416" s="61">
        <v>0.26896551724137929</v>
      </c>
      <c r="AH1416" s="61">
        <v>2.7586206896551724E-2</v>
      </c>
      <c r="AI1416" s="61">
        <v>0.73103448275862071</v>
      </c>
      <c r="AJ1416" s="59">
        <v>0.83678160919540234</v>
      </c>
      <c r="AK1416" s="59">
        <v>0.10804597701149425</v>
      </c>
      <c r="AL1416" s="4">
        <v>117</v>
      </c>
      <c r="AM1416" s="4">
        <v>114</v>
      </c>
      <c r="AN1416" s="4">
        <v>4</v>
      </c>
      <c r="AO1416" s="4">
        <v>86</v>
      </c>
      <c r="AP1416" s="4">
        <v>0</v>
      </c>
      <c r="AQ1416" s="4">
        <v>0</v>
      </c>
      <c r="AR1416" s="4">
        <v>0</v>
      </c>
      <c r="AS1416" s="59">
        <v>4.4444444444444446E-2</v>
      </c>
      <c r="AT1416" s="3">
        <v>6</v>
      </c>
      <c r="AU1416" s="3">
        <v>1</v>
      </c>
      <c r="AV1416" s="49">
        <v>21.518987341772199</v>
      </c>
      <c r="AW1416" s="49">
        <v>36.075949367088597</v>
      </c>
      <c r="AX1416" s="49">
        <v>42.4050632911392</v>
      </c>
      <c r="AY1416" s="67">
        <v>0</v>
      </c>
      <c r="AZ1416" s="63">
        <v>6.41025641025641E-3</v>
      </c>
      <c r="BA1416" s="63">
        <v>0.25</v>
      </c>
      <c r="BB1416" s="79">
        <v>94.6</v>
      </c>
      <c r="BC1416" s="79"/>
      <c r="BD1416" s="79"/>
      <c r="BE1416" s="79"/>
      <c r="BF1416" s="79"/>
      <c r="BG1416" s="79"/>
      <c r="BH1416" s="79"/>
      <c r="BI1416" s="79"/>
      <c r="BJ1416" s="79"/>
      <c r="BK1416" s="79"/>
      <c r="BL1416" s="79"/>
      <c r="BM1416" s="79"/>
      <c r="BN1416" s="79"/>
      <c r="BO1416" s="79"/>
      <c r="BP1416" s="79"/>
      <c r="BQ1416" s="79"/>
      <c r="BR1416" s="79"/>
      <c r="BS1416" s="79"/>
      <c r="BT1416" s="79"/>
      <c r="BU1416" s="79"/>
      <c r="BV1416" s="79"/>
      <c r="BW1416" s="79"/>
      <c r="BX1416" s="79"/>
      <c r="BY1416" s="79"/>
      <c r="BZ1416" s="79"/>
      <c r="CA1416" s="79"/>
      <c r="CB1416" s="79"/>
      <c r="CC1416" s="79"/>
      <c r="CD1416" s="79"/>
      <c r="CE1416" s="79"/>
      <c r="CF1416" s="79"/>
      <c r="CG1416" s="79"/>
      <c r="CH1416" s="79"/>
      <c r="CI1416" s="29" t="s">
        <v>556</v>
      </c>
      <c r="CJ1416" s="18" t="s">
        <v>548</v>
      </c>
      <c r="CK1416" s="30" t="s">
        <v>556</v>
      </c>
    </row>
    <row r="1417" spans="1:99" s="1" customFormat="1" ht="21" customHeight="1" x14ac:dyDescent="0.25">
      <c r="A1417" s="21" t="s">
        <v>0</v>
      </c>
      <c r="B1417" s="22" t="s">
        <v>1</v>
      </c>
      <c r="C1417" s="22" t="s">
        <v>2</v>
      </c>
      <c r="D1417" s="9" t="s">
        <v>3</v>
      </c>
      <c r="E1417" s="9" t="s">
        <v>4</v>
      </c>
      <c r="F1417" s="9" t="s">
        <v>5</v>
      </c>
      <c r="G1417" s="167"/>
      <c r="H1417" s="168"/>
      <c r="I1417" s="168"/>
      <c r="J1417" s="168"/>
      <c r="K1417" s="168"/>
      <c r="L1417" s="168"/>
      <c r="M1417" s="168"/>
      <c r="N1417" s="120" t="s">
        <v>6</v>
      </c>
      <c r="O1417" s="120" t="s">
        <v>7</v>
      </c>
      <c r="P1417" s="120" t="s">
        <v>8</v>
      </c>
      <c r="Q1417" s="120" t="s">
        <v>9</v>
      </c>
      <c r="R1417" s="120" t="s">
        <v>10</v>
      </c>
      <c r="S1417" s="120" t="s">
        <v>11</v>
      </c>
      <c r="T1417" s="120" t="s">
        <v>12</v>
      </c>
      <c r="U1417" s="120" t="s">
        <v>13</v>
      </c>
      <c r="V1417" s="120" t="s">
        <v>14</v>
      </c>
      <c r="W1417" s="41" t="s">
        <v>15</v>
      </c>
      <c r="X1417" s="41" t="s">
        <v>16</v>
      </c>
      <c r="Y1417" s="41" t="s">
        <v>17</v>
      </c>
      <c r="Z1417" s="107" t="s">
        <v>18</v>
      </c>
      <c r="AA1417" s="107" t="s">
        <v>19</v>
      </c>
      <c r="AB1417" s="95" t="s">
        <v>20</v>
      </c>
      <c r="AC1417" s="95" t="s">
        <v>21</v>
      </c>
      <c r="AD1417" s="95" t="s">
        <v>22</v>
      </c>
      <c r="AE1417" s="95" t="s">
        <v>23</v>
      </c>
      <c r="AF1417" s="95" t="s">
        <v>24</v>
      </c>
      <c r="AG1417" s="95" t="s">
        <v>25</v>
      </c>
      <c r="AH1417" s="95" t="s">
        <v>26</v>
      </c>
      <c r="AI1417" s="95" t="s">
        <v>27</v>
      </c>
      <c r="AJ1417" s="95" t="s">
        <v>28</v>
      </c>
      <c r="AK1417" s="107" t="s">
        <v>29</v>
      </c>
      <c r="AL1417" s="42" t="s">
        <v>30</v>
      </c>
      <c r="AM1417" s="42" t="s">
        <v>31</v>
      </c>
      <c r="AN1417" s="42" t="s">
        <v>32</v>
      </c>
      <c r="AO1417" s="42" t="s">
        <v>33</v>
      </c>
      <c r="AP1417" s="42" t="s">
        <v>34</v>
      </c>
      <c r="AQ1417" s="42" t="s">
        <v>35</v>
      </c>
      <c r="AR1417" s="42" t="s">
        <v>36</v>
      </c>
      <c r="AS1417" s="100" t="s">
        <v>37</v>
      </c>
      <c r="AT1417" s="41" t="s">
        <v>38</v>
      </c>
      <c r="AU1417" s="23" t="s">
        <v>39</v>
      </c>
      <c r="AV1417" s="51" t="s">
        <v>40</v>
      </c>
      <c r="AW1417" s="51" t="s">
        <v>41</v>
      </c>
      <c r="AX1417" s="51" t="s">
        <v>42</v>
      </c>
      <c r="AY1417" s="66" t="s">
        <v>43</v>
      </c>
      <c r="AZ1417" s="58" t="s">
        <v>44</v>
      </c>
      <c r="BA1417" s="58" t="s">
        <v>45</v>
      </c>
      <c r="BB1417" s="75" t="s">
        <v>46</v>
      </c>
      <c r="BC1417" s="75" t="s">
        <v>47</v>
      </c>
      <c r="BD1417" s="89" t="s">
        <v>48</v>
      </c>
      <c r="BE1417" s="89" t="s">
        <v>49</v>
      </c>
      <c r="BF1417" s="89" t="s">
        <v>50</v>
      </c>
      <c r="BG1417" s="89" t="s">
        <v>51</v>
      </c>
      <c r="BH1417" s="89" t="s">
        <v>52</v>
      </c>
      <c r="BI1417" s="89" t="s">
        <v>53</v>
      </c>
      <c r="BJ1417" s="86" t="s">
        <v>54</v>
      </c>
      <c r="BK1417" s="123" t="s">
        <v>55</v>
      </c>
      <c r="BL1417" s="123" t="s">
        <v>56</v>
      </c>
      <c r="BM1417" s="123" t="s">
        <v>57</v>
      </c>
      <c r="BN1417" s="123" t="s">
        <v>58</v>
      </c>
      <c r="BO1417" s="131" t="s">
        <v>59</v>
      </c>
      <c r="BP1417" s="131" t="s">
        <v>60</v>
      </c>
      <c r="BQ1417" s="131" t="s">
        <v>61</v>
      </c>
      <c r="BR1417" s="131" t="s">
        <v>62</v>
      </c>
      <c r="BS1417" s="131" t="s">
        <v>63</v>
      </c>
      <c r="BT1417" s="131" t="s">
        <v>64</v>
      </c>
      <c r="BU1417" s="131" t="s">
        <v>65</v>
      </c>
      <c r="BV1417" s="132" t="s">
        <v>66</v>
      </c>
      <c r="BW1417" s="132" t="s">
        <v>67</v>
      </c>
      <c r="BX1417" s="132" t="s">
        <v>68</v>
      </c>
      <c r="BY1417" s="132" t="s">
        <v>69</v>
      </c>
      <c r="BZ1417" s="132" t="s">
        <v>70</v>
      </c>
      <c r="CA1417" s="132" t="s">
        <v>71</v>
      </c>
      <c r="CB1417" s="132" t="s">
        <v>72</v>
      </c>
      <c r="CC1417" s="123" t="s">
        <v>73</v>
      </c>
      <c r="CD1417" s="123" t="s">
        <v>74</v>
      </c>
      <c r="CE1417" s="123" t="s">
        <v>75</v>
      </c>
      <c r="CF1417" s="123" t="s">
        <v>76</v>
      </c>
      <c r="CG1417" s="123" t="s">
        <v>77</v>
      </c>
      <c r="CH1417" s="123" t="s">
        <v>78</v>
      </c>
      <c r="CI1417" s="22" t="s">
        <v>2</v>
      </c>
      <c r="CJ1417" s="21" t="s">
        <v>0</v>
      </c>
      <c r="CK1417" s="24" t="s">
        <v>79</v>
      </c>
      <c r="CL1417"/>
      <c r="CM1417"/>
      <c r="CN1417"/>
      <c r="CO1417"/>
      <c r="CP1417"/>
      <c r="CQ1417"/>
      <c r="CU1417"/>
    </row>
    <row r="1418" spans="1:99" x14ac:dyDescent="0.25">
      <c r="A1418" s="18" t="s">
        <v>548</v>
      </c>
      <c r="B1418" s="29" t="s">
        <v>233</v>
      </c>
      <c r="C1418" s="29" t="s">
        <v>234</v>
      </c>
      <c r="D1418" s="6">
        <v>0</v>
      </c>
      <c r="E1418" s="6">
        <v>0</v>
      </c>
      <c r="F1418" s="6">
        <v>0</v>
      </c>
      <c r="N1418" s="119">
        <v>0</v>
      </c>
      <c r="O1418" s="119">
        <v>0</v>
      </c>
      <c r="P1418" s="119">
        <v>0</v>
      </c>
      <c r="Q1418" s="119">
        <v>0</v>
      </c>
      <c r="R1418" s="116" t="s">
        <v>83</v>
      </c>
      <c r="S1418" s="119">
        <v>0</v>
      </c>
      <c r="T1418" s="119">
        <v>0</v>
      </c>
      <c r="U1418" s="119">
        <v>0</v>
      </c>
      <c r="V1418" s="119">
        <v>0</v>
      </c>
      <c r="W1418" s="6">
        <v>254</v>
      </c>
      <c r="X1418" s="40">
        <f t="shared" ref="X1418:X1464" si="100">SUM(AN1418:AR1418)</f>
        <v>127</v>
      </c>
      <c r="Y1418" s="40">
        <f t="shared" ref="Y1418:Y1464" si="101">SUM(AL1418:AR1418)</f>
        <v>212</v>
      </c>
      <c r="Z1418" s="59">
        <v>0.49212598425196852</v>
      </c>
      <c r="AA1418" s="59">
        <v>0.50787401574803148</v>
      </c>
      <c r="AB1418" s="61">
        <v>0.1062992125984252</v>
      </c>
      <c r="AC1418" s="61">
        <v>1.5748031496062992E-2</v>
      </c>
      <c r="AD1418" s="61">
        <v>0.27952755905511811</v>
      </c>
      <c r="AE1418" s="61">
        <v>3.5433070866141732E-2</v>
      </c>
      <c r="AF1418" s="61">
        <v>0</v>
      </c>
      <c r="AG1418" s="61">
        <v>0.44881889763779526</v>
      </c>
      <c r="AH1418" s="61">
        <v>0.1141732283464567</v>
      </c>
      <c r="AI1418" s="61">
        <v>0.55118110236220474</v>
      </c>
      <c r="AJ1418" s="59">
        <v>0.67716535433070868</v>
      </c>
      <c r="AK1418" s="59">
        <v>3.937007874015748E-3</v>
      </c>
      <c r="AL1418" s="4">
        <v>40</v>
      </c>
      <c r="AM1418" s="4">
        <v>45</v>
      </c>
      <c r="AN1418" s="4">
        <v>0</v>
      </c>
      <c r="AO1418" s="4">
        <v>26</v>
      </c>
      <c r="AP1418" s="4">
        <v>32</v>
      </c>
      <c r="AQ1418" s="4">
        <v>36</v>
      </c>
      <c r="AR1418" s="4">
        <v>33</v>
      </c>
      <c r="AS1418" s="59">
        <v>0</v>
      </c>
      <c r="AT1418" s="3">
        <v>6</v>
      </c>
      <c r="AU1418" s="3">
        <v>6</v>
      </c>
      <c r="AV1418" s="49">
        <v>83.720930232558104</v>
      </c>
      <c r="AW1418" s="49">
        <v>15.116279069767399</v>
      </c>
      <c r="AX1418" s="49">
        <v>1.16279069767442</v>
      </c>
      <c r="AY1418" s="67">
        <v>0</v>
      </c>
      <c r="AZ1418" s="63">
        <v>3.8022813688212899E-2</v>
      </c>
      <c r="BA1418" s="63">
        <v>6.0836501901140698E-2</v>
      </c>
      <c r="BB1418" s="79">
        <v>93.3</v>
      </c>
      <c r="BC1418" s="79"/>
      <c r="BD1418" s="79"/>
      <c r="BE1418" s="79"/>
      <c r="BF1418" s="79"/>
      <c r="BG1418" s="79"/>
      <c r="BH1418" s="79"/>
      <c r="BI1418" s="79"/>
      <c r="BJ1418" s="3">
        <v>18.3</v>
      </c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29" t="s">
        <v>234</v>
      </c>
      <c r="CJ1418" s="18" t="s">
        <v>548</v>
      </c>
      <c r="CK1418" s="30"/>
    </row>
    <row r="1419" spans="1:99" x14ac:dyDescent="0.25">
      <c r="A1419" s="18" t="s">
        <v>548</v>
      </c>
      <c r="B1419" s="29" t="s">
        <v>233</v>
      </c>
      <c r="C1419" s="29" t="s">
        <v>235</v>
      </c>
      <c r="D1419" s="6">
        <v>0</v>
      </c>
      <c r="E1419" s="6">
        <v>0</v>
      </c>
      <c r="F1419" s="6">
        <v>0</v>
      </c>
      <c r="N1419" s="119">
        <v>0</v>
      </c>
      <c r="O1419" s="119">
        <v>0</v>
      </c>
      <c r="P1419" s="119">
        <v>0</v>
      </c>
      <c r="Q1419" s="119">
        <v>0</v>
      </c>
      <c r="R1419" s="116" t="s">
        <v>83</v>
      </c>
      <c r="S1419" s="119">
        <v>0</v>
      </c>
      <c r="T1419" s="119">
        <v>0</v>
      </c>
      <c r="U1419" s="119">
        <v>0</v>
      </c>
      <c r="V1419" s="119">
        <v>0</v>
      </c>
      <c r="W1419" s="6">
        <v>593</v>
      </c>
      <c r="X1419" s="40">
        <f t="shared" si="100"/>
        <v>159</v>
      </c>
      <c r="Y1419" s="40">
        <f t="shared" si="101"/>
        <v>251</v>
      </c>
      <c r="Z1419" s="59">
        <v>0.4856661045531197</v>
      </c>
      <c r="AA1419" s="59">
        <v>0.51433389544688024</v>
      </c>
      <c r="AB1419" s="61">
        <v>3.3726812816188868E-3</v>
      </c>
      <c r="AC1419" s="61">
        <v>0</v>
      </c>
      <c r="AD1419" s="61">
        <v>3.3726812816188868E-3</v>
      </c>
      <c r="AE1419" s="61">
        <v>3.3726812816188868E-2</v>
      </c>
      <c r="AF1419" s="61">
        <v>0</v>
      </c>
      <c r="AG1419" s="61">
        <v>0.92748735244519398</v>
      </c>
      <c r="AH1419" s="61">
        <v>3.2040472175379427E-2</v>
      </c>
      <c r="AI1419" s="61">
        <v>7.2512647554806076E-2</v>
      </c>
      <c r="AJ1419" s="59">
        <v>0.55311973018549743</v>
      </c>
      <c r="AK1419" s="59">
        <v>3.3726812816188868E-3</v>
      </c>
      <c r="AL1419" s="4">
        <v>47</v>
      </c>
      <c r="AM1419" s="4">
        <v>45</v>
      </c>
      <c r="AN1419" s="4">
        <v>0</v>
      </c>
      <c r="AO1419" s="4">
        <v>45</v>
      </c>
      <c r="AP1419" s="4">
        <v>42</v>
      </c>
      <c r="AQ1419" s="4">
        <v>38</v>
      </c>
      <c r="AR1419" s="4">
        <v>34</v>
      </c>
      <c r="AS1419" s="59">
        <v>0</v>
      </c>
      <c r="AT1419" s="3">
        <v>1</v>
      </c>
      <c r="AU1419" s="3">
        <v>6</v>
      </c>
      <c r="AV1419" s="49">
        <v>54.028436018957308</v>
      </c>
      <c r="AW1419" s="49">
        <v>41.706161137440802</v>
      </c>
      <c r="AX1419" s="49">
        <v>2.3696682464454999</v>
      </c>
      <c r="AY1419" s="67">
        <v>1.8957345971563999</v>
      </c>
      <c r="AZ1419" s="63">
        <v>1.43540669856459E-2</v>
      </c>
      <c r="BA1419" s="63">
        <v>6.0606060606060601E-2</v>
      </c>
      <c r="BB1419" s="80">
        <v>95.4</v>
      </c>
      <c r="BC1419" s="80"/>
      <c r="BD1419" s="80"/>
      <c r="BE1419" s="80"/>
      <c r="BF1419" s="80"/>
      <c r="BG1419" s="80"/>
      <c r="BH1419" s="80"/>
      <c r="BI1419" s="80"/>
      <c r="BJ1419" s="3">
        <v>19.899999999999999</v>
      </c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29" t="s">
        <v>235</v>
      </c>
      <c r="CJ1419" s="18" t="s">
        <v>548</v>
      </c>
      <c r="CK1419" s="30"/>
    </row>
    <row r="1420" spans="1:99" x14ac:dyDescent="0.25">
      <c r="A1420" s="18" t="s">
        <v>548</v>
      </c>
      <c r="B1420" s="29" t="s">
        <v>233</v>
      </c>
      <c r="C1420" s="29" t="s">
        <v>236</v>
      </c>
      <c r="D1420" s="6">
        <v>0</v>
      </c>
      <c r="E1420" s="6">
        <v>0</v>
      </c>
      <c r="F1420" s="6">
        <v>0</v>
      </c>
      <c r="N1420" s="119">
        <v>0</v>
      </c>
      <c r="O1420" s="119">
        <v>0</v>
      </c>
      <c r="P1420" s="119">
        <v>0</v>
      </c>
      <c r="Q1420" s="119">
        <v>0</v>
      </c>
      <c r="R1420" s="116" t="s">
        <v>83</v>
      </c>
      <c r="S1420" s="119">
        <v>0</v>
      </c>
      <c r="T1420" s="119">
        <v>0</v>
      </c>
      <c r="U1420" s="119">
        <v>0</v>
      </c>
      <c r="V1420" s="119">
        <v>0</v>
      </c>
      <c r="W1420" s="6">
        <v>864</v>
      </c>
      <c r="X1420" s="40">
        <f t="shared" si="100"/>
        <v>602</v>
      </c>
      <c r="Y1420" s="40">
        <f t="shared" si="101"/>
        <v>864</v>
      </c>
      <c r="Z1420" s="59">
        <v>0.46759259259259262</v>
      </c>
      <c r="AA1420" s="59">
        <v>0.53240740740740744</v>
      </c>
      <c r="AB1420" s="61">
        <v>2.3148148148148147E-3</v>
      </c>
      <c r="AC1420" s="61">
        <v>4.6296296296296294E-3</v>
      </c>
      <c r="AD1420" s="61">
        <v>0.32175925925925924</v>
      </c>
      <c r="AE1420" s="61">
        <v>3.0092592592592591E-2</v>
      </c>
      <c r="AF1420" s="61">
        <v>0</v>
      </c>
      <c r="AG1420" s="61">
        <v>0.60069444444444442</v>
      </c>
      <c r="AH1420" s="61">
        <v>4.0509259259259259E-2</v>
      </c>
      <c r="AI1420" s="61">
        <v>0.39930555555555558</v>
      </c>
      <c r="AJ1420" s="59">
        <v>0.63773148148148151</v>
      </c>
      <c r="AK1420" s="59">
        <v>4.6296296296296294E-3</v>
      </c>
      <c r="AL1420" s="4">
        <v>138</v>
      </c>
      <c r="AM1420" s="4">
        <v>124</v>
      </c>
      <c r="AN1420" s="4">
        <v>0</v>
      </c>
      <c r="AO1420" s="4">
        <v>158</v>
      </c>
      <c r="AP1420" s="4">
        <v>171</v>
      </c>
      <c r="AQ1420" s="4">
        <v>131</v>
      </c>
      <c r="AR1420" s="4">
        <v>142</v>
      </c>
      <c r="AS1420" s="59">
        <v>0</v>
      </c>
      <c r="AT1420" s="3">
        <v>7</v>
      </c>
      <c r="AU1420" s="3">
        <v>6</v>
      </c>
      <c r="AV1420" s="49">
        <v>73.484848484848499</v>
      </c>
      <c r="AW1420" s="49">
        <v>22.348484848484802</v>
      </c>
      <c r="AX1420" s="49">
        <v>3.59848484848485</v>
      </c>
      <c r="AY1420" s="67">
        <v>0.56818181818181801</v>
      </c>
      <c r="AZ1420" s="63">
        <v>0.10160427807486599</v>
      </c>
      <c r="BA1420" s="63">
        <v>0.161497326203209</v>
      </c>
      <c r="BB1420" s="79">
        <v>92.5</v>
      </c>
      <c r="BC1420" s="79"/>
      <c r="BD1420" s="79"/>
      <c r="BE1420" s="79"/>
      <c r="BF1420" s="79"/>
      <c r="BG1420" s="79"/>
      <c r="BH1420" s="79"/>
      <c r="BI1420" s="79"/>
      <c r="BJ1420" s="3">
        <v>18.100000000000001</v>
      </c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29" t="s">
        <v>236</v>
      </c>
      <c r="CJ1420" s="18" t="s">
        <v>548</v>
      </c>
      <c r="CK1420" s="30"/>
    </row>
    <row r="1421" spans="1:99" x14ac:dyDescent="0.25">
      <c r="A1421" s="18" t="s">
        <v>548</v>
      </c>
      <c r="B1421" s="29" t="s">
        <v>233</v>
      </c>
      <c r="C1421" s="29" t="s">
        <v>237</v>
      </c>
      <c r="D1421" s="6">
        <v>1</v>
      </c>
      <c r="E1421" s="6">
        <v>0</v>
      </c>
      <c r="F1421" s="6">
        <v>1</v>
      </c>
      <c r="N1421" s="115">
        <v>3.21543408360129E-3</v>
      </c>
      <c r="O1421" s="115">
        <v>4.5248868778280504E-3</v>
      </c>
      <c r="P1421" s="119">
        <v>0</v>
      </c>
      <c r="Q1421" s="119">
        <v>0</v>
      </c>
      <c r="R1421" s="116" t="s">
        <v>83</v>
      </c>
      <c r="S1421" s="119">
        <v>0</v>
      </c>
      <c r="T1421" s="115">
        <v>1.5151515151515201E-2</v>
      </c>
      <c r="U1421" s="119">
        <v>0</v>
      </c>
      <c r="V1421" s="119">
        <v>0</v>
      </c>
      <c r="W1421" s="6">
        <v>673</v>
      </c>
      <c r="X1421" s="40">
        <f t="shared" si="100"/>
        <v>213</v>
      </c>
      <c r="Y1421" s="40">
        <f t="shared" si="101"/>
        <v>296</v>
      </c>
      <c r="Z1421" s="59">
        <v>0.50817236255572062</v>
      </c>
      <c r="AA1421" s="59">
        <v>0.49182763744427932</v>
      </c>
      <c r="AB1421" s="61">
        <v>0</v>
      </c>
      <c r="AC1421" s="61">
        <v>1.4858841010401188E-3</v>
      </c>
      <c r="AD1421" s="61">
        <v>5.6463595839524518E-2</v>
      </c>
      <c r="AE1421" s="61">
        <v>2.3774145616641901E-2</v>
      </c>
      <c r="AF1421" s="61">
        <v>0</v>
      </c>
      <c r="AG1421" s="61">
        <v>0.86775631500742945</v>
      </c>
      <c r="AH1421" s="61">
        <v>5.0520059435364043E-2</v>
      </c>
      <c r="AI1421" s="61">
        <v>0.13224368499257058</v>
      </c>
      <c r="AJ1421" s="59">
        <v>0.53640416047548289</v>
      </c>
      <c r="AK1421" s="59">
        <v>4.4576523031203564E-3</v>
      </c>
      <c r="AL1421" s="4">
        <v>44</v>
      </c>
      <c r="AM1421" s="4">
        <v>39</v>
      </c>
      <c r="AN1421" s="4">
        <v>0</v>
      </c>
      <c r="AO1421" s="4">
        <v>51</v>
      </c>
      <c r="AP1421" s="4">
        <v>63</v>
      </c>
      <c r="AQ1421" s="4">
        <v>41</v>
      </c>
      <c r="AR1421" s="4">
        <v>58</v>
      </c>
      <c r="AS1421" s="59">
        <v>0</v>
      </c>
      <c r="AT1421" s="3">
        <v>1</v>
      </c>
      <c r="AU1421" s="3">
        <v>6</v>
      </c>
      <c r="AV1421" s="49">
        <v>72.664359861591691</v>
      </c>
      <c r="AW1421" s="49">
        <v>16.955017301038101</v>
      </c>
      <c r="AX1421" s="49">
        <v>10.034602076124601</v>
      </c>
      <c r="AY1421" s="67">
        <v>0.34602076124567499</v>
      </c>
      <c r="AZ1421" s="63">
        <v>6.7226890756302504E-2</v>
      </c>
      <c r="BA1421" s="63">
        <v>0.106442577030812</v>
      </c>
      <c r="BB1421" s="80">
        <v>95</v>
      </c>
      <c r="BC1421" s="80"/>
      <c r="BD1421" s="80"/>
      <c r="BE1421" s="80"/>
      <c r="BF1421" s="80"/>
      <c r="BG1421" s="80"/>
      <c r="BH1421" s="80"/>
      <c r="BI1421" s="80"/>
      <c r="BJ1421" s="3">
        <v>19.100000000000001</v>
      </c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29" t="s">
        <v>237</v>
      </c>
      <c r="CJ1421" s="18" t="s">
        <v>548</v>
      </c>
      <c r="CK1421" s="30"/>
    </row>
    <row r="1422" spans="1:99" x14ac:dyDescent="0.25">
      <c r="A1422" s="18" t="s">
        <v>548</v>
      </c>
      <c r="B1422" s="29" t="s">
        <v>233</v>
      </c>
      <c r="C1422" s="29" t="s">
        <v>238</v>
      </c>
      <c r="D1422" s="6">
        <v>0</v>
      </c>
      <c r="E1422" s="6">
        <v>0</v>
      </c>
      <c r="F1422" s="6">
        <v>0</v>
      </c>
      <c r="N1422" s="119">
        <v>0</v>
      </c>
      <c r="O1422" s="119">
        <v>0</v>
      </c>
      <c r="P1422" s="119">
        <v>0</v>
      </c>
      <c r="Q1422" s="119">
        <v>0</v>
      </c>
      <c r="R1422" s="116" t="s">
        <v>83</v>
      </c>
      <c r="S1422" s="119">
        <v>0</v>
      </c>
      <c r="T1422" s="119">
        <v>0</v>
      </c>
      <c r="U1422" s="119">
        <v>0</v>
      </c>
      <c r="V1422" s="119">
        <v>0</v>
      </c>
      <c r="W1422" s="6">
        <v>388</v>
      </c>
      <c r="X1422" s="40">
        <f t="shared" si="100"/>
        <v>266</v>
      </c>
      <c r="Y1422" s="40">
        <f t="shared" si="101"/>
        <v>388</v>
      </c>
      <c r="Z1422" s="59">
        <v>0.48969072164948452</v>
      </c>
      <c r="AA1422" s="59">
        <v>0.51030927835051543</v>
      </c>
      <c r="AB1422" s="61">
        <v>7.7319587628865982E-3</v>
      </c>
      <c r="AC1422" s="61">
        <v>0</v>
      </c>
      <c r="AD1422" s="61">
        <v>0.12886597938144329</v>
      </c>
      <c r="AE1422" s="61">
        <v>7.7319587628865982E-3</v>
      </c>
      <c r="AF1422" s="61">
        <v>0</v>
      </c>
      <c r="AG1422" s="61">
        <v>0.80154639175257736</v>
      </c>
      <c r="AH1422" s="61">
        <v>5.4123711340206188E-2</v>
      </c>
      <c r="AI1422" s="61">
        <v>0.19845360824742267</v>
      </c>
      <c r="AJ1422" s="59">
        <v>0.5489690721649485</v>
      </c>
      <c r="AK1422" s="59">
        <v>0</v>
      </c>
      <c r="AL1422" s="4">
        <v>58</v>
      </c>
      <c r="AM1422" s="4">
        <v>64</v>
      </c>
      <c r="AN1422" s="4">
        <v>0</v>
      </c>
      <c r="AO1422" s="4">
        <v>69</v>
      </c>
      <c r="AP1422" s="4">
        <v>72</v>
      </c>
      <c r="AQ1422" s="4">
        <v>53</v>
      </c>
      <c r="AR1422" s="4">
        <v>72</v>
      </c>
      <c r="AS1422" s="59">
        <v>0</v>
      </c>
      <c r="AT1422" s="3">
        <v>7</v>
      </c>
      <c r="AU1422" s="3">
        <v>6</v>
      </c>
      <c r="AV1422" s="49">
        <v>76.724137931034491</v>
      </c>
      <c r="AW1422" s="49">
        <v>18.965517241379303</v>
      </c>
      <c r="AX1422" s="49">
        <v>4.31034482758621</v>
      </c>
      <c r="AY1422" s="67">
        <v>0</v>
      </c>
      <c r="AZ1422" s="63">
        <v>9.6534653465346495E-2</v>
      </c>
      <c r="BA1422" s="63">
        <v>0.111386138613861</v>
      </c>
      <c r="BB1422" s="79">
        <v>92.4</v>
      </c>
      <c r="BC1422" s="79"/>
      <c r="BD1422" s="79"/>
      <c r="BE1422" s="79"/>
      <c r="BF1422" s="79"/>
      <c r="BG1422" s="79"/>
      <c r="BH1422" s="79"/>
      <c r="BI1422" s="79"/>
      <c r="BJ1422" s="3">
        <v>17.8</v>
      </c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29" t="s">
        <v>238</v>
      </c>
      <c r="CJ1422" s="18" t="s">
        <v>548</v>
      </c>
      <c r="CK1422" s="30"/>
    </row>
    <row r="1423" spans="1:99" x14ac:dyDescent="0.25">
      <c r="A1423" s="18" t="s">
        <v>548</v>
      </c>
      <c r="B1423" s="29" t="s">
        <v>233</v>
      </c>
      <c r="C1423" s="29" t="s">
        <v>239</v>
      </c>
      <c r="D1423" s="6">
        <v>0</v>
      </c>
      <c r="E1423" s="6" t="s">
        <v>83</v>
      </c>
      <c r="F1423" s="6">
        <v>0</v>
      </c>
      <c r="N1423" s="119">
        <v>0</v>
      </c>
      <c r="O1423" s="119">
        <v>0</v>
      </c>
      <c r="P1423" s="102" t="s">
        <v>83</v>
      </c>
      <c r="Q1423" s="116" t="s">
        <v>83</v>
      </c>
      <c r="R1423" s="116" t="s">
        <v>83</v>
      </c>
      <c r="S1423" s="119">
        <v>0</v>
      </c>
      <c r="T1423" s="119">
        <v>0</v>
      </c>
      <c r="U1423" s="119">
        <v>0</v>
      </c>
      <c r="V1423" s="119">
        <v>0</v>
      </c>
      <c r="W1423" s="6">
        <v>315</v>
      </c>
      <c r="X1423" s="40">
        <f t="shared" si="100"/>
        <v>315</v>
      </c>
      <c r="Y1423" s="40">
        <f t="shared" si="101"/>
        <v>315</v>
      </c>
      <c r="Z1423" s="59">
        <v>0.50476190476190474</v>
      </c>
      <c r="AA1423" s="59">
        <v>0.49523809523809526</v>
      </c>
      <c r="AB1423" s="61">
        <v>0</v>
      </c>
      <c r="AC1423" s="61">
        <v>0</v>
      </c>
      <c r="AD1423" s="61">
        <v>0.19365079365079366</v>
      </c>
      <c r="AE1423" s="61">
        <v>2.8571428571428571E-2</v>
      </c>
      <c r="AF1423" s="61">
        <v>0</v>
      </c>
      <c r="AG1423" s="61">
        <v>0.72380952380952379</v>
      </c>
      <c r="AH1423" s="61">
        <v>5.3968253968253971E-2</v>
      </c>
      <c r="AI1423" s="61">
        <v>0.27619047619047621</v>
      </c>
      <c r="AJ1423" s="59">
        <v>0.53015873015873016</v>
      </c>
      <c r="AK1423" s="59">
        <v>0</v>
      </c>
      <c r="AL1423" s="4">
        <v>0</v>
      </c>
      <c r="AM1423" s="4">
        <v>0</v>
      </c>
      <c r="AN1423" s="4">
        <v>0</v>
      </c>
      <c r="AO1423" s="4">
        <v>79</v>
      </c>
      <c r="AP1423" s="4">
        <v>76</v>
      </c>
      <c r="AQ1423" s="4">
        <v>77</v>
      </c>
      <c r="AR1423" s="4">
        <v>83</v>
      </c>
      <c r="AS1423" s="59">
        <v>0</v>
      </c>
      <c r="AT1423" s="3">
        <v>9</v>
      </c>
      <c r="AU1423" s="3">
        <v>6</v>
      </c>
      <c r="AV1423" s="49">
        <v>88.495575221238894</v>
      </c>
      <c r="AW1423" s="49">
        <v>10.6194690265487</v>
      </c>
      <c r="AX1423" s="49">
        <v>0.88495575221238898</v>
      </c>
      <c r="AY1423" s="67">
        <v>0</v>
      </c>
      <c r="AZ1423" s="63">
        <v>0</v>
      </c>
      <c r="BA1423" s="63">
        <v>0.134556574923547</v>
      </c>
      <c r="BB1423" s="80">
        <v>92.6</v>
      </c>
      <c r="BC1423" s="80"/>
      <c r="BD1423" s="80"/>
      <c r="BE1423" s="80"/>
      <c r="BF1423" s="80"/>
      <c r="BG1423" s="80"/>
      <c r="BH1423" s="80"/>
      <c r="BI1423" s="80"/>
      <c r="BJ1423" s="3">
        <v>18.399999999999999</v>
      </c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29" t="s">
        <v>239</v>
      </c>
      <c r="CJ1423" s="18" t="s">
        <v>548</v>
      </c>
      <c r="CK1423" s="30"/>
    </row>
    <row r="1424" spans="1:99" x14ac:dyDescent="0.25">
      <c r="A1424" s="18" t="s">
        <v>548</v>
      </c>
      <c r="B1424" s="29" t="s">
        <v>240</v>
      </c>
      <c r="C1424" s="29" t="s">
        <v>241</v>
      </c>
      <c r="D1424" s="6">
        <v>71</v>
      </c>
      <c r="E1424" s="6" t="s">
        <v>83</v>
      </c>
      <c r="F1424" s="6">
        <v>71</v>
      </c>
      <c r="N1424" s="115">
        <v>3.5876705406771098E-2</v>
      </c>
      <c r="O1424" s="115">
        <v>3.5876705406771098E-2</v>
      </c>
      <c r="P1424" s="102" t="s">
        <v>83</v>
      </c>
      <c r="Q1424" s="116" t="s">
        <v>83</v>
      </c>
      <c r="R1424" s="115">
        <v>0.5</v>
      </c>
      <c r="S1424" s="115">
        <v>2.83806343906511E-2</v>
      </c>
      <c r="T1424" s="115">
        <v>4.9800796812749001E-2</v>
      </c>
      <c r="U1424" s="115">
        <v>4.1666666666666699E-2</v>
      </c>
      <c r="V1424" s="115">
        <v>1.7766497461928901E-2</v>
      </c>
      <c r="W1424" s="6">
        <v>1768</v>
      </c>
      <c r="X1424" s="40">
        <f t="shared" si="100"/>
        <v>1768</v>
      </c>
      <c r="Y1424" s="40">
        <f t="shared" si="101"/>
        <v>1768</v>
      </c>
      <c r="Z1424" s="59">
        <v>0.49321266968325794</v>
      </c>
      <c r="AA1424" s="59">
        <v>0.50678733031674206</v>
      </c>
      <c r="AB1424" s="61">
        <v>1.1312217194570137E-3</v>
      </c>
      <c r="AC1424" s="61">
        <v>1.2443438914027148E-2</v>
      </c>
      <c r="AD1424" s="61">
        <v>0.41176470588235292</v>
      </c>
      <c r="AE1424" s="61">
        <v>0.11199095022624435</v>
      </c>
      <c r="AF1424" s="61">
        <v>0</v>
      </c>
      <c r="AG1424" s="61">
        <v>0.45135746606334842</v>
      </c>
      <c r="AH1424" s="61">
        <v>1.1312217194570135E-2</v>
      </c>
      <c r="AI1424" s="61">
        <v>0.54864253393665163</v>
      </c>
      <c r="AJ1424" s="59">
        <v>0.62330316742081449</v>
      </c>
      <c r="AK1424" s="59">
        <v>5.6561085972850679E-2</v>
      </c>
      <c r="AL1424" s="4">
        <v>0</v>
      </c>
      <c r="AM1424" s="4">
        <v>0</v>
      </c>
      <c r="AN1424" s="4">
        <v>147</v>
      </c>
      <c r="AO1424" s="4">
        <v>370</v>
      </c>
      <c r="AP1424" s="4">
        <v>447</v>
      </c>
      <c r="AQ1424" s="4">
        <v>434</v>
      </c>
      <c r="AR1424" s="4">
        <v>370</v>
      </c>
      <c r="AS1424" s="59">
        <v>0.28433268858800775</v>
      </c>
      <c r="AT1424" s="3">
        <v>9</v>
      </c>
      <c r="AU1424" s="3">
        <v>6</v>
      </c>
      <c r="AV1424" s="49">
        <v>47.810650887573999</v>
      </c>
      <c r="AW1424" s="49">
        <v>28.875739644970398</v>
      </c>
      <c r="AX1424" s="49">
        <v>21.8934911242604</v>
      </c>
      <c r="AY1424" s="67">
        <v>1.42011834319527</v>
      </c>
      <c r="AZ1424" s="63">
        <v>0.21424910302409</v>
      </c>
      <c r="BA1424" s="63">
        <v>0.17375704766786301</v>
      </c>
      <c r="BB1424" s="79">
        <v>91.9</v>
      </c>
      <c r="BC1424" s="79"/>
      <c r="BD1424" s="79"/>
      <c r="BE1424" s="79"/>
      <c r="BF1424" s="79"/>
      <c r="BG1424" s="79"/>
      <c r="BH1424" s="79"/>
      <c r="BI1424" s="79"/>
      <c r="BJ1424" s="3">
        <v>17.5</v>
      </c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29" t="s">
        <v>241</v>
      </c>
      <c r="CJ1424" s="18" t="s">
        <v>548</v>
      </c>
      <c r="CK1424" s="30"/>
    </row>
    <row r="1425" spans="1:89" x14ac:dyDescent="0.25">
      <c r="A1425" s="18" t="s">
        <v>548</v>
      </c>
      <c r="B1425" s="29" t="s">
        <v>240</v>
      </c>
      <c r="C1425" s="29" t="s">
        <v>242</v>
      </c>
      <c r="D1425" s="6">
        <v>78</v>
      </c>
      <c r="E1425" s="6" t="s">
        <v>83</v>
      </c>
      <c r="F1425" s="6">
        <v>78</v>
      </c>
      <c r="N1425" s="115">
        <v>5.9633027522935797E-2</v>
      </c>
      <c r="O1425" s="115">
        <v>5.9633027522935797E-2</v>
      </c>
      <c r="P1425" s="102" t="s">
        <v>83</v>
      </c>
      <c r="Q1425" s="116" t="s">
        <v>83</v>
      </c>
      <c r="R1425" s="119">
        <v>0</v>
      </c>
      <c r="S1425" s="115">
        <v>5.0239234449760799E-2</v>
      </c>
      <c r="T1425" s="115">
        <v>6.9148936170212796E-2</v>
      </c>
      <c r="U1425" s="115">
        <v>8.8888888888888906E-2</v>
      </c>
      <c r="V1425" s="115">
        <v>2.8806584362139901E-2</v>
      </c>
      <c r="W1425" s="6">
        <v>1139</v>
      </c>
      <c r="X1425" s="40">
        <f t="shared" si="100"/>
        <v>1139</v>
      </c>
      <c r="Y1425" s="40">
        <f t="shared" si="101"/>
        <v>1139</v>
      </c>
      <c r="Z1425" s="59">
        <v>0.44424934152765583</v>
      </c>
      <c r="AA1425" s="59">
        <v>0.55575065847234417</v>
      </c>
      <c r="AB1425" s="61">
        <v>2.6338893766461808E-3</v>
      </c>
      <c r="AC1425" s="61">
        <v>6.145741878841089E-3</v>
      </c>
      <c r="AD1425" s="61">
        <v>0.64442493415276558</v>
      </c>
      <c r="AE1425" s="61">
        <v>6.4091308165057065E-2</v>
      </c>
      <c r="AF1425" s="61">
        <v>0</v>
      </c>
      <c r="AG1425" s="61">
        <v>0.26602282704126429</v>
      </c>
      <c r="AH1425" s="61">
        <v>1.6681299385425813E-2</v>
      </c>
      <c r="AI1425" s="61">
        <v>0.73397717295873577</v>
      </c>
      <c r="AJ1425" s="59">
        <v>0.70851624231782262</v>
      </c>
      <c r="AK1425" s="59">
        <v>1.6681299385425813E-2</v>
      </c>
      <c r="AL1425" s="4">
        <v>0</v>
      </c>
      <c r="AM1425" s="4">
        <v>0</v>
      </c>
      <c r="AN1425" s="4">
        <v>73</v>
      </c>
      <c r="AO1425" s="4">
        <v>285</v>
      </c>
      <c r="AP1425" s="4">
        <v>330</v>
      </c>
      <c r="AQ1425" s="4">
        <v>228</v>
      </c>
      <c r="AR1425" s="4">
        <v>223</v>
      </c>
      <c r="AS1425" s="59">
        <v>0.20391061452513967</v>
      </c>
      <c r="AT1425" s="3">
        <v>9</v>
      </c>
      <c r="AU1425" s="3">
        <v>6</v>
      </c>
      <c r="AV1425" s="49">
        <v>66.995768688293396</v>
      </c>
      <c r="AW1425" s="49">
        <v>16.502115655853299</v>
      </c>
      <c r="AX1425" s="49">
        <v>15.937940761636099</v>
      </c>
      <c r="AY1425" s="67">
        <v>0.56417489421720701</v>
      </c>
      <c r="AZ1425" s="63">
        <v>0.29205607476635498</v>
      </c>
      <c r="BA1425" s="63">
        <v>0.19781931464174499</v>
      </c>
      <c r="BB1425" s="80">
        <v>92.5</v>
      </c>
      <c r="BC1425" s="80"/>
      <c r="BD1425" s="80"/>
      <c r="BE1425" s="80"/>
      <c r="BF1425" s="80"/>
      <c r="BG1425" s="80"/>
      <c r="BH1425" s="80"/>
      <c r="BI1425" s="80"/>
      <c r="BJ1425" s="3">
        <v>16.600000000000001</v>
      </c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29" t="s">
        <v>242</v>
      </c>
      <c r="CJ1425" s="18" t="s">
        <v>548</v>
      </c>
      <c r="CK1425" s="30"/>
    </row>
    <row r="1426" spans="1:89" x14ac:dyDescent="0.25">
      <c r="A1426" s="18" t="s">
        <v>548</v>
      </c>
      <c r="B1426" s="29" t="s">
        <v>240</v>
      </c>
      <c r="C1426" s="29" t="s">
        <v>243</v>
      </c>
      <c r="D1426" s="6">
        <v>62</v>
      </c>
      <c r="E1426" s="6" t="s">
        <v>83</v>
      </c>
      <c r="F1426" s="6">
        <v>62</v>
      </c>
      <c r="N1426" s="115">
        <v>4.0155440414507797E-2</v>
      </c>
      <c r="O1426" s="115">
        <v>4.0155440414507797E-2</v>
      </c>
      <c r="P1426" s="102" t="s">
        <v>83</v>
      </c>
      <c r="Q1426" s="116" t="s">
        <v>83</v>
      </c>
      <c r="R1426" s="119">
        <v>0</v>
      </c>
      <c r="S1426" s="115">
        <v>1.67597765363128E-2</v>
      </c>
      <c r="T1426" s="115">
        <v>6.2670299727520404E-2</v>
      </c>
      <c r="U1426" s="115">
        <v>0.05</v>
      </c>
      <c r="V1426" s="115">
        <v>3.3472803347280297E-2</v>
      </c>
      <c r="W1426" s="6">
        <v>1381</v>
      </c>
      <c r="X1426" s="40">
        <f t="shared" si="100"/>
        <v>1381</v>
      </c>
      <c r="Y1426" s="40">
        <f t="shared" si="101"/>
        <v>1381</v>
      </c>
      <c r="Z1426" s="59">
        <v>0.52643012309920345</v>
      </c>
      <c r="AA1426" s="59">
        <v>0.47356987690079655</v>
      </c>
      <c r="AB1426" s="61">
        <v>3.6205648081100651E-3</v>
      </c>
      <c r="AC1426" s="61">
        <v>3.403330919623461E-2</v>
      </c>
      <c r="AD1426" s="61">
        <v>0.32078204199855176</v>
      </c>
      <c r="AE1426" s="61">
        <v>4.9963794351918903E-2</v>
      </c>
      <c r="AF1426" s="61">
        <v>7.2411296162201298E-4</v>
      </c>
      <c r="AG1426" s="61">
        <v>0.56553222302679218</v>
      </c>
      <c r="AH1426" s="61">
        <v>2.5343953656770456E-2</v>
      </c>
      <c r="AI1426" s="61">
        <v>0.43446777697320782</v>
      </c>
      <c r="AJ1426" s="59">
        <v>0.48950036205648079</v>
      </c>
      <c r="AK1426" s="59">
        <v>1.0861694424330196E-2</v>
      </c>
      <c r="AL1426" s="4">
        <v>0</v>
      </c>
      <c r="AM1426" s="4">
        <v>0</v>
      </c>
      <c r="AN1426" s="4">
        <v>27</v>
      </c>
      <c r="AO1426" s="4">
        <v>285</v>
      </c>
      <c r="AP1426" s="4">
        <v>323</v>
      </c>
      <c r="AQ1426" s="4">
        <v>299</v>
      </c>
      <c r="AR1426" s="4">
        <v>447</v>
      </c>
      <c r="AS1426" s="59">
        <v>8.6538461538461536E-2</v>
      </c>
      <c r="AT1426" s="3">
        <v>9</v>
      </c>
      <c r="AU1426" s="3">
        <v>6</v>
      </c>
      <c r="AV1426" s="49">
        <v>68.181818181818201</v>
      </c>
      <c r="AW1426" s="49">
        <v>17.2176308539945</v>
      </c>
      <c r="AX1426" s="49">
        <v>14.187327823691501</v>
      </c>
      <c r="AY1426" s="67">
        <v>0.41322314049586806</v>
      </c>
      <c r="AZ1426" s="63">
        <v>0.21862615587846801</v>
      </c>
      <c r="BA1426" s="63">
        <v>0.13077939233817701</v>
      </c>
      <c r="BB1426" s="79">
        <v>93.1</v>
      </c>
      <c r="BC1426" s="79"/>
      <c r="BD1426" s="79"/>
      <c r="BE1426" s="79"/>
      <c r="BF1426" s="79"/>
      <c r="BG1426" s="79"/>
      <c r="BH1426" s="79"/>
      <c r="BI1426" s="79"/>
      <c r="BJ1426" s="3">
        <v>19.899999999999999</v>
      </c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29" t="s">
        <v>243</v>
      </c>
      <c r="CJ1426" s="18" t="s">
        <v>548</v>
      </c>
      <c r="CK1426" s="30"/>
    </row>
    <row r="1427" spans="1:89" x14ac:dyDescent="0.25">
      <c r="A1427" s="18" t="s">
        <v>548</v>
      </c>
      <c r="B1427" s="29" t="s">
        <v>240</v>
      </c>
      <c r="C1427" s="29" t="s">
        <v>244</v>
      </c>
      <c r="D1427" s="6">
        <v>51</v>
      </c>
      <c r="E1427" s="6" t="s">
        <v>83</v>
      </c>
      <c r="F1427" s="6">
        <v>51</v>
      </c>
      <c r="N1427" s="115">
        <v>2.3600185099491001E-2</v>
      </c>
      <c r="O1427" s="115">
        <v>2.3600185099491001E-2</v>
      </c>
      <c r="P1427" s="102" t="s">
        <v>83</v>
      </c>
      <c r="Q1427" s="116" t="s">
        <v>83</v>
      </c>
      <c r="R1427" s="119">
        <v>0</v>
      </c>
      <c r="S1427" s="115">
        <v>1.1744966442953E-2</v>
      </c>
      <c r="T1427" s="115">
        <v>3.08008213552361E-2</v>
      </c>
      <c r="U1427" s="115">
        <v>1.7475728155339799E-2</v>
      </c>
      <c r="V1427" s="115">
        <v>3.6036036036036001E-2</v>
      </c>
      <c r="W1427" s="6">
        <v>1969</v>
      </c>
      <c r="X1427" s="40">
        <f t="shared" si="100"/>
        <v>1969</v>
      </c>
      <c r="Y1427" s="40">
        <f t="shared" si="101"/>
        <v>1969</v>
      </c>
      <c r="Z1427" s="59">
        <v>0.53732859319451498</v>
      </c>
      <c r="AA1427" s="59">
        <v>0.46267140680548502</v>
      </c>
      <c r="AB1427" s="61">
        <v>3.5551041137633316E-3</v>
      </c>
      <c r="AC1427" s="61">
        <v>5.0787201625190452E-2</v>
      </c>
      <c r="AD1427" s="61">
        <v>0.34027425088877605</v>
      </c>
      <c r="AE1427" s="61">
        <v>8.2275266632808527E-2</v>
      </c>
      <c r="AF1427" s="61">
        <v>1.015744032503809E-3</v>
      </c>
      <c r="AG1427" s="61">
        <v>0.50939563230066021</v>
      </c>
      <c r="AH1427" s="61">
        <v>1.2696800406297613E-2</v>
      </c>
      <c r="AI1427" s="61">
        <v>0.49060436769933979</v>
      </c>
      <c r="AJ1427" s="59">
        <v>0.51193499238191975</v>
      </c>
      <c r="AK1427" s="59">
        <v>5.1295073641442354E-2</v>
      </c>
      <c r="AL1427" s="4">
        <v>0</v>
      </c>
      <c r="AM1427" s="4">
        <v>0</v>
      </c>
      <c r="AN1427" s="4">
        <v>91</v>
      </c>
      <c r="AO1427" s="4">
        <v>443</v>
      </c>
      <c r="AP1427" s="4">
        <v>436</v>
      </c>
      <c r="AQ1427" s="4">
        <v>470</v>
      </c>
      <c r="AR1427" s="4">
        <v>529</v>
      </c>
      <c r="AS1427" s="59">
        <v>0.17041198501872659</v>
      </c>
      <c r="AT1427" s="3">
        <v>9</v>
      </c>
      <c r="AU1427" s="3">
        <v>6</v>
      </c>
      <c r="AV1427" s="49">
        <v>68.297655453618802</v>
      </c>
      <c r="AW1427" s="49">
        <v>23.853211009174299</v>
      </c>
      <c r="AX1427" s="49">
        <v>7.5433231396534097</v>
      </c>
      <c r="AY1427" s="67">
        <v>0.30581039755351702</v>
      </c>
      <c r="AZ1427" s="63">
        <v>0.161064425770308</v>
      </c>
      <c r="BA1427" s="63">
        <v>0.10737628384687201</v>
      </c>
      <c r="BB1427" s="80">
        <v>94.2</v>
      </c>
      <c r="BC1427" s="80"/>
      <c r="BD1427" s="80"/>
      <c r="BE1427" s="80"/>
      <c r="BF1427" s="80"/>
      <c r="BG1427" s="80"/>
      <c r="BH1427" s="80"/>
      <c r="BI1427" s="80"/>
      <c r="BJ1427" s="3">
        <v>21.8</v>
      </c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29" t="s">
        <v>244</v>
      </c>
      <c r="CJ1427" s="18" t="s">
        <v>548</v>
      </c>
      <c r="CK1427" s="30"/>
    </row>
    <row r="1428" spans="1:89" x14ac:dyDescent="0.25">
      <c r="A1428" s="18" t="s">
        <v>548</v>
      </c>
      <c r="B1428" s="29" t="s">
        <v>240</v>
      </c>
      <c r="C1428" s="29" t="s">
        <v>245</v>
      </c>
      <c r="D1428" s="6">
        <v>66</v>
      </c>
      <c r="E1428" s="6" t="s">
        <v>83</v>
      </c>
      <c r="F1428" s="6">
        <v>66</v>
      </c>
      <c r="N1428" s="115">
        <v>8.16831683168317E-2</v>
      </c>
      <c r="O1428" s="115">
        <v>8.16831683168317E-2</v>
      </c>
      <c r="P1428" s="102" t="s">
        <v>83</v>
      </c>
      <c r="Q1428" s="116" t="s">
        <v>83</v>
      </c>
      <c r="R1428" s="115">
        <v>0.16666666666666699</v>
      </c>
      <c r="S1428" s="115">
        <v>8.3623693379790906E-2</v>
      </c>
      <c r="T1428" s="115">
        <v>7.0796460176991094E-2</v>
      </c>
      <c r="U1428" s="115">
        <v>0.100558659217877</v>
      </c>
      <c r="V1428" s="115">
        <v>6.3636363636363602E-2</v>
      </c>
      <c r="W1428" s="6">
        <v>660</v>
      </c>
      <c r="X1428" s="40">
        <f t="shared" si="100"/>
        <v>660</v>
      </c>
      <c r="Y1428" s="40">
        <f t="shared" si="101"/>
        <v>660</v>
      </c>
      <c r="Z1428" s="59">
        <v>0.49545454545454548</v>
      </c>
      <c r="AA1428" s="59">
        <v>0.50454545454545452</v>
      </c>
      <c r="AB1428" s="61">
        <v>0</v>
      </c>
      <c r="AC1428" s="61">
        <v>0</v>
      </c>
      <c r="AD1428" s="61">
        <v>0.96212121212121215</v>
      </c>
      <c r="AE1428" s="61">
        <v>4.5454545454545452E-3</v>
      </c>
      <c r="AF1428" s="61">
        <v>0</v>
      </c>
      <c r="AG1428" s="61">
        <v>2.7272727272727271E-2</v>
      </c>
      <c r="AH1428" s="61">
        <v>6.0606060606060606E-3</v>
      </c>
      <c r="AI1428" s="61">
        <v>0.97272727272727277</v>
      </c>
      <c r="AJ1428" s="59">
        <v>0.88030303030303025</v>
      </c>
      <c r="AK1428" s="59">
        <v>0</v>
      </c>
      <c r="AL1428" s="4">
        <v>0</v>
      </c>
      <c r="AM1428" s="4">
        <v>0</v>
      </c>
      <c r="AN1428" s="4">
        <v>116</v>
      </c>
      <c r="AO1428" s="4">
        <v>112</v>
      </c>
      <c r="AP1428" s="4">
        <v>188</v>
      </c>
      <c r="AQ1428" s="4">
        <v>147</v>
      </c>
      <c r="AR1428" s="4">
        <v>97</v>
      </c>
      <c r="AS1428" s="59">
        <v>0.50877192982456143</v>
      </c>
      <c r="AT1428" s="3">
        <v>9</v>
      </c>
      <c r="AU1428" s="3">
        <v>6</v>
      </c>
      <c r="AV1428" s="49">
        <v>73.892773892773903</v>
      </c>
      <c r="AW1428" s="49">
        <v>24.475524475524498</v>
      </c>
      <c r="AX1428" s="49">
        <v>1.3986013986014001</v>
      </c>
      <c r="AY1428" s="67">
        <v>0.23310023310023301</v>
      </c>
      <c r="AZ1428" s="63">
        <v>0.50507614213198004</v>
      </c>
      <c r="BA1428" s="63">
        <v>0.35152284263959399</v>
      </c>
      <c r="BB1428" s="79">
        <v>88.9</v>
      </c>
      <c r="BC1428" s="79"/>
      <c r="BD1428" s="79"/>
      <c r="BE1428" s="79"/>
      <c r="BF1428" s="79"/>
      <c r="BG1428" s="79"/>
      <c r="BH1428" s="79"/>
      <c r="BI1428" s="79"/>
      <c r="BJ1428" s="3">
        <v>15.3</v>
      </c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29" t="s">
        <v>245</v>
      </c>
      <c r="CJ1428" s="18" t="s">
        <v>548</v>
      </c>
      <c r="CK1428" s="30"/>
    </row>
    <row r="1429" spans="1:89" x14ac:dyDescent="0.25">
      <c r="A1429" s="18" t="s">
        <v>548</v>
      </c>
      <c r="B1429" s="29" t="s">
        <v>240</v>
      </c>
      <c r="C1429" s="29" t="s">
        <v>246</v>
      </c>
      <c r="D1429" s="6">
        <v>0</v>
      </c>
      <c r="E1429" s="6" t="s">
        <v>83</v>
      </c>
      <c r="F1429" s="6">
        <v>0</v>
      </c>
      <c r="N1429" s="119">
        <v>0</v>
      </c>
      <c r="O1429" s="119">
        <v>0</v>
      </c>
      <c r="P1429" s="102" t="s">
        <v>83</v>
      </c>
      <c r="Q1429" s="116" t="s">
        <v>83</v>
      </c>
      <c r="R1429" s="116" t="s">
        <v>83</v>
      </c>
      <c r="S1429" s="119">
        <v>0</v>
      </c>
      <c r="T1429" s="119">
        <v>0</v>
      </c>
      <c r="U1429" s="119">
        <v>0</v>
      </c>
      <c r="V1429" s="119">
        <v>0</v>
      </c>
      <c r="W1429" s="6">
        <v>257</v>
      </c>
      <c r="X1429" s="40">
        <f t="shared" si="100"/>
        <v>257</v>
      </c>
      <c r="Y1429" s="40">
        <f t="shared" si="101"/>
        <v>257</v>
      </c>
      <c r="Z1429" s="59">
        <v>0.71595330739299612</v>
      </c>
      <c r="AA1429" s="59">
        <v>0.28404669260700388</v>
      </c>
      <c r="AB1429" s="61">
        <v>0</v>
      </c>
      <c r="AC1429" s="61">
        <v>6.6147859922178989E-2</v>
      </c>
      <c r="AD1429" s="61">
        <v>0.22568093385214008</v>
      </c>
      <c r="AE1429" s="61">
        <v>5.8365758754863814E-2</v>
      </c>
      <c r="AF1429" s="61">
        <v>0</v>
      </c>
      <c r="AG1429" s="61">
        <v>0.62645914396887159</v>
      </c>
      <c r="AH1429" s="61">
        <v>2.3346303501945526E-2</v>
      </c>
      <c r="AI1429" s="61">
        <v>0.37354085603112841</v>
      </c>
      <c r="AJ1429" s="59">
        <v>0.40077821011673154</v>
      </c>
      <c r="AK1429" s="59">
        <v>7.7821011673151752E-3</v>
      </c>
      <c r="AL1429" s="4">
        <v>0</v>
      </c>
      <c r="AM1429" s="4">
        <v>0</v>
      </c>
      <c r="AN1429" s="4">
        <v>0</v>
      </c>
      <c r="AO1429" s="4">
        <v>71</v>
      </c>
      <c r="AP1429" s="4">
        <v>60</v>
      </c>
      <c r="AQ1429" s="4">
        <v>69</v>
      </c>
      <c r="AR1429" s="4">
        <v>57</v>
      </c>
      <c r="AS1429" s="59">
        <v>0</v>
      </c>
      <c r="AT1429" s="3">
        <v>9</v>
      </c>
      <c r="AU1429" s="3">
        <v>8</v>
      </c>
      <c r="AV1429" s="49">
        <v>66.279069767441896</v>
      </c>
      <c r="AW1429" s="49">
        <v>27.906976744186</v>
      </c>
      <c r="AX1429" s="49">
        <v>4.6511627906976702</v>
      </c>
      <c r="AY1429" s="67">
        <v>1.16279069767442</v>
      </c>
      <c r="AZ1429" s="63">
        <v>0</v>
      </c>
      <c r="BA1429" s="63">
        <v>0</v>
      </c>
      <c r="BB1429" s="79">
        <v>97.8</v>
      </c>
      <c r="BC1429" s="79"/>
      <c r="BD1429" s="79"/>
      <c r="BE1429" s="79"/>
      <c r="BF1429" s="79"/>
      <c r="BG1429" s="79"/>
      <c r="BH1429" s="79"/>
      <c r="BI1429" s="79"/>
      <c r="BJ1429" s="3">
        <v>25.2</v>
      </c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29" t="s">
        <v>246</v>
      </c>
      <c r="CJ1429" s="18" t="s">
        <v>548</v>
      </c>
      <c r="CK1429" s="30"/>
    </row>
    <row r="1430" spans="1:89" x14ac:dyDescent="0.25">
      <c r="A1430" s="18" t="s">
        <v>548</v>
      </c>
      <c r="B1430" s="29" t="s">
        <v>240</v>
      </c>
      <c r="C1430" s="29" t="s">
        <v>247</v>
      </c>
      <c r="D1430" s="6">
        <v>2</v>
      </c>
      <c r="E1430" s="6">
        <v>0</v>
      </c>
      <c r="F1430" s="6">
        <v>2</v>
      </c>
      <c r="N1430" s="115">
        <v>1.8939393939393901E-3</v>
      </c>
      <c r="O1430" s="115">
        <v>3.15457413249211E-3</v>
      </c>
      <c r="P1430" s="119">
        <v>0</v>
      </c>
      <c r="Q1430" s="119">
        <v>0</v>
      </c>
      <c r="R1430" s="119">
        <v>0</v>
      </c>
      <c r="S1430" s="119">
        <v>0</v>
      </c>
      <c r="T1430" s="119">
        <v>0</v>
      </c>
      <c r="U1430" s="119">
        <v>0</v>
      </c>
      <c r="V1430" s="115">
        <v>1.7543859649122799E-2</v>
      </c>
      <c r="W1430" s="6">
        <v>1251</v>
      </c>
      <c r="X1430" s="40">
        <f t="shared" si="100"/>
        <v>624</v>
      </c>
      <c r="Y1430" s="40">
        <f t="shared" si="101"/>
        <v>1042</v>
      </c>
      <c r="Z1430" s="59">
        <v>0.39168665067945646</v>
      </c>
      <c r="AA1430" s="59">
        <v>0.60831334932054359</v>
      </c>
      <c r="AB1430" s="61">
        <v>2.3980815347721821E-3</v>
      </c>
      <c r="AC1430" s="61">
        <v>2.5579536370903277E-2</v>
      </c>
      <c r="AD1430" s="61">
        <v>0.34452438049560352</v>
      </c>
      <c r="AE1430" s="61">
        <v>3.8369304556354913E-2</v>
      </c>
      <c r="AF1430" s="61">
        <v>7.993605115907274E-4</v>
      </c>
      <c r="AG1430" s="61">
        <v>0.57793764988009588</v>
      </c>
      <c r="AH1430" s="61">
        <v>1.0391686650679457E-2</v>
      </c>
      <c r="AI1430" s="61">
        <v>0.42206235011990406</v>
      </c>
      <c r="AJ1430" s="59">
        <v>0.45963229416466828</v>
      </c>
      <c r="AK1430" s="59">
        <v>3.9968025579536371E-3</v>
      </c>
      <c r="AL1430" s="4">
        <v>208</v>
      </c>
      <c r="AM1430" s="4">
        <v>210</v>
      </c>
      <c r="AN1430" s="4">
        <v>14</v>
      </c>
      <c r="AO1430" s="4">
        <v>166</v>
      </c>
      <c r="AP1430" s="4">
        <v>168</v>
      </c>
      <c r="AQ1430" s="4">
        <v>165</v>
      </c>
      <c r="AR1430" s="4">
        <v>111</v>
      </c>
      <c r="AS1430" s="59">
        <v>7.7777777777777779E-2</v>
      </c>
      <c r="AT1430" s="3">
        <v>6</v>
      </c>
      <c r="AU1430" s="3">
        <v>7</v>
      </c>
      <c r="AV1430" s="49">
        <v>43.292682926829301</v>
      </c>
      <c r="AW1430" s="49">
        <v>14.227642276422801</v>
      </c>
      <c r="AX1430" s="49">
        <v>38.617886178861802</v>
      </c>
      <c r="AY1430" s="67">
        <v>3.8617886178861798</v>
      </c>
      <c r="AZ1430" s="63">
        <v>0.192094861660079</v>
      </c>
      <c r="BA1430" s="63">
        <v>5.9288537549407098E-2</v>
      </c>
      <c r="BB1430" s="80">
        <v>96.2</v>
      </c>
      <c r="BC1430" s="80"/>
      <c r="BD1430" s="80"/>
      <c r="BE1430" s="80"/>
      <c r="BF1430" s="80"/>
      <c r="BG1430" s="80"/>
      <c r="BH1430" s="80"/>
      <c r="BI1430" s="80"/>
      <c r="BJ1430" s="3">
        <v>21.4</v>
      </c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29" t="s">
        <v>247</v>
      </c>
      <c r="CJ1430" s="18" t="s">
        <v>548</v>
      </c>
      <c r="CK1430" s="30"/>
    </row>
    <row r="1431" spans="1:89" x14ac:dyDescent="0.25">
      <c r="A1431" s="18" t="s">
        <v>548</v>
      </c>
      <c r="B1431" s="29" t="s">
        <v>240</v>
      </c>
      <c r="C1431" s="29" t="s">
        <v>510</v>
      </c>
      <c r="D1431" s="6">
        <v>17</v>
      </c>
      <c r="E1431" s="6" t="s">
        <v>83</v>
      </c>
      <c r="F1431" s="6">
        <v>17</v>
      </c>
      <c r="N1431" s="115">
        <v>1.3168086754453899E-2</v>
      </c>
      <c r="O1431" s="115">
        <v>1.3168086754453899E-2</v>
      </c>
      <c r="P1431" s="102" t="s">
        <v>83</v>
      </c>
      <c r="Q1431" s="116" t="s">
        <v>83</v>
      </c>
      <c r="R1431" s="115">
        <v>0.33333333333333298</v>
      </c>
      <c r="S1431" s="115">
        <v>7.4211502782931399E-3</v>
      </c>
      <c r="T1431" s="115">
        <v>2.2058823529411801E-2</v>
      </c>
      <c r="U1431" s="115">
        <v>8.7976539589442806E-3</v>
      </c>
      <c r="V1431" s="116" t="s">
        <v>83</v>
      </c>
      <c r="W1431" s="6">
        <v>1225</v>
      </c>
      <c r="X1431" s="40">
        <f t="shared" si="100"/>
        <v>1225</v>
      </c>
      <c r="Y1431" s="40">
        <f t="shared" si="101"/>
        <v>1225</v>
      </c>
      <c r="Z1431" s="59">
        <v>0.48081632653061224</v>
      </c>
      <c r="AA1431" s="59">
        <v>0.51918367346938776</v>
      </c>
      <c r="AB1431" s="61">
        <v>6.5306122448979594E-3</v>
      </c>
      <c r="AC1431" s="61">
        <v>2.5306122448979593E-2</v>
      </c>
      <c r="AD1431" s="61">
        <v>0.12897959183673469</v>
      </c>
      <c r="AE1431" s="61">
        <v>3.5918367346938776E-2</v>
      </c>
      <c r="AF1431" s="61">
        <v>0</v>
      </c>
      <c r="AG1431" s="61">
        <v>0.78775510204081634</v>
      </c>
      <c r="AH1431" s="61">
        <v>1.5510204081632653E-2</v>
      </c>
      <c r="AI1431" s="61">
        <v>0.21224489795918366</v>
      </c>
      <c r="AJ1431" s="59">
        <v>0.37551020408163266</v>
      </c>
      <c r="AK1431" s="59">
        <v>8.979591836734694E-3</v>
      </c>
      <c r="AL1431" s="4">
        <v>0</v>
      </c>
      <c r="AM1431" s="4">
        <v>0</v>
      </c>
      <c r="AN1431" s="4">
        <v>24</v>
      </c>
      <c r="AO1431" s="4">
        <v>487</v>
      </c>
      <c r="AP1431" s="4">
        <v>385</v>
      </c>
      <c r="AQ1431" s="4">
        <v>329</v>
      </c>
      <c r="AR1431" s="4">
        <v>0</v>
      </c>
      <c r="AS1431" s="59">
        <v>4.6966731898238745E-2</v>
      </c>
      <c r="AT1431" s="3">
        <v>9</v>
      </c>
      <c r="AU1431" s="3">
        <v>6</v>
      </c>
      <c r="AV1431" s="49">
        <v>40.546218487395002</v>
      </c>
      <c r="AW1431" s="49">
        <v>16.176470588235301</v>
      </c>
      <c r="AX1431" s="49">
        <v>37.605042016806699</v>
      </c>
      <c r="AY1431" s="67">
        <v>5.6722689075630299</v>
      </c>
      <c r="AZ1431" s="63">
        <v>0.19487577639751599</v>
      </c>
      <c r="BA1431" s="63">
        <v>8.1521739130434798E-2</v>
      </c>
      <c r="BB1431" s="79">
        <v>94.9</v>
      </c>
      <c r="BC1431" s="79"/>
      <c r="BD1431" s="79"/>
      <c r="BE1431" s="79"/>
      <c r="BF1431" s="79"/>
      <c r="BG1431" s="79"/>
      <c r="BH1431" s="79"/>
      <c r="BI1431" s="79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29" t="s">
        <v>510</v>
      </c>
      <c r="CJ1431" s="18" t="s">
        <v>548</v>
      </c>
      <c r="CK1431" s="30"/>
    </row>
    <row r="1432" spans="1:89" x14ac:dyDescent="0.25">
      <c r="A1432" s="18" t="s">
        <v>548</v>
      </c>
      <c r="B1432" s="29" t="s">
        <v>248</v>
      </c>
      <c r="C1432" s="29" t="s">
        <v>249</v>
      </c>
      <c r="D1432" s="6">
        <v>4</v>
      </c>
      <c r="E1432" s="6" t="s">
        <v>83</v>
      </c>
      <c r="F1432" s="6">
        <v>4</v>
      </c>
      <c r="N1432" s="115">
        <v>2.7972027972027998E-3</v>
      </c>
      <c r="O1432" s="115">
        <v>2.7972027972027998E-3</v>
      </c>
      <c r="P1432" s="102" t="s">
        <v>83</v>
      </c>
      <c r="Q1432" s="116" t="s">
        <v>83</v>
      </c>
      <c r="R1432" s="119">
        <v>0</v>
      </c>
      <c r="S1432" s="119">
        <v>0</v>
      </c>
      <c r="T1432" s="119">
        <v>0</v>
      </c>
      <c r="U1432" s="115">
        <v>2.9850746268656699E-3</v>
      </c>
      <c r="V1432" s="115">
        <v>1.0752688172042999E-2</v>
      </c>
      <c r="W1432" s="6">
        <v>1357</v>
      </c>
      <c r="X1432" s="40">
        <f t="shared" si="100"/>
        <v>1357</v>
      </c>
      <c r="Y1432" s="40">
        <f t="shared" si="101"/>
        <v>1357</v>
      </c>
      <c r="Z1432" s="59">
        <v>0.4900515843773029</v>
      </c>
      <c r="AA1432" s="59">
        <v>0.5099484156226971</v>
      </c>
      <c r="AB1432" s="61">
        <v>2.1370670596904937E-2</v>
      </c>
      <c r="AC1432" s="61">
        <v>5.1584377302873984E-3</v>
      </c>
      <c r="AD1432" s="61">
        <v>0.17022844509948415</v>
      </c>
      <c r="AE1432" s="61">
        <v>5.6005895357406042E-2</v>
      </c>
      <c r="AF1432" s="61">
        <v>0</v>
      </c>
      <c r="AG1432" s="61">
        <v>0.70081061164333092</v>
      </c>
      <c r="AH1432" s="61">
        <v>4.6425939572586589E-2</v>
      </c>
      <c r="AI1432" s="61">
        <v>0.29918938835666914</v>
      </c>
      <c r="AJ1432" s="59">
        <v>0.59469417833456151</v>
      </c>
      <c r="AK1432" s="59">
        <v>1.0316875460574797E-2</v>
      </c>
      <c r="AL1432" s="4">
        <v>0</v>
      </c>
      <c r="AM1432" s="4">
        <v>0</v>
      </c>
      <c r="AN1432" s="4">
        <v>25</v>
      </c>
      <c r="AO1432" s="4">
        <v>378</v>
      </c>
      <c r="AP1432" s="4">
        <v>371</v>
      </c>
      <c r="AQ1432" s="4">
        <v>316</v>
      </c>
      <c r="AR1432" s="4">
        <v>267</v>
      </c>
      <c r="AS1432" s="59">
        <v>6.2034739454094295E-2</v>
      </c>
      <c r="AT1432" s="3">
        <v>9</v>
      </c>
      <c r="AU1432" s="3">
        <v>6</v>
      </c>
      <c r="AV1432" s="49">
        <v>46.848739495798306</v>
      </c>
      <c r="AW1432" s="49">
        <v>25.210084033613398</v>
      </c>
      <c r="AX1432" s="49">
        <v>25.630252100840302</v>
      </c>
      <c r="AY1432" s="67">
        <v>2.3109243697478998</v>
      </c>
      <c r="AZ1432" s="63">
        <v>0.33100069979006302</v>
      </c>
      <c r="BA1432" s="63">
        <v>0.140657802659202</v>
      </c>
      <c r="BB1432" s="79">
        <v>92.1</v>
      </c>
      <c r="BC1432" s="79"/>
      <c r="BD1432" s="79"/>
      <c r="BE1432" s="79"/>
      <c r="BF1432" s="79"/>
      <c r="BG1432" s="79"/>
      <c r="BH1432" s="79"/>
      <c r="BI1432" s="79"/>
      <c r="BJ1432" s="3">
        <v>18.899999999999999</v>
      </c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29" t="s">
        <v>249</v>
      </c>
      <c r="CJ1432" s="18" t="s">
        <v>548</v>
      </c>
      <c r="CK1432" s="30"/>
    </row>
    <row r="1433" spans="1:89" x14ac:dyDescent="0.25">
      <c r="A1433" s="18" t="s">
        <v>548</v>
      </c>
      <c r="B1433" s="29" t="s">
        <v>248</v>
      </c>
      <c r="C1433" s="29" t="s">
        <v>250</v>
      </c>
      <c r="D1433" s="6">
        <v>2</v>
      </c>
      <c r="E1433" s="6" t="s">
        <v>83</v>
      </c>
      <c r="F1433" s="6">
        <v>2</v>
      </c>
      <c r="N1433" s="115">
        <v>1.8050541516245501E-3</v>
      </c>
      <c r="O1433" s="115">
        <v>1.8050541516245501E-3</v>
      </c>
      <c r="P1433" s="102" t="s">
        <v>83</v>
      </c>
      <c r="Q1433" s="116" t="s">
        <v>83</v>
      </c>
      <c r="R1433" s="119">
        <v>0</v>
      </c>
      <c r="S1433" s="119">
        <v>0</v>
      </c>
      <c r="T1433" s="119">
        <v>0</v>
      </c>
      <c r="U1433" s="119">
        <v>0</v>
      </c>
      <c r="V1433" s="115">
        <v>7.8740157480314994E-3</v>
      </c>
      <c r="W1433" s="6">
        <v>1048</v>
      </c>
      <c r="X1433" s="40">
        <f t="shared" si="100"/>
        <v>1048</v>
      </c>
      <c r="Y1433" s="40">
        <f t="shared" si="101"/>
        <v>1048</v>
      </c>
      <c r="Z1433" s="59">
        <v>0.48854961832061067</v>
      </c>
      <c r="AA1433" s="59">
        <v>0.51145038167938928</v>
      </c>
      <c r="AB1433" s="61">
        <v>7.2519083969465645E-2</v>
      </c>
      <c r="AC1433" s="61">
        <v>2.0038167938931296E-2</v>
      </c>
      <c r="AD1433" s="61">
        <v>2.7671755725190841E-2</v>
      </c>
      <c r="AE1433" s="61">
        <v>0.12404580152671756</v>
      </c>
      <c r="AF1433" s="61">
        <v>9.5419847328244271E-4</v>
      </c>
      <c r="AG1433" s="61">
        <v>0.71564885496183206</v>
      </c>
      <c r="AH1433" s="61">
        <v>3.9122137404580155E-2</v>
      </c>
      <c r="AI1433" s="61">
        <v>0.28435114503816794</v>
      </c>
      <c r="AJ1433" s="59">
        <v>0.59732824427480913</v>
      </c>
      <c r="AK1433" s="59">
        <v>3.8167938931297711E-2</v>
      </c>
      <c r="AL1433" s="4">
        <v>0</v>
      </c>
      <c r="AM1433" s="4">
        <v>0</v>
      </c>
      <c r="AN1433" s="4">
        <v>37</v>
      </c>
      <c r="AO1433" s="4">
        <v>273</v>
      </c>
      <c r="AP1433" s="4">
        <v>261</v>
      </c>
      <c r="AQ1433" s="4">
        <v>244</v>
      </c>
      <c r="AR1433" s="4">
        <v>233</v>
      </c>
      <c r="AS1433" s="59">
        <v>0.11935483870967742</v>
      </c>
      <c r="AT1433" s="3">
        <v>9</v>
      </c>
      <c r="AU1433" s="3">
        <v>6</v>
      </c>
      <c r="AV1433" s="49">
        <v>56.066945606694595</v>
      </c>
      <c r="AW1433" s="49">
        <v>19.4560669456067</v>
      </c>
      <c r="AX1433" s="49">
        <v>23.849372384937201</v>
      </c>
      <c r="AY1433" s="67">
        <v>0.62761506276150603</v>
      </c>
      <c r="AZ1433" s="63">
        <v>0.157323688969259</v>
      </c>
      <c r="BA1433" s="63">
        <v>8.3182640144665504E-2</v>
      </c>
      <c r="BB1433" s="80">
        <v>92.1</v>
      </c>
      <c r="BC1433" s="80"/>
      <c r="BD1433" s="80"/>
      <c r="BE1433" s="80"/>
      <c r="BF1433" s="80"/>
      <c r="BG1433" s="80"/>
      <c r="BH1433" s="80"/>
      <c r="BI1433" s="80"/>
      <c r="BJ1433" s="3">
        <v>19.899999999999999</v>
      </c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29" t="s">
        <v>250</v>
      </c>
      <c r="CJ1433" s="18" t="s">
        <v>548</v>
      </c>
      <c r="CK1433" s="30"/>
    </row>
    <row r="1434" spans="1:89" x14ac:dyDescent="0.25">
      <c r="A1434" s="18" t="s">
        <v>548</v>
      </c>
      <c r="B1434" s="29" t="s">
        <v>248</v>
      </c>
      <c r="C1434" s="29" t="s">
        <v>251</v>
      </c>
      <c r="D1434" s="6">
        <v>6</v>
      </c>
      <c r="E1434" s="6" t="s">
        <v>83</v>
      </c>
      <c r="F1434" s="6">
        <v>6</v>
      </c>
      <c r="N1434" s="115">
        <v>3.9973351099267199E-3</v>
      </c>
      <c r="O1434" s="115">
        <v>3.9973351099267199E-3</v>
      </c>
      <c r="P1434" s="102" t="s">
        <v>83</v>
      </c>
      <c r="Q1434" s="116" t="s">
        <v>83</v>
      </c>
      <c r="R1434" s="119">
        <v>0</v>
      </c>
      <c r="S1434" s="119">
        <v>0</v>
      </c>
      <c r="T1434" s="115">
        <v>4.8661800486617997E-3</v>
      </c>
      <c r="U1434" s="115">
        <v>5.7142857142857099E-3</v>
      </c>
      <c r="V1434" s="115">
        <v>6.9930069930069904E-3</v>
      </c>
      <c r="W1434" s="6">
        <v>1394</v>
      </c>
      <c r="X1434" s="40">
        <f t="shared" si="100"/>
        <v>1394</v>
      </c>
      <c r="Y1434" s="40">
        <f t="shared" si="101"/>
        <v>1394</v>
      </c>
      <c r="Z1434" s="59">
        <v>0.49354375896700142</v>
      </c>
      <c r="AA1434" s="59">
        <v>0.50645624103299858</v>
      </c>
      <c r="AB1434" s="61">
        <v>1.0043041606886656E-2</v>
      </c>
      <c r="AC1434" s="61">
        <v>7.1736011477761836E-3</v>
      </c>
      <c r="AD1434" s="61">
        <v>0.35007173601147779</v>
      </c>
      <c r="AE1434" s="61">
        <v>2.9411764705882353E-2</v>
      </c>
      <c r="AF1434" s="61">
        <v>7.173601147776184E-4</v>
      </c>
      <c r="AG1434" s="61">
        <v>0.57532281205164992</v>
      </c>
      <c r="AH1434" s="61">
        <v>2.7259684361549498E-2</v>
      </c>
      <c r="AI1434" s="61">
        <v>0.42467718794835008</v>
      </c>
      <c r="AJ1434" s="59">
        <v>0.65351506456241037</v>
      </c>
      <c r="AK1434" s="59">
        <v>5.7388809182209472E-3</v>
      </c>
      <c r="AL1434" s="4">
        <v>0</v>
      </c>
      <c r="AM1434" s="4">
        <v>0</v>
      </c>
      <c r="AN1434" s="4">
        <v>25</v>
      </c>
      <c r="AO1434" s="4">
        <v>386</v>
      </c>
      <c r="AP1434" s="4">
        <v>380</v>
      </c>
      <c r="AQ1434" s="4">
        <v>322</v>
      </c>
      <c r="AR1434" s="4">
        <v>281</v>
      </c>
      <c r="AS1434" s="59">
        <v>6.0827250608272508E-2</v>
      </c>
      <c r="AT1434" s="3">
        <v>9</v>
      </c>
      <c r="AU1434" s="3">
        <v>6</v>
      </c>
      <c r="AV1434" s="49">
        <v>54.401408450704203</v>
      </c>
      <c r="AW1434" s="49">
        <v>25.528169014084501</v>
      </c>
      <c r="AX1434" s="49">
        <v>19.7183098591549</v>
      </c>
      <c r="AY1434" s="67">
        <v>0.352112676056338</v>
      </c>
      <c r="AZ1434" s="63">
        <v>0.31062124248496997</v>
      </c>
      <c r="BA1434" s="63">
        <v>0.16032064128256501</v>
      </c>
      <c r="BB1434" s="79">
        <v>93.3</v>
      </c>
      <c r="BC1434" s="79"/>
      <c r="BD1434" s="79"/>
      <c r="BE1434" s="79"/>
      <c r="BF1434" s="79"/>
      <c r="BG1434" s="79"/>
      <c r="BH1434" s="79"/>
      <c r="BI1434" s="79"/>
      <c r="BJ1434" s="3">
        <v>19.100000000000001</v>
      </c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29" t="s">
        <v>251</v>
      </c>
      <c r="CJ1434" s="18" t="s">
        <v>548</v>
      </c>
      <c r="CK1434" s="30"/>
    </row>
    <row r="1435" spans="1:89" x14ac:dyDescent="0.25">
      <c r="A1435" s="18" t="s">
        <v>548</v>
      </c>
      <c r="B1435" s="29" t="s">
        <v>252</v>
      </c>
      <c r="C1435" s="29" t="s">
        <v>253</v>
      </c>
      <c r="D1435" s="6">
        <v>1</v>
      </c>
      <c r="E1435" s="6" t="s">
        <v>83</v>
      </c>
      <c r="F1435" s="6">
        <v>1</v>
      </c>
      <c r="N1435" s="115">
        <v>1.91570881226054E-3</v>
      </c>
      <c r="O1435" s="115">
        <v>1.91570881226054E-3</v>
      </c>
      <c r="P1435" s="102" t="s">
        <v>83</v>
      </c>
      <c r="Q1435" s="116" t="s">
        <v>83</v>
      </c>
      <c r="R1435" s="116" t="s">
        <v>83</v>
      </c>
      <c r="S1435" s="119">
        <v>0</v>
      </c>
      <c r="T1435" s="119">
        <v>0</v>
      </c>
      <c r="U1435" s="119">
        <v>0</v>
      </c>
      <c r="V1435" s="115">
        <v>8.6956521739130401E-3</v>
      </c>
      <c r="W1435" s="6">
        <v>501</v>
      </c>
      <c r="X1435" s="40">
        <f t="shared" si="100"/>
        <v>501</v>
      </c>
      <c r="Y1435" s="40">
        <f t="shared" si="101"/>
        <v>501</v>
      </c>
      <c r="Z1435" s="59">
        <v>0.48702594810379241</v>
      </c>
      <c r="AA1435" s="59">
        <v>0.51297405189620759</v>
      </c>
      <c r="AB1435" s="61">
        <v>7.9840319361277438E-3</v>
      </c>
      <c r="AC1435" s="61">
        <v>0</v>
      </c>
      <c r="AD1435" s="61">
        <v>0.13972055888223553</v>
      </c>
      <c r="AE1435" s="61">
        <v>5.9880239520958087E-3</v>
      </c>
      <c r="AF1435" s="61">
        <v>0</v>
      </c>
      <c r="AG1435" s="61">
        <v>0.84431137724550898</v>
      </c>
      <c r="AH1435" s="61">
        <v>1.996007984031936E-3</v>
      </c>
      <c r="AI1435" s="61">
        <v>0.15568862275449102</v>
      </c>
      <c r="AJ1435" s="59">
        <v>0.49900199600798401</v>
      </c>
      <c r="AK1435" s="59">
        <v>0</v>
      </c>
      <c r="AL1435" s="4">
        <v>0</v>
      </c>
      <c r="AM1435" s="4">
        <v>0</v>
      </c>
      <c r="AN1435" s="4">
        <v>0</v>
      </c>
      <c r="AO1435" s="4">
        <v>139</v>
      </c>
      <c r="AP1435" s="4">
        <v>129</v>
      </c>
      <c r="AQ1435" s="4">
        <v>119</v>
      </c>
      <c r="AR1435" s="4">
        <v>114</v>
      </c>
      <c r="AS1435" s="59">
        <v>0</v>
      </c>
      <c r="AT1435" s="3">
        <v>9</v>
      </c>
      <c r="AU1435" s="3">
        <v>6</v>
      </c>
      <c r="AV1435" s="49">
        <v>72.093023255813904</v>
      </c>
      <c r="AW1435" s="49">
        <v>15.116279069767399</v>
      </c>
      <c r="AX1435" s="49">
        <v>12.790697674418599</v>
      </c>
      <c r="AY1435" s="67">
        <v>0</v>
      </c>
      <c r="AZ1435" s="63">
        <v>0.118773946360153</v>
      </c>
      <c r="BA1435" s="63">
        <v>0</v>
      </c>
      <c r="BB1435" s="79">
        <v>92.2</v>
      </c>
      <c r="BC1435" s="79"/>
      <c r="BD1435" s="79"/>
      <c r="BE1435" s="79"/>
      <c r="BF1435" s="79"/>
      <c r="BG1435" s="79"/>
      <c r="BH1435" s="79"/>
      <c r="BI1435" s="79"/>
      <c r="BJ1435" s="3">
        <v>18.2</v>
      </c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29" t="s">
        <v>253</v>
      </c>
      <c r="CJ1435" s="18" t="s">
        <v>548</v>
      </c>
      <c r="CK1435" s="30"/>
    </row>
    <row r="1436" spans="1:89" x14ac:dyDescent="0.25">
      <c r="A1436" s="18" t="s">
        <v>548</v>
      </c>
      <c r="B1436" s="29" t="s">
        <v>252</v>
      </c>
      <c r="C1436" s="29" t="s">
        <v>254</v>
      </c>
      <c r="D1436" s="6">
        <v>0</v>
      </c>
      <c r="E1436" s="6" t="s">
        <v>83</v>
      </c>
      <c r="F1436" s="6">
        <v>0</v>
      </c>
      <c r="N1436" s="119">
        <v>0</v>
      </c>
      <c r="O1436" s="119">
        <v>0</v>
      </c>
      <c r="P1436" s="102" t="s">
        <v>83</v>
      </c>
      <c r="Q1436" s="116" t="s">
        <v>83</v>
      </c>
      <c r="R1436" s="116" t="s">
        <v>83</v>
      </c>
      <c r="S1436" s="119">
        <v>0</v>
      </c>
      <c r="T1436" s="119">
        <v>0</v>
      </c>
      <c r="U1436" s="119">
        <v>0</v>
      </c>
      <c r="V1436" s="119">
        <v>0</v>
      </c>
      <c r="W1436" s="6">
        <v>248</v>
      </c>
      <c r="X1436" s="40">
        <f t="shared" si="100"/>
        <v>248</v>
      </c>
      <c r="Y1436" s="40">
        <f t="shared" si="101"/>
        <v>248</v>
      </c>
      <c r="Z1436" s="59">
        <v>0.45967741935483869</v>
      </c>
      <c r="AA1436" s="59">
        <v>0.54032258064516125</v>
      </c>
      <c r="AB1436" s="61">
        <v>1.2096774193548387E-2</v>
      </c>
      <c r="AC1436" s="61">
        <v>4.0322580645161289E-3</v>
      </c>
      <c r="AD1436" s="61">
        <v>2.0161290322580645E-2</v>
      </c>
      <c r="AE1436" s="61">
        <v>8.0645161290322578E-3</v>
      </c>
      <c r="AF1436" s="61">
        <v>0</v>
      </c>
      <c r="AG1436" s="61">
        <v>0.94758064516129037</v>
      </c>
      <c r="AH1436" s="61">
        <v>8.0645161290322578E-3</v>
      </c>
      <c r="AI1436" s="61">
        <v>5.2419354838709679E-2</v>
      </c>
      <c r="AJ1436" s="59">
        <v>0.6088709677419355</v>
      </c>
      <c r="AK1436" s="59">
        <v>8.0645161290322578E-3</v>
      </c>
      <c r="AL1436" s="4">
        <v>0</v>
      </c>
      <c r="AM1436" s="4">
        <v>0</v>
      </c>
      <c r="AN1436" s="4">
        <v>0</v>
      </c>
      <c r="AO1436" s="4">
        <v>56</v>
      </c>
      <c r="AP1436" s="4">
        <v>66</v>
      </c>
      <c r="AQ1436" s="4">
        <v>63</v>
      </c>
      <c r="AR1436" s="4">
        <v>63</v>
      </c>
      <c r="AS1436" s="59">
        <v>0</v>
      </c>
      <c r="AT1436" s="3">
        <v>9</v>
      </c>
      <c r="AU1436" s="3">
        <v>6</v>
      </c>
      <c r="AV1436" s="49">
        <v>80.152671755725208</v>
      </c>
      <c r="AW1436" s="49">
        <v>16.793893129771</v>
      </c>
      <c r="AX1436" s="49">
        <v>3.0534351145038201</v>
      </c>
      <c r="AY1436" s="67">
        <v>0</v>
      </c>
      <c r="AZ1436" s="63">
        <v>9.4488188976377993E-2</v>
      </c>
      <c r="BA1436" s="63">
        <v>0</v>
      </c>
      <c r="BB1436" s="80">
        <v>90.8</v>
      </c>
      <c r="BC1436" s="80"/>
      <c r="BD1436" s="80"/>
      <c r="BE1436" s="80"/>
      <c r="BF1436" s="80"/>
      <c r="BG1436" s="80"/>
      <c r="BH1436" s="80"/>
      <c r="BI1436" s="80"/>
      <c r="BJ1436" s="3">
        <v>17.7</v>
      </c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29" t="s">
        <v>254</v>
      </c>
      <c r="CJ1436" s="18" t="s">
        <v>548</v>
      </c>
      <c r="CK1436" s="30"/>
    </row>
    <row r="1437" spans="1:89" x14ac:dyDescent="0.25">
      <c r="A1437" s="18" t="s">
        <v>548</v>
      </c>
      <c r="B1437" s="29" t="s">
        <v>255</v>
      </c>
      <c r="C1437" s="29" t="s">
        <v>257</v>
      </c>
      <c r="D1437" s="6">
        <v>0</v>
      </c>
      <c r="E1437" s="6">
        <v>0</v>
      </c>
      <c r="F1437" s="6">
        <v>0</v>
      </c>
      <c r="N1437" s="119">
        <v>0</v>
      </c>
      <c r="O1437" s="119">
        <v>0</v>
      </c>
      <c r="P1437" s="119">
        <v>0</v>
      </c>
      <c r="Q1437" s="119">
        <v>0</v>
      </c>
      <c r="R1437" s="119">
        <v>0</v>
      </c>
      <c r="S1437" s="119">
        <v>0</v>
      </c>
      <c r="T1437" s="119">
        <v>0</v>
      </c>
      <c r="U1437" s="119">
        <v>0</v>
      </c>
      <c r="V1437" s="119">
        <v>0</v>
      </c>
      <c r="W1437" s="6">
        <v>317</v>
      </c>
      <c r="X1437" s="40">
        <f t="shared" si="100"/>
        <v>180</v>
      </c>
      <c r="Y1437" s="40">
        <f t="shared" si="101"/>
        <v>317</v>
      </c>
      <c r="Z1437" s="59">
        <v>0.47318611987381703</v>
      </c>
      <c r="AA1437" s="59">
        <v>0.52681388012618302</v>
      </c>
      <c r="AB1437" s="61">
        <v>3.1545741324921135E-3</v>
      </c>
      <c r="AC1437" s="61">
        <v>0</v>
      </c>
      <c r="AD1437" s="61">
        <v>7.5709779179810727E-2</v>
      </c>
      <c r="AE1437" s="61">
        <v>2.5236593059936908E-2</v>
      </c>
      <c r="AF1437" s="61">
        <v>0</v>
      </c>
      <c r="AG1437" s="61">
        <v>0.88643533123028395</v>
      </c>
      <c r="AH1437" s="61">
        <v>9.4637223974763408E-3</v>
      </c>
      <c r="AI1437" s="61">
        <v>0.11356466876971609</v>
      </c>
      <c r="AJ1437" s="59">
        <v>0.4637223974763407</v>
      </c>
      <c r="AK1437" s="59">
        <v>3.1545741324921135E-3</v>
      </c>
      <c r="AL1437" s="4">
        <v>60</v>
      </c>
      <c r="AM1437" s="4">
        <v>77</v>
      </c>
      <c r="AN1437" s="4">
        <v>1</v>
      </c>
      <c r="AO1437" s="4">
        <v>48</v>
      </c>
      <c r="AP1437" s="4">
        <v>40</v>
      </c>
      <c r="AQ1437" s="4">
        <v>48</v>
      </c>
      <c r="AR1437" s="4">
        <v>43</v>
      </c>
      <c r="AS1437" s="59">
        <v>2.0408163265306121E-2</v>
      </c>
      <c r="AT1437" s="3">
        <v>7</v>
      </c>
      <c r="AU1437" s="3">
        <v>6</v>
      </c>
      <c r="AV1437" s="49">
        <v>90.983606557377101</v>
      </c>
      <c r="AW1437" s="49">
        <v>8.6065573770491799</v>
      </c>
      <c r="AX1437" s="49">
        <v>0</v>
      </c>
      <c r="AY1437" s="67">
        <v>0.40983606557377106</v>
      </c>
      <c r="AZ1437" s="63">
        <v>0.119760479041916</v>
      </c>
      <c r="BA1437" s="63">
        <v>0.116766467065868</v>
      </c>
      <c r="BB1437" s="79">
        <v>94.9</v>
      </c>
      <c r="BC1437" s="79"/>
      <c r="BD1437" s="79"/>
      <c r="BE1437" s="79"/>
      <c r="BF1437" s="79"/>
      <c r="BG1437" s="79"/>
      <c r="BH1437" s="79"/>
      <c r="BI1437" s="79"/>
      <c r="BJ1437" s="3">
        <v>19.600000000000001</v>
      </c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29" t="s">
        <v>257</v>
      </c>
      <c r="CJ1437" s="18" t="s">
        <v>548</v>
      </c>
      <c r="CK1437" s="30"/>
    </row>
    <row r="1438" spans="1:89" x14ac:dyDescent="0.25">
      <c r="A1438" s="18" t="s">
        <v>548</v>
      </c>
      <c r="B1438" s="29" t="s">
        <v>255</v>
      </c>
      <c r="C1438" s="29" t="s">
        <v>258</v>
      </c>
      <c r="D1438" s="6">
        <v>1</v>
      </c>
      <c r="E1438" s="6" t="s">
        <v>83</v>
      </c>
      <c r="F1438" s="6">
        <v>1</v>
      </c>
      <c r="N1438" s="115">
        <v>7.2992700729927003E-4</v>
      </c>
      <c r="O1438" s="115">
        <v>7.2992700729927003E-4</v>
      </c>
      <c r="P1438" s="102" t="s">
        <v>83</v>
      </c>
      <c r="Q1438" s="116" t="s">
        <v>83</v>
      </c>
      <c r="R1438" s="119">
        <v>0</v>
      </c>
      <c r="S1438" s="119">
        <v>0</v>
      </c>
      <c r="T1438" s="119">
        <v>0</v>
      </c>
      <c r="U1438" s="119">
        <v>0</v>
      </c>
      <c r="V1438" s="115">
        <v>3.0030030030029999E-3</v>
      </c>
      <c r="W1438" s="6">
        <v>1308</v>
      </c>
      <c r="X1438" s="40">
        <f t="shared" si="100"/>
        <v>1308</v>
      </c>
      <c r="Y1438" s="40">
        <f t="shared" si="101"/>
        <v>1308</v>
      </c>
      <c r="Z1438" s="59">
        <v>0.51529051987767582</v>
      </c>
      <c r="AA1438" s="59">
        <v>0.48470948012232418</v>
      </c>
      <c r="AB1438" s="61">
        <v>7.6452599388379206E-4</v>
      </c>
      <c r="AC1438" s="61">
        <v>1.0703363914373088E-2</v>
      </c>
      <c r="AD1438" s="61">
        <v>0.48547400611620795</v>
      </c>
      <c r="AE1438" s="61">
        <v>4.5871559633027525E-2</v>
      </c>
      <c r="AF1438" s="61">
        <v>0</v>
      </c>
      <c r="AG1438" s="61">
        <v>0.44954128440366975</v>
      </c>
      <c r="AH1438" s="61">
        <v>7.6452599388379203E-3</v>
      </c>
      <c r="AI1438" s="61">
        <v>0.55045871559633031</v>
      </c>
      <c r="AJ1438" s="59">
        <v>0.55045871559633031</v>
      </c>
      <c r="AK1438" s="59">
        <v>1.3761467889908258E-2</v>
      </c>
      <c r="AL1438" s="4">
        <v>0</v>
      </c>
      <c r="AM1438" s="4">
        <v>0</v>
      </c>
      <c r="AN1438" s="4">
        <v>81</v>
      </c>
      <c r="AO1438" s="4">
        <v>242</v>
      </c>
      <c r="AP1438" s="4">
        <v>339</v>
      </c>
      <c r="AQ1438" s="4">
        <v>325</v>
      </c>
      <c r="AR1438" s="4">
        <v>321</v>
      </c>
      <c r="AS1438" s="59">
        <v>0.25077399380804954</v>
      </c>
      <c r="AT1438" s="3">
        <v>9</v>
      </c>
      <c r="AU1438" s="3">
        <v>6</v>
      </c>
      <c r="AV1438" s="49">
        <v>71.794871794871796</v>
      </c>
      <c r="AW1438" s="49">
        <v>22.807017543859601</v>
      </c>
      <c r="AX1438" s="49">
        <v>4.7233468286099898</v>
      </c>
      <c r="AY1438" s="67">
        <v>0.67476383265856998</v>
      </c>
      <c r="AZ1438" s="63">
        <v>0.177501826150475</v>
      </c>
      <c r="BA1438" s="63">
        <v>0.14024835646457301</v>
      </c>
      <c r="BB1438" s="80">
        <v>94.2</v>
      </c>
      <c r="BC1438" s="80"/>
      <c r="BD1438" s="80"/>
      <c r="BE1438" s="80"/>
      <c r="BF1438" s="80"/>
      <c r="BG1438" s="80"/>
      <c r="BH1438" s="80"/>
      <c r="BI1438" s="80"/>
      <c r="BJ1438" s="3">
        <v>20</v>
      </c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29" t="s">
        <v>258</v>
      </c>
      <c r="CJ1438" s="18" t="s">
        <v>548</v>
      </c>
      <c r="CK1438" s="30"/>
    </row>
    <row r="1439" spans="1:89" x14ac:dyDescent="0.25">
      <c r="A1439" s="18" t="s">
        <v>548</v>
      </c>
      <c r="B1439" s="29" t="s">
        <v>255</v>
      </c>
      <c r="C1439" s="29" t="s">
        <v>259</v>
      </c>
      <c r="D1439" s="6">
        <v>0</v>
      </c>
      <c r="E1439" s="6">
        <v>0</v>
      </c>
      <c r="F1439" s="6">
        <v>0</v>
      </c>
      <c r="N1439" s="119">
        <v>0</v>
      </c>
      <c r="O1439" s="119">
        <v>0</v>
      </c>
      <c r="P1439" s="119">
        <v>0</v>
      </c>
      <c r="Q1439" s="119">
        <v>0</v>
      </c>
      <c r="R1439" s="119">
        <v>0</v>
      </c>
      <c r="S1439" s="119">
        <v>0</v>
      </c>
      <c r="T1439" s="119">
        <v>0</v>
      </c>
      <c r="U1439" s="119">
        <v>0</v>
      </c>
      <c r="V1439" s="119">
        <v>0</v>
      </c>
      <c r="W1439" s="6">
        <v>526</v>
      </c>
      <c r="X1439" s="40">
        <f t="shared" si="100"/>
        <v>148</v>
      </c>
      <c r="Y1439" s="40">
        <f t="shared" si="101"/>
        <v>218</v>
      </c>
      <c r="Z1439" s="59">
        <v>0.51901140684410652</v>
      </c>
      <c r="AA1439" s="59">
        <v>0.48098859315589354</v>
      </c>
      <c r="AB1439" s="61">
        <v>1.3307984790874524E-2</v>
      </c>
      <c r="AC1439" s="61">
        <v>0</v>
      </c>
      <c r="AD1439" s="61">
        <v>0.42585551330798477</v>
      </c>
      <c r="AE1439" s="61">
        <v>9.5057034220532313E-2</v>
      </c>
      <c r="AF1439" s="61">
        <v>0</v>
      </c>
      <c r="AG1439" s="61">
        <v>0.44866920152091255</v>
      </c>
      <c r="AH1439" s="61">
        <v>1.7110266159695818E-2</v>
      </c>
      <c r="AI1439" s="61">
        <v>0.5513307984790875</v>
      </c>
      <c r="AJ1439" s="59">
        <v>0.74524714828897343</v>
      </c>
      <c r="AK1439" s="59">
        <v>3.9923954372623575E-2</v>
      </c>
      <c r="AL1439" s="4">
        <v>41</v>
      </c>
      <c r="AM1439" s="4">
        <v>29</v>
      </c>
      <c r="AN1439" s="4">
        <v>20</v>
      </c>
      <c r="AO1439" s="4">
        <v>20</v>
      </c>
      <c r="AP1439" s="4">
        <v>42</v>
      </c>
      <c r="AQ1439" s="4">
        <v>36</v>
      </c>
      <c r="AR1439" s="4">
        <v>30</v>
      </c>
      <c r="AS1439" s="59">
        <v>0.5</v>
      </c>
      <c r="AT1439" s="3">
        <v>1</v>
      </c>
      <c r="AU1439" s="3">
        <v>6</v>
      </c>
      <c r="AV1439" s="49">
        <v>86</v>
      </c>
      <c r="AW1439" s="49">
        <v>13.600000000000001</v>
      </c>
      <c r="AX1439" s="49">
        <v>0.4</v>
      </c>
      <c r="AY1439" s="67">
        <v>0</v>
      </c>
      <c r="AZ1439" s="63">
        <v>0.121052631578947</v>
      </c>
      <c r="BA1439" s="63">
        <v>4.5614035087719301E-2</v>
      </c>
      <c r="BB1439" s="79">
        <v>94.6</v>
      </c>
      <c r="BC1439" s="79"/>
      <c r="BD1439" s="79"/>
      <c r="BE1439" s="79"/>
      <c r="BF1439" s="79"/>
      <c r="BG1439" s="79"/>
      <c r="BH1439" s="79"/>
      <c r="BI1439" s="79"/>
      <c r="BJ1439" s="3">
        <v>18.3</v>
      </c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29" t="s">
        <v>259</v>
      </c>
      <c r="CJ1439" s="18" t="s">
        <v>548</v>
      </c>
      <c r="CK1439" s="30"/>
    </row>
    <row r="1440" spans="1:89" x14ac:dyDescent="0.25">
      <c r="A1440" s="18" t="s">
        <v>548</v>
      </c>
      <c r="B1440" s="29" t="s">
        <v>260</v>
      </c>
      <c r="C1440" s="29" t="s">
        <v>261</v>
      </c>
      <c r="D1440" s="6">
        <v>5</v>
      </c>
      <c r="E1440" s="6" t="s">
        <v>83</v>
      </c>
      <c r="F1440" s="6">
        <v>5</v>
      </c>
      <c r="N1440" s="115">
        <v>9.0090090090090107E-3</v>
      </c>
      <c r="O1440" s="115">
        <v>9.0090090090090107E-3</v>
      </c>
      <c r="P1440" s="102" t="s">
        <v>83</v>
      </c>
      <c r="Q1440" s="116" t="s">
        <v>83</v>
      </c>
      <c r="R1440" s="119">
        <v>0</v>
      </c>
      <c r="S1440" s="115">
        <v>6.8027210884353704E-3</v>
      </c>
      <c r="T1440" s="119">
        <v>0</v>
      </c>
      <c r="U1440" s="115">
        <v>1.6528925619834701E-2</v>
      </c>
      <c r="V1440" s="115">
        <v>1.4492753623188401E-2</v>
      </c>
      <c r="W1440" s="6">
        <v>515</v>
      </c>
      <c r="X1440" s="40">
        <f t="shared" si="100"/>
        <v>515</v>
      </c>
      <c r="Y1440" s="40">
        <f t="shared" si="101"/>
        <v>515</v>
      </c>
      <c r="Z1440" s="59">
        <v>0.44271844660194176</v>
      </c>
      <c r="AA1440" s="59">
        <v>0.55728155339805829</v>
      </c>
      <c r="AB1440" s="61">
        <v>5.8252427184466021E-3</v>
      </c>
      <c r="AC1440" s="61">
        <v>1.9417475728155339E-3</v>
      </c>
      <c r="AD1440" s="61">
        <v>0.10485436893203884</v>
      </c>
      <c r="AE1440" s="61">
        <v>4.8543689320388349E-2</v>
      </c>
      <c r="AF1440" s="61">
        <v>0</v>
      </c>
      <c r="AG1440" s="61">
        <v>0.83495145631067957</v>
      </c>
      <c r="AH1440" s="61">
        <v>3.8834951456310678E-3</v>
      </c>
      <c r="AI1440" s="61">
        <v>0.1650485436893204</v>
      </c>
      <c r="AJ1440" s="59">
        <v>0.53592233009708734</v>
      </c>
      <c r="AK1440" s="59">
        <v>7.7669902912621356E-3</v>
      </c>
      <c r="AL1440" s="4">
        <v>0</v>
      </c>
      <c r="AM1440" s="4">
        <v>0</v>
      </c>
      <c r="AN1440" s="4">
        <v>22</v>
      </c>
      <c r="AO1440" s="4">
        <v>134</v>
      </c>
      <c r="AP1440" s="4">
        <v>115</v>
      </c>
      <c r="AQ1440" s="4">
        <v>118</v>
      </c>
      <c r="AR1440" s="4">
        <v>126</v>
      </c>
      <c r="AS1440" s="59">
        <v>0.14102564102564102</v>
      </c>
      <c r="AT1440" s="3">
        <v>9</v>
      </c>
      <c r="AU1440" s="3">
        <v>6</v>
      </c>
      <c r="AV1440" s="49">
        <v>66.869300911854097</v>
      </c>
      <c r="AW1440" s="49">
        <v>15.8054711246201</v>
      </c>
      <c r="AX1440" s="49">
        <v>16.109422492401201</v>
      </c>
      <c r="AY1440" s="67">
        <v>1.21580547112462</v>
      </c>
      <c r="AZ1440" s="63">
        <v>0</v>
      </c>
      <c r="BA1440" s="63">
        <v>0.172101449275362</v>
      </c>
      <c r="BB1440" s="79">
        <v>92.6</v>
      </c>
      <c r="BC1440" s="79"/>
      <c r="BD1440" s="79"/>
      <c r="BE1440" s="79"/>
      <c r="BF1440" s="79"/>
      <c r="BG1440" s="79"/>
      <c r="BH1440" s="79"/>
      <c r="BI1440" s="79"/>
      <c r="BJ1440" s="3">
        <v>20.2</v>
      </c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29" t="s">
        <v>261</v>
      </c>
      <c r="CJ1440" s="18" t="s">
        <v>548</v>
      </c>
      <c r="CK1440" s="30"/>
    </row>
    <row r="1441" spans="1:89" x14ac:dyDescent="0.25">
      <c r="A1441" s="18" t="s">
        <v>548</v>
      </c>
      <c r="B1441" s="29" t="s">
        <v>260</v>
      </c>
      <c r="C1441" s="29" t="s">
        <v>262</v>
      </c>
      <c r="D1441" s="6">
        <v>34</v>
      </c>
      <c r="E1441" s="40" t="s">
        <v>83</v>
      </c>
      <c r="F1441" s="6">
        <v>34</v>
      </c>
      <c r="N1441" s="101">
        <f>34/2400</f>
        <v>1.4166666666666666E-2</v>
      </c>
      <c r="O1441" s="101">
        <f>34/2400</f>
        <v>1.4166666666666666E-2</v>
      </c>
      <c r="P1441" s="102" t="s">
        <v>83</v>
      </c>
      <c r="Q1441" s="116" t="s">
        <v>83</v>
      </c>
      <c r="R1441" s="119">
        <v>0</v>
      </c>
      <c r="S1441" s="119">
        <v>9.9502487562189105E-3</v>
      </c>
      <c r="T1441" s="119">
        <v>1.3953488372093001E-2</v>
      </c>
      <c r="U1441" s="119">
        <v>1.6014234875444799E-2</v>
      </c>
      <c r="V1441" s="119">
        <v>1.8726591760299598E-2</v>
      </c>
      <c r="W1441" s="6">
        <v>2250</v>
      </c>
      <c r="X1441" s="40">
        <f t="shared" si="100"/>
        <v>2250</v>
      </c>
      <c r="Y1441" s="40">
        <f t="shared" si="101"/>
        <v>2250</v>
      </c>
      <c r="Z1441" s="59">
        <v>0.49288888888888888</v>
      </c>
      <c r="AA1441" s="59">
        <v>0.50711111111111107</v>
      </c>
      <c r="AB1441" s="61">
        <v>1.3333333333333333E-3</v>
      </c>
      <c r="AC1441" s="61">
        <v>1.0222222222222223E-2</v>
      </c>
      <c r="AD1441" s="61">
        <v>0.11066666666666666</v>
      </c>
      <c r="AE1441" s="61">
        <v>8.7999999999999995E-2</v>
      </c>
      <c r="AF1441" s="61">
        <v>8.8888888888888893E-4</v>
      </c>
      <c r="AG1441" s="61">
        <v>0.7844444444444445</v>
      </c>
      <c r="AH1441" s="61">
        <v>4.4444444444444444E-3</v>
      </c>
      <c r="AI1441" s="61">
        <v>0.21555555555555556</v>
      </c>
      <c r="AJ1441" s="59">
        <v>0.38311111111111112</v>
      </c>
      <c r="AK1441" s="59">
        <v>1.7777777777777778E-2</v>
      </c>
      <c r="AL1441" s="4">
        <v>0</v>
      </c>
      <c r="AM1441" s="4">
        <v>0</v>
      </c>
      <c r="AN1441" s="4">
        <v>56</v>
      </c>
      <c r="AO1441" s="4">
        <v>557</v>
      </c>
      <c r="AP1441" s="4">
        <v>601</v>
      </c>
      <c r="AQ1441" s="4">
        <v>535</v>
      </c>
      <c r="AR1441" s="4">
        <v>501</v>
      </c>
      <c r="AS1441" s="59">
        <v>9.1353996737357265E-2</v>
      </c>
      <c r="AT1441" s="3">
        <v>9</v>
      </c>
      <c r="AU1441" s="3">
        <v>6</v>
      </c>
      <c r="AV1441" s="49">
        <v>58.264150943396231</v>
      </c>
      <c r="AW1441" s="49">
        <v>18.943396226415093</v>
      </c>
      <c r="AX1441" s="49">
        <v>21.358490566037737</v>
      </c>
      <c r="AY1441" s="67">
        <v>1.4339622641509433</v>
      </c>
      <c r="AZ1441" s="63">
        <v>0</v>
      </c>
      <c r="BA1441" s="61">
        <v>0.1728888888888889</v>
      </c>
      <c r="BB1441" s="80">
        <v>92.8</v>
      </c>
      <c r="BC1441" s="80"/>
      <c r="BD1441" s="80"/>
      <c r="BE1441" s="80"/>
      <c r="BF1441" s="80"/>
      <c r="BG1441" s="80"/>
      <c r="BH1441" s="80"/>
      <c r="BI1441" s="80"/>
      <c r="BJ1441" s="3">
        <v>21.2</v>
      </c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29" t="s">
        <v>262</v>
      </c>
      <c r="CJ1441" s="18" t="s">
        <v>548</v>
      </c>
      <c r="CK1441" s="30"/>
    </row>
    <row r="1442" spans="1:89" x14ac:dyDescent="0.25">
      <c r="A1442" s="18" t="s">
        <v>548</v>
      </c>
      <c r="B1442" s="29" t="s">
        <v>260</v>
      </c>
      <c r="C1442" s="29" t="s">
        <v>263</v>
      </c>
      <c r="D1442" s="6">
        <v>13</v>
      </c>
      <c r="E1442" s="6">
        <v>2</v>
      </c>
      <c r="F1442" s="6">
        <v>11</v>
      </c>
      <c r="N1442" s="115">
        <v>2.0833333333333301E-2</v>
      </c>
      <c r="O1442" s="115">
        <v>2.57009345794393E-2</v>
      </c>
      <c r="P1442" s="119">
        <v>0</v>
      </c>
      <c r="Q1442" s="115">
        <v>2.04081632653061E-2</v>
      </c>
      <c r="R1442" s="119">
        <v>0</v>
      </c>
      <c r="S1442" s="119">
        <v>0</v>
      </c>
      <c r="T1442" s="115">
        <v>1.7094017094017099E-2</v>
      </c>
      <c r="U1442" s="115">
        <v>6.18556701030928E-2</v>
      </c>
      <c r="V1442" s="115">
        <v>2.9411764705882401E-2</v>
      </c>
      <c r="W1442" s="6">
        <v>678</v>
      </c>
      <c r="X1442" s="40">
        <f t="shared" si="100"/>
        <v>397</v>
      </c>
      <c r="Y1442" s="40">
        <f t="shared" si="101"/>
        <v>578</v>
      </c>
      <c r="Z1442" s="59">
        <v>0.50589970501474923</v>
      </c>
      <c r="AA1442" s="59">
        <v>0.49410029498525071</v>
      </c>
      <c r="AB1442" s="61">
        <v>0</v>
      </c>
      <c r="AC1442" s="61">
        <v>0</v>
      </c>
      <c r="AD1442" s="61">
        <v>3.687315634218289E-2</v>
      </c>
      <c r="AE1442" s="61">
        <v>1.7699115044247787E-2</v>
      </c>
      <c r="AF1442" s="61">
        <v>1.4749262536873156E-3</v>
      </c>
      <c r="AG1442" s="61">
        <v>0.94100294985250732</v>
      </c>
      <c r="AH1442" s="61">
        <v>2.9498525073746312E-3</v>
      </c>
      <c r="AI1442" s="61">
        <v>5.8997050147492625E-2</v>
      </c>
      <c r="AJ1442" s="59">
        <v>0.4528023598820059</v>
      </c>
      <c r="AK1442" s="59">
        <v>1.4749262536873156E-3</v>
      </c>
      <c r="AL1442" s="4">
        <v>94</v>
      </c>
      <c r="AM1442" s="4">
        <v>87</v>
      </c>
      <c r="AN1442" s="4">
        <v>2</v>
      </c>
      <c r="AO1442" s="4">
        <v>99</v>
      </c>
      <c r="AP1442" s="4">
        <v>113</v>
      </c>
      <c r="AQ1442" s="4">
        <v>85</v>
      </c>
      <c r="AR1442" s="4">
        <v>98</v>
      </c>
      <c r="AS1442" s="59">
        <v>1.9801980198019802E-2</v>
      </c>
      <c r="AT1442" s="3">
        <v>6</v>
      </c>
      <c r="AU1442" s="3">
        <v>6</v>
      </c>
      <c r="AV1442" s="49">
        <v>63.5678391959799</v>
      </c>
      <c r="AW1442" s="49">
        <v>18.5929648241206</v>
      </c>
      <c r="AX1442" s="49">
        <v>17.085427135678401</v>
      </c>
      <c r="AY1442" s="67">
        <v>0.75376884422110602</v>
      </c>
      <c r="AZ1442" s="63">
        <v>0</v>
      </c>
      <c r="BA1442" s="63">
        <v>0.19372442019099601</v>
      </c>
      <c r="BB1442" s="79">
        <v>93.9</v>
      </c>
      <c r="BC1442" s="79"/>
      <c r="BD1442" s="79"/>
      <c r="BE1442" s="79"/>
      <c r="BF1442" s="79"/>
      <c r="BG1442" s="79"/>
      <c r="BH1442" s="79"/>
      <c r="BI1442" s="79"/>
      <c r="BJ1442" s="3">
        <v>19.8</v>
      </c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29" t="s">
        <v>263</v>
      </c>
      <c r="CJ1442" s="18" t="s">
        <v>548</v>
      </c>
      <c r="CK1442" s="30"/>
    </row>
    <row r="1443" spans="1:89" x14ac:dyDescent="0.25">
      <c r="A1443" s="18" t="s">
        <v>548</v>
      </c>
      <c r="B1443" s="29" t="s">
        <v>260</v>
      </c>
      <c r="C1443" s="29" t="s">
        <v>264</v>
      </c>
      <c r="D1443" s="6">
        <v>1</v>
      </c>
      <c r="E1443" s="6">
        <v>0</v>
      </c>
      <c r="F1443" s="6">
        <v>1</v>
      </c>
      <c r="N1443" s="115">
        <v>2.38663484486874E-3</v>
      </c>
      <c r="O1443" s="115">
        <v>3.5587188612099599E-3</v>
      </c>
      <c r="P1443" s="119">
        <v>0</v>
      </c>
      <c r="Q1443" s="119">
        <v>0</v>
      </c>
      <c r="R1443" s="119">
        <v>0</v>
      </c>
      <c r="S1443" s="119">
        <v>0</v>
      </c>
      <c r="T1443" s="115">
        <v>1.63934426229508E-2</v>
      </c>
      <c r="U1443" s="119">
        <v>0</v>
      </c>
      <c r="V1443" s="119">
        <v>0</v>
      </c>
      <c r="W1443" s="6">
        <v>396</v>
      </c>
      <c r="X1443" s="40">
        <f t="shared" si="100"/>
        <v>267</v>
      </c>
      <c r="Y1443" s="40">
        <f t="shared" si="101"/>
        <v>396</v>
      </c>
      <c r="Z1443" s="59">
        <v>0.48737373737373735</v>
      </c>
      <c r="AA1443" s="59">
        <v>0.51262626262626265</v>
      </c>
      <c r="AB1443" s="61">
        <v>0</v>
      </c>
      <c r="AC1443" s="61">
        <v>2.5252525252525255E-3</v>
      </c>
      <c r="AD1443" s="61">
        <v>2.2727272727272728E-2</v>
      </c>
      <c r="AE1443" s="61">
        <v>2.0202020202020204E-2</v>
      </c>
      <c r="AF1443" s="61">
        <v>0</v>
      </c>
      <c r="AG1443" s="61">
        <v>0.94444444444444442</v>
      </c>
      <c r="AH1443" s="61">
        <v>1.0101010101010102E-2</v>
      </c>
      <c r="AI1443" s="61">
        <v>5.5555555555555552E-2</v>
      </c>
      <c r="AJ1443" s="59">
        <v>0.37373737373737376</v>
      </c>
      <c r="AK1443" s="59">
        <v>0</v>
      </c>
      <c r="AL1443" s="4">
        <v>71</v>
      </c>
      <c r="AM1443" s="4">
        <v>58</v>
      </c>
      <c r="AN1443" s="4">
        <v>3</v>
      </c>
      <c r="AO1443" s="4">
        <v>64</v>
      </c>
      <c r="AP1443" s="4">
        <v>57</v>
      </c>
      <c r="AQ1443" s="4">
        <v>71</v>
      </c>
      <c r="AR1443" s="4">
        <v>72</v>
      </c>
      <c r="AS1443" s="59">
        <v>4.4776119402985072E-2</v>
      </c>
      <c r="AT1443" s="3">
        <v>7</v>
      </c>
      <c r="AU1443" s="3">
        <v>6</v>
      </c>
      <c r="AV1443" s="49">
        <v>68.224299065420595</v>
      </c>
      <c r="AW1443" s="49">
        <v>25.700934579439298</v>
      </c>
      <c r="AX1443" s="49">
        <v>4.6728971962616797</v>
      </c>
      <c r="AY1443" s="67">
        <v>1.4018691588784999</v>
      </c>
      <c r="AZ1443" s="63">
        <v>0</v>
      </c>
      <c r="BA1443" s="63">
        <v>0.150717703349282</v>
      </c>
      <c r="BB1443" s="80">
        <v>91.5</v>
      </c>
      <c r="BC1443" s="80"/>
      <c r="BD1443" s="80"/>
      <c r="BE1443" s="80"/>
      <c r="BF1443" s="80"/>
      <c r="BG1443" s="80"/>
      <c r="BH1443" s="80"/>
      <c r="BI1443" s="80"/>
      <c r="BJ1443" s="3">
        <v>19.7</v>
      </c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29" t="s">
        <v>264</v>
      </c>
      <c r="CJ1443" s="18" t="s">
        <v>548</v>
      </c>
      <c r="CK1443" s="30"/>
    </row>
    <row r="1444" spans="1:89" x14ac:dyDescent="0.25">
      <c r="A1444" s="18" t="s">
        <v>548</v>
      </c>
      <c r="B1444" s="29" t="s">
        <v>260</v>
      </c>
      <c r="C1444" s="29" t="s">
        <v>265</v>
      </c>
      <c r="D1444" s="6">
        <v>0</v>
      </c>
      <c r="E1444" s="6">
        <v>0</v>
      </c>
      <c r="F1444" s="6">
        <v>0</v>
      </c>
      <c r="N1444" s="119">
        <v>0</v>
      </c>
      <c r="O1444" s="119">
        <v>0</v>
      </c>
      <c r="P1444" s="119">
        <v>0</v>
      </c>
      <c r="Q1444" s="119">
        <v>0</v>
      </c>
      <c r="R1444" s="119">
        <v>0</v>
      </c>
      <c r="S1444" s="119">
        <v>0</v>
      </c>
      <c r="T1444" s="119">
        <v>0</v>
      </c>
      <c r="U1444" s="119">
        <v>0</v>
      </c>
      <c r="V1444" s="119">
        <v>0</v>
      </c>
      <c r="W1444" s="6">
        <v>700</v>
      </c>
      <c r="X1444" s="40">
        <f t="shared" si="100"/>
        <v>179</v>
      </c>
      <c r="Y1444" s="40">
        <f t="shared" si="101"/>
        <v>300</v>
      </c>
      <c r="Z1444" s="59">
        <v>0.50428571428571434</v>
      </c>
      <c r="AA1444" s="59">
        <v>0.49571428571428572</v>
      </c>
      <c r="AB1444" s="61">
        <v>1.4285714285714286E-3</v>
      </c>
      <c r="AC1444" s="61">
        <v>1.4285714285714286E-3</v>
      </c>
      <c r="AD1444" s="61">
        <v>0</v>
      </c>
      <c r="AE1444" s="61">
        <v>6.8571428571428575E-2</v>
      </c>
      <c r="AF1444" s="61">
        <v>2.8571428571428571E-3</v>
      </c>
      <c r="AG1444" s="61">
        <v>0.9157142857142857</v>
      </c>
      <c r="AH1444" s="61">
        <v>0.01</v>
      </c>
      <c r="AI1444" s="61">
        <v>8.4285714285714283E-2</v>
      </c>
      <c r="AJ1444" s="59">
        <v>0.53</v>
      </c>
      <c r="AK1444" s="59">
        <v>2.4285714285714285E-2</v>
      </c>
      <c r="AL1444" s="4">
        <v>58</v>
      </c>
      <c r="AM1444" s="4">
        <v>63</v>
      </c>
      <c r="AN1444" s="4">
        <v>6</v>
      </c>
      <c r="AO1444" s="4">
        <v>41</v>
      </c>
      <c r="AP1444" s="4">
        <v>50</v>
      </c>
      <c r="AQ1444" s="4">
        <v>49</v>
      </c>
      <c r="AR1444" s="4">
        <v>33</v>
      </c>
      <c r="AS1444" s="59">
        <v>0.1276595744680851</v>
      </c>
      <c r="AT1444" s="3">
        <v>1</v>
      </c>
      <c r="AU1444" s="3">
        <v>6</v>
      </c>
      <c r="AV1444" s="49">
        <v>78.869047619047606</v>
      </c>
      <c r="AW1444" s="49">
        <v>14.880952380952401</v>
      </c>
      <c r="AX1444" s="49">
        <v>4.46428571428571</v>
      </c>
      <c r="AY1444" s="67">
        <v>1.78571428571429</v>
      </c>
      <c r="AZ1444" s="63">
        <v>0</v>
      </c>
      <c r="BA1444" s="63">
        <v>0.12195121951219499</v>
      </c>
      <c r="BB1444" s="79">
        <v>93.8</v>
      </c>
      <c r="BC1444" s="79"/>
      <c r="BD1444" s="79"/>
      <c r="BE1444" s="79"/>
      <c r="BF1444" s="79"/>
      <c r="BG1444" s="79"/>
      <c r="BH1444" s="79"/>
      <c r="BI1444" s="79"/>
      <c r="BJ1444" s="3">
        <v>20.8</v>
      </c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29" t="s">
        <v>265</v>
      </c>
      <c r="CJ1444" s="18" t="s">
        <v>548</v>
      </c>
      <c r="CK1444" s="30"/>
    </row>
    <row r="1445" spans="1:89" x14ac:dyDescent="0.25">
      <c r="A1445" s="18" t="s">
        <v>548</v>
      </c>
      <c r="B1445" s="29" t="s">
        <v>260</v>
      </c>
      <c r="C1445" s="29" t="s">
        <v>266</v>
      </c>
      <c r="D1445" s="6">
        <v>1</v>
      </c>
      <c r="E1445" s="40" t="s">
        <v>83</v>
      </c>
      <c r="F1445" s="6">
        <v>1</v>
      </c>
      <c r="N1445" s="115">
        <v>7.4794315632011998E-4</v>
      </c>
      <c r="O1445" s="115">
        <v>7.4794315632011998E-4</v>
      </c>
      <c r="P1445" s="116" t="s">
        <v>83</v>
      </c>
      <c r="Q1445" s="116" t="s">
        <v>83</v>
      </c>
      <c r="R1445" s="119">
        <v>0</v>
      </c>
      <c r="S1445" s="119">
        <v>0</v>
      </c>
      <c r="T1445" s="119">
        <v>0</v>
      </c>
      <c r="U1445" s="119">
        <v>0</v>
      </c>
      <c r="V1445" s="115">
        <v>3.07692307692308E-3</v>
      </c>
      <c r="W1445" s="6">
        <v>1296</v>
      </c>
      <c r="X1445" s="40">
        <f t="shared" si="100"/>
        <v>1296</v>
      </c>
      <c r="Y1445" s="40">
        <f t="shared" si="101"/>
        <v>1296</v>
      </c>
      <c r="Z1445" s="59">
        <v>0.48302469135802467</v>
      </c>
      <c r="AA1445" s="59">
        <v>0.51697530864197527</v>
      </c>
      <c r="AB1445" s="61">
        <v>1.5432098765432098E-3</v>
      </c>
      <c r="AC1445" s="61">
        <v>1.1574074074074073E-2</v>
      </c>
      <c r="AD1445" s="61">
        <v>4.0895061728395063E-2</v>
      </c>
      <c r="AE1445" s="61">
        <v>2.0061728395061727E-2</v>
      </c>
      <c r="AF1445" s="61">
        <v>0</v>
      </c>
      <c r="AG1445" s="61">
        <v>0.92129629629629628</v>
      </c>
      <c r="AH1445" s="61">
        <v>4.6296296296296294E-3</v>
      </c>
      <c r="AI1445" s="61">
        <v>7.8703703703703706E-2</v>
      </c>
      <c r="AJ1445" s="59">
        <v>0.29552469135802467</v>
      </c>
      <c r="AK1445" s="59">
        <v>2.3148148148148147E-3</v>
      </c>
      <c r="AL1445" s="4">
        <v>0</v>
      </c>
      <c r="AM1445" s="4">
        <v>0</v>
      </c>
      <c r="AN1445" s="4">
        <v>23</v>
      </c>
      <c r="AO1445" s="4">
        <v>351</v>
      </c>
      <c r="AP1445" s="4">
        <v>322</v>
      </c>
      <c r="AQ1445" s="4">
        <v>284</v>
      </c>
      <c r="AR1445" s="4">
        <v>316</v>
      </c>
      <c r="AS1445" s="59">
        <v>6.1497326203208559E-2</v>
      </c>
      <c r="AT1445" s="3">
        <v>9</v>
      </c>
      <c r="AU1445" s="3">
        <v>6</v>
      </c>
      <c r="AV1445" s="49">
        <v>59.923175416133198</v>
      </c>
      <c r="AW1445" s="49">
        <v>15.492957746478901</v>
      </c>
      <c r="AX1445" s="49">
        <v>20.486555697823299</v>
      </c>
      <c r="AY1445" s="67">
        <v>4.0973111395646598</v>
      </c>
      <c r="AZ1445" s="63">
        <v>0</v>
      </c>
      <c r="BA1445" s="63">
        <v>0.115269461077844</v>
      </c>
      <c r="BB1445" s="80">
        <v>93.4</v>
      </c>
      <c r="BC1445" s="80"/>
      <c r="BD1445" s="80"/>
      <c r="BE1445" s="80"/>
      <c r="BF1445" s="80"/>
      <c r="BG1445" s="80"/>
      <c r="BH1445" s="80"/>
      <c r="BI1445" s="80"/>
      <c r="BJ1445" s="3">
        <v>21</v>
      </c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29" t="s">
        <v>266</v>
      </c>
      <c r="CJ1445" s="18" t="s">
        <v>548</v>
      </c>
      <c r="CK1445" s="30"/>
    </row>
    <row r="1446" spans="1:89" x14ac:dyDescent="0.25">
      <c r="A1446" s="18" t="s">
        <v>548</v>
      </c>
      <c r="B1446" s="29" t="s">
        <v>260</v>
      </c>
      <c r="C1446" s="29" t="s">
        <v>267</v>
      </c>
      <c r="D1446" s="6">
        <v>0</v>
      </c>
      <c r="E1446" s="6">
        <v>0</v>
      </c>
      <c r="F1446" s="6">
        <v>0</v>
      </c>
      <c r="N1446" s="119">
        <v>0</v>
      </c>
      <c r="O1446" s="119">
        <v>0</v>
      </c>
      <c r="P1446" s="119">
        <v>0</v>
      </c>
      <c r="Q1446" s="119">
        <v>0</v>
      </c>
      <c r="R1446" s="119">
        <v>0</v>
      </c>
      <c r="S1446" s="119">
        <v>0</v>
      </c>
      <c r="T1446" s="119">
        <v>0</v>
      </c>
      <c r="U1446" s="119">
        <v>0</v>
      </c>
      <c r="V1446" s="119">
        <v>0</v>
      </c>
      <c r="W1446" s="6">
        <v>403</v>
      </c>
      <c r="X1446" s="40">
        <f t="shared" si="100"/>
        <v>109</v>
      </c>
      <c r="Y1446" s="40">
        <f t="shared" si="101"/>
        <v>178</v>
      </c>
      <c r="Z1446" s="59">
        <v>0.53846153846153844</v>
      </c>
      <c r="AA1446" s="59">
        <v>0.46153846153846156</v>
      </c>
      <c r="AB1446" s="61">
        <v>2.4813895781637717E-3</v>
      </c>
      <c r="AC1446" s="61">
        <v>0</v>
      </c>
      <c r="AD1446" s="61">
        <v>1.2406947890818859E-2</v>
      </c>
      <c r="AE1446" s="61">
        <v>3.4739454094292806E-2</v>
      </c>
      <c r="AF1446" s="61">
        <v>0</v>
      </c>
      <c r="AG1446" s="61">
        <v>0.94292803970223327</v>
      </c>
      <c r="AH1446" s="61">
        <v>7.4441687344913151E-3</v>
      </c>
      <c r="AI1446" s="61">
        <v>5.7071960297766747E-2</v>
      </c>
      <c r="AJ1446" s="59">
        <v>0.52853598014888337</v>
      </c>
      <c r="AK1446" s="59">
        <v>1.488833746898263E-2</v>
      </c>
      <c r="AL1446" s="4">
        <v>34</v>
      </c>
      <c r="AM1446" s="4">
        <v>35</v>
      </c>
      <c r="AN1446" s="4">
        <v>2</v>
      </c>
      <c r="AO1446" s="4">
        <v>25</v>
      </c>
      <c r="AP1446" s="4">
        <v>26</v>
      </c>
      <c r="AQ1446" s="4">
        <v>29</v>
      </c>
      <c r="AR1446" s="4">
        <v>27</v>
      </c>
      <c r="AS1446" s="59">
        <v>7.407407407407407E-2</v>
      </c>
      <c r="AT1446" s="3">
        <v>1</v>
      </c>
      <c r="AU1446" s="3">
        <v>6</v>
      </c>
      <c r="AV1446" s="49">
        <v>88.7931034482759</v>
      </c>
      <c r="AW1446" s="49">
        <v>6.8965517241379297</v>
      </c>
      <c r="AX1446" s="49">
        <v>1.72413793103448</v>
      </c>
      <c r="AY1446" s="67">
        <v>2.5862068965517198</v>
      </c>
      <c r="AZ1446" s="63">
        <v>0</v>
      </c>
      <c r="BA1446" s="63">
        <v>6.9124423963133605E-2</v>
      </c>
      <c r="BB1446" s="79">
        <v>93.5</v>
      </c>
      <c r="BC1446" s="79"/>
      <c r="BD1446" s="79"/>
      <c r="BE1446" s="79"/>
      <c r="BF1446" s="79"/>
      <c r="BG1446" s="79"/>
      <c r="BH1446" s="79"/>
      <c r="BI1446" s="79"/>
      <c r="BJ1446" s="3">
        <v>22.1</v>
      </c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29" t="s">
        <v>267</v>
      </c>
      <c r="CJ1446" s="18" t="s">
        <v>548</v>
      </c>
      <c r="CK1446" s="30"/>
    </row>
    <row r="1447" spans="1:89" x14ac:dyDescent="0.25">
      <c r="A1447" s="18" t="s">
        <v>548</v>
      </c>
      <c r="B1447" s="29" t="s">
        <v>260</v>
      </c>
      <c r="C1447" s="29" t="s">
        <v>268</v>
      </c>
      <c r="D1447" s="6">
        <v>9</v>
      </c>
      <c r="E1447" s="40" t="s">
        <v>83</v>
      </c>
      <c r="F1447" s="6">
        <v>9</v>
      </c>
      <c r="N1447" s="115">
        <v>2.2167487684729099E-2</v>
      </c>
      <c r="O1447" s="115">
        <v>2.2167487684729099E-2</v>
      </c>
      <c r="P1447" s="116" t="s">
        <v>83</v>
      </c>
      <c r="Q1447" s="116" t="s">
        <v>83</v>
      </c>
      <c r="R1447" s="119">
        <v>0</v>
      </c>
      <c r="S1447" s="115">
        <v>1.0869565217391301E-2</v>
      </c>
      <c r="T1447" s="115">
        <v>2.7522935779816501E-2</v>
      </c>
      <c r="U1447" s="115">
        <v>2.1739130434782601E-2</v>
      </c>
      <c r="V1447" s="115">
        <v>3.09278350515464E-2</v>
      </c>
      <c r="W1447" s="6">
        <v>368</v>
      </c>
      <c r="X1447" s="40">
        <f t="shared" si="100"/>
        <v>368</v>
      </c>
      <c r="Y1447" s="40">
        <f t="shared" si="101"/>
        <v>368</v>
      </c>
      <c r="Z1447" s="59">
        <v>0.4891304347826087</v>
      </c>
      <c r="AA1447" s="59">
        <v>0.51086956521739135</v>
      </c>
      <c r="AB1447" s="61">
        <v>2.717391304347826E-3</v>
      </c>
      <c r="AC1447" s="61">
        <v>2.717391304347826E-3</v>
      </c>
      <c r="AD1447" s="61">
        <v>0.18478260869565216</v>
      </c>
      <c r="AE1447" s="61">
        <v>4.0760869565217392E-2</v>
      </c>
      <c r="AF1447" s="61">
        <v>0</v>
      </c>
      <c r="AG1447" s="61">
        <v>0.75815217391304346</v>
      </c>
      <c r="AH1447" s="61">
        <v>1.0869565217391304E-2</v>
      </c>
      <c r="AI1447" s="61">
        <v>0.24184782608695651</v>
      </c>
      <c r="AJ1447" s="59">
        <v>0.51902173913043481</v>
      </c>
      <c r="AK1447" s="59">
        <v>5.434782608695652E-3</v>
      </c>
      <c r="AL1447" s="4">
        <v>0</v>
      </c>
      <c r="AM1447" s="4">
        <v>0</v>
      </c>
      <c r="AN1447" s="4">
        <v>13</v>
      </c>
      <c r="AO1447" s="4">
        <v>84</v>
      </c>
      <c r="AP1447" s="4">
        <v>99</v>
      </c>
      <c r="AQ1447" s="4">
        <v>84</v>
      </c>
      <c r="AR1447" s="4">
        <v>88</v>
      </c>
      <c r="AS1447" s="59">
        <v>0.13402061855670103</v>
      </c>
      <c r="AT1447" s="3">
        <v>9</v>
      </c>
      <c r="AU1447" s="3">
        <v>6</v>
      </c>
      <c r="AV1447" s="49">
        <v>67.099567099567111</v>
      </c>
      <c r="AW1447" s="49">
        <v>13.852813852813901</v>
      </c>
      <c r="AX1447" s="49">
        <v>16.450216450216502</v>
      </c>
      <c r="AY1447" s="67">
        <v>2.5974025974026</v>
      </c>
      <c r="AZ1447" s="63">
        <v>0</v>
      </c>
      <c r="BA1447" s="63">
        <v>0.14824120603015101</v>
      </c>
      <c r="BB1447" s="80">
        <v>91.3</v>
      </c>
      <c r="BC1447" s="80"/>
      <c r="BD1447" s="80"/>
      <c r="BE1447" s="80"/>
      <c r="BF1447" s="80"/>
      <c r="BG1447" s="80"/>
      <c r="BH1447" s="80"/>
      <c r="BI1447" s="80"/>
      <c r="BJ1447" s="3">
        <v>19.7</v>
      </c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29" t="s">
        <v>268</v>
      </c>
      <c r="CJ1447" s="18" t="s">
        <v>548</v>
      </c>
      <c r="CK1447" s="30"/>
    </row>
    <row r="1448" spans="1:89" x14ac:dyDescent="0.25">
      <c r="A1448" s="18" t="s">
        <v>548</v>
      </c>
      <c r="B1448" s="29" t="s">
        <v>260</v>
      </c>
      <c r="C1448" s="29" t="s">
        <v>269</v>
      </c>
      <c r="D1448" s="6">
        <v>28</v>
      </c>
      <c r="E1448" s="6" t="s">
        <v>83</v>
      </c>
      <c r="F1448" s="6">
        <v>28</v>
      </c>
      <c r="N1448" s="101">
        <f>28/1844</f>
        <v>1.5184381778741865E-2</v>
      </c>
      <c r="O1448" s="101">
        <f>28/1844</f>
        <v>1.5184381778741865E-2</v>
      </c>
      <c r="P1448" s="116" t="s">
        <v>83</v>
      </c>
      <c r="Q1448" s="116" t="s">
        <v>83</v>
      </c>
      <c r="R1448" s="119">
        <v>0</v>
      </c>
      <c r="S1448" s="115">
        <v>3.7102473498233202E-2</v>
      </c>
      <c r="T1448" s="115">
        <v>4.3763676148796497E-3</v>
      </c>
      <c r="U1448" s="115">
        <v>5.1150895140665001E-3</v>
      </c>
      <c r="V1448" s="115">
        <v>7.5187969924812E-3</v>
      </c>
      <c r="W1448" s="6">
        <v>1715</v>
      </c>
      <c r="X1448" s="40">
        <f t="shared" si="100"/>
        <v>1715</v>
      </c>
      <c r="Y1448" s="40">
        <f t="shared" si="101"/>
        <v>1715</v>
      </c>
      <c r="Z1448" s="59">
        <v>0.47346938775510206</v>
      </c>
      <c r="AA1448" s="59">
        <v>0.52653061224489794</v>
      </c>
      <c r="AB1448" s="61">
        <v>1.1661807580174927E-3</v>
      </c>
      <c r="AC1448" s="61">
        <v>8.1632653061224497E-3</v>
      </c>
      <c r="AD1448" s="61">
        <v>0.11836734693877551</v>
      </c>
      <c r="AE1448" s="61">
        <v>3.3236151603498541E-2</v>
      </c>
      <c r="AF1448" s="61">
        <v>0</v>
      </c>
      <c r="AG1448" s="61">
        <v>0.83440233236151606</v>
      </c>
      <c r="AH1448" s="61">
        <v>4.6647230320699708E-3</v>
      </c>
      <c r="AI1448" s="61">
        <v>0.16559766763848396</v>
      </c>
      <c r="AJ1448" s="59">
        <v>0.40758017492711368</v>
      </c>
      <c r="AK1448" s="59">
        <v>5.8309037900874635E-3</v>
      </c>
      <c r="AL1448" s="4">
        <v>0</v>
      </c>
      <c r="AM1448" s="4">
        <v>0</v>
      </c>
      <c r="AN1448" s="4">
        <v>31</v>
      </c>
      <c r="AO1448" s="4">
        <v>511</v>
      </c>
      <c r="AP1448" s="4">
        <v>423</v>
      </c>
      <c r="AQ1448" s="4">
        <v>371</v>
      </c>
      <c r="AR1448" s="4">
        <v>379</v>
      </c>
      <c r="AS1448" s="59">
        <v>5.719557195571956E-2</v>
      </c>
      <c r="AT1448" s="3">
        <v>9</v>
      </c>
      <c r="AU1448" s="3">
        <v>6</v>
      </c>
      <c r="AV1448" s="49">
        <v>43.235704323570431</v>
      </c>
      <c r="AW1448" s="49">
        <v>17.712691771269178</v>
      </c>
      <c r="AX1448" s="49">
        <v>24.965132496513252</v>
      </c>
      <c r="AY1448" s="67">
        <v>14.086471408647142</v>
      </c>
      <c r="AZ1448" s="63">
        <v>0</v>
      </c>
      <c r="BA1448" s="61">
        <v>0.18134110787172011</v>
      </c>
      <c r="BB1448" s="79">
        <v>93.6</v>
      </c>
      <c r="BC1448" s="79"/>
      <c r="BD1448" s="79"/>
      <c r="BE1448" s="79"/>
      <c r="BF1448" s="79"/>
      <c r="BG1448" s="79"/>
      <c r="BH1448" s="79"/>
      <c r="BI1448" s="79"/>
      <c r="BJ1448" s="3">
        <v>19.8</v>
      </c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29" t="s">
        <v>269</v>
      </c>
      <c r="CJ1448" s="18" t="s">
        <v>548</v>
      </c>
      <c r="CK1448" s="30"/>
    </row>
    <row r="1449" spans="1:89" x14ac:dyDescent="0.25">
      <c r="A1449" s="18" t="s">
        <v>548</v>
      </c>
      <c r="B1449" s="29" t="s">
        <v>270</v>
      </c>
      <c r="C1449" s="29" t="s">
        <v>271</v>
      </c>
      <c r="D1449" s="6">
        <v>26</v>
      </c>
      <c r="E1449" s="40" t="s">
        <v>83</v>
      </c>
      <c r="F1449" s="6">
        <v>26</v>
      </c>
      <c r="N1449" s="115">
        <v>6.4837905236907703E-2</v>
      </c>
      <c r="O1449" s="115">
        <v>6.4837905236907703E-2</v>
      </c>
      <c r="P1449" s="116" t="s">
        <v>83</v>
      </c>
      <c r="Q1449" s="116" t="s">
        <v>83</v>
      </c>
      <c r="R1449" s="116" t="s">
        <v>83</v>
      </c>
      <c r="S1449" s="115">
        <v>7.7586206896551699E-2</v>
      </c>
      <c r="T1449" s="115">
        <v>1.1494252873563199E-2</v>
      </c>
      <c r="U1449" s="115">
        <v>6.1224489795918401E-2</v>
      </c>
      <c r="V1449" s="115">
        <v>0.1</v>
      </c>
      <c r="W1449" s="6">
        <v>350</v>
      </c>
      <c r="X1449" s="40">
        <f t="shared" si="100"/>
        <v>350</v>
      </c>
      <c r="Y1449" s="40">
        <f t="shared" si="101"/>
        <v>350</v>
      </c>
      <c r="Z1449" s="59">
        <v>0.49142857142857144</v>
      </c>
      <c r="AA1449" s="59">
        <v>0.50857142857142856</v>
      </c>
      <c r="AB1449" s="61">
        <v>0</v>
      </c>
      <c r="AC1449" s="61">
        <v>8.5714285714285719E-3</v>
      </c>
      <c r="AD1449" s="61">
        <v>0.96</v>
      </c>
      <c r="AE1449" s="61">
        <v>0</v>
      </c>
      <c r="AF1449" s="61">
        <v>0</v>
      </c>
      <c r="AG1449" s="61">
        <v>3.1428571428571431E-2</v>
      </c>
      <c r="AH1449" s="61">
        <v>0</v>
      </c>
      <c r="AI1449" s="61">
        <v>0.96857142857142853</v>
      </c>
      <c r="AJ1449" s="59">
        <v>1</v>
      </c>
      <c r="AK1449" s="59">
        <v>0</v>
      </c>
      <c r="AL1449" s="4">
        <v>0</v>
      </c>
      <c r="AM1449" s="4">
        <v>0</v>
      </c>
      <c r="AN1449" s="4">
        <v>0</v>
      </c>
      <c r="AO1449" s="4">
        <v>105</v>
      </c>
      <c r="AP1449" s="4">
        <v>73</v>
      </c>
      <c r="AQ1449" s="4">
        <v>85</v>
      </c>
      <c r="AR1449" s="4">
        <v>87</v>
      </c>
      <c r="AS1449" s="59">
        <v>0</v>
      </c>
      <c r="AT1449" s="3">
        <v>9</v>
      </c>
      <c r="AU1449" s="3">
        <v>6</v>
      </c>
      <c r="AV1449" s="49">
        <v>72.988505747126396</v>
      </c>
      <c r="AW1449" s="49">
        <v>11.4942528735632</v>
      </c>
      <c r="AX1449" s="49">
        <v>15.517241379310301</v>
      </c>
      <c r="AY1449" s="67">
        <v>0</v>
      </c>
      <c r="AZ1449" s="63">
        <v>0.28535353535353503</v>
      </c>
      <c r="BA1449" s="63">
        <v>8.8383838383838398E-2</v>
      </c>
      <c r="BB1449" s="79">
        <v>90.9</v>
      </c>
      <c r="BC1449" s="79"/>
      <c r="BD1449" s="79"/>
      <c r="BE1449" s="79"/>
      <c r="BF1449" s="79"/>
      <c r="BG1449" s="79"/>
      <c r="BH1449" s="79"/>
      <c r="BI1449" s="79"/>
      <c r="BJ1449" s="3">
        <v>15.4</v>
      </c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29" t="s">
        <v>271</v>
      </c>
      <c r="CJ1449" s="18" t="s">
        <v>548</v>
      </c>
      <c r="CK1449" s="30"/>
    </row>
    <row r="1450" spans="1:89" x14ac:dyDescent="0.25">
      <c r="A1450" s="18" t="s">
        <v>548</v>
      </c>
      <c r="B1450" s="29" t="s">
        <v>272</v>
      </c>
      <c r="C1450" s="29" t="s">
        <v>273</v>
      </c>
      <c r="D1450" s="6">
        <v>45</v>
      </c>
      <c r="E1450" s="6">
        <v>0</v>
      </c>
      <c r="F1450" s="6">
        <v>45</v>
      </c>
      <c r="N1450" s="115">
        <v>3.7282518641259303E-2</v>
      </c>
      <c r="O1450" s="115">
        <v>5.5418719211822703E-2</v>
      </c>
      <c r="P1450" s="116" t="s">
        <v>83</v>
      </c>
      <c r="Q1450" s="119">
        <v>0</v>
      </c>
      <c r="R1450" s="119">
        <v>0</v>
      </c>
      <c r="S1450" s="115">
        <v>5.2631578947368397E-2</v>
      </c>
      <c r="T1450" s="115">
        <v>5.6410256410256397E-2</v>
      </c>
      <c r="U1450" s="115">
        <v>6.9651741293532299E-2</v>
      </c>
      <c r="V1450" s="115">
        <v>4.1666666666666699E-2</v>
      </c>
      <c r="W1450" s="6">
        <v>871</v>
      </c>
      <c r="X1450" s="40">
        <f t="shared" si="100"/>
        <v>717</v>
      </c>
      <c r="Y1450" s="40">
        <f t="shared" si="101"/>
        <v>871</v>
      </c>
      <c r="Z1450" s="59">
        <v>0.47531572904707231</v>
      </c>
      <c r="AA1450" s="59">
        <v>0.52468427095292769</v>
      </c>
      <c r="AB1450" s="61">
        <v>0</v>
      </c>
      <c r="AC1450" s="61">
        <v>2.2962112514351321E-3</v>
      </c>
      <c r="AD1450" s="61">
        <v>0.90700344431687718</v>
      </c>
      <c r="AE1450" s="61">
        <v>4.5924225028702642E-3</v>
      </c>
      <c r="AF1450" s="61">
        <v>2.2962112514351321E-3</v>
      </c>
      <c r="AG1450" s="61">
        <v>7.4626865671641784E-2</v>
      </c>
      <c r="AH1450" s="61">
        <v>9.1848450057405284E-3</v>
      </c>
      <c r="AI1450" s="61">
        <v>0.92537313432835822</v>
      </c>
      <c r="AJ1450" s="59">
        <v>0.86107921928817455</v>
      </c>
      <c r="AK1450" s="59">
        <v>1.148105625717566E-3</v>
      </c>
      <c r="AL1450" s="4">
        <v>0</v>
      </c>
      <c r="AM1450" s="4">
        <v>154</v>
      </c>
      <c r="AN1450" s="4">
        <v>19</v>
      </c>
      <c r="AO1450" s="4">
        <v>187</v>
      </c>
      <c r="AP1450" s="4">
        <v>169</v>
      </c>
      <c r="AQ1450" s="4">
        <v>187</v>
      </c>
      <c r="AR1450" s="4">
        <v>155</v>
      </c>
      <c r="AS1450" s="59">
        <v>9.2233009708737865E-2</v>
      </c>
      <c r="AT1450" s="3">
        <v>8</v>
      </c>
      <c r="AU1450" s="1">
        <v>6</v>
      </c>
      <c r="AV1450" s="49">
        <v>69.831223628692001</v>
      </c>
      <c r="AW1450" s="49">
        <v>22.995780590717299</v>
      </c>
      <c r="AX1450" s="49">
        <v>7.1729957805907203</v>
      </c>
      <c r="AY1450" s="67">
        <v>0</v>
      </c>
      <c r="AZ1450" s="63">
        <v>0.13014273719563399</v>
      </c>
      <c r="BA1450" s="63">
        <v>0.29387069689336698</v>
      </c>
      <c r="BB1450" s="79">
        <v>88.7</v>
      </c>
      <c r="BC1450" s="79"/>
      <c r="BD1450" s="79"/>
      <c r="BE1450" s="79"/>
      <c r="BF1450" s="79"/>
      <c r="BG1450" s="79"/>
      <c r="BH1450" s="79"/>
      <c r="BI1450" s="79"/>
      <c r="BJ1450" s="3">
        <v>15.7</v>
      </c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29" t="s">
        <v>273</v>
      </c>
      <c r="CJ1450" s="18" t="s">
        <v>548</v>
      </c>
      <c r="CK1450" s="30"/>
    </row>
    <row r="1451" spans="1:89" x14ac:dyDescent="0.25">
      <c r="A1451" s="18" t="s">
        <v>548</v>
      </c>
      <c r="B1451" s="29" t="s">
        <v>272</v>
      </c>
      <c r="C1451" s="29" t="s">
        <v>274</v>
      </c>
      <c r="D1451" s="6">
        <v>12</v>
      </c>
      <c r="E1451" s="6">
        <v>1</v>
      </c>
      <c r="F1451" s="6">
        <v>11</v>
      </c>
      <c r="N1451" s="115">
        <v>2.1505376344085999E-2</v>
      </c>
      <c r="O1451" s="115">
        <v>2.9972752043596701E-2</v>
      </c>
      <c r="P1451" s="115">
        <v>1.0416666666666701E-2</v>
      </c>
      <c r="Q1451" s="119">
        <v>0</v>
      </c>
      <c r="R1451" s="116" t="s">
        <v>83</v>
      </c>
      <c r="S1451" s="115">
        <v>3.77358490566038E-2</v>
      </c>
      <c r="T1451" s="115">
        <v>3.9603960396039598E-2</v>
      </c>
      <c r="U1451" s="115">
        <v>1.0989010989011E-2</v>
      </c>
      <c r="V1451" s="115">
        <v>2.8985507246376802E-2</v>
      </c>
      <c r="W1451" s="6">
        <v>974</v>
      </c>
      <c r="X1451" s="40">
        <f t="shared" si="100"/>
        <v>346</v>
      </c>
      <c r="Y1451" s="40">
        <f t="shared" si="101"/>
        <v>515</v>
      </c>
      <c r="Z1451" s="59">
        <v>0.50513347022587274</v>
      </c>
      <c r="AA1451" s="59">
        <v>0.49486652977412732</v>
      </c>
      <c r="AB1451" s="61">
        <v>2.0533880903490761E-3</v>
      </c>
      <c r="AC1451" s="61">
        <v>1.026694045174538E-3</v>
      </c>
      <c r="AD1451" s="61">
        <v>0.12628336755646818</v>
      </c>
      <c r="AE1451" s="61">
        <v>1.2320328542094456E-2</v>
      </c>
      <c r="AF1451" s="61">
        <v>2.0533880903490761E-3</v>
      </c>
      <c r="AG1451" s="61">
        <v>0.84394250513347024</v>
      </c>
      <c r="AH1451" s="61">
        <v>1.2320328542094456E-2</v>
      </c>
      <c r="AI1451" s="61">
        <v>0.15605749486652978</v>
      </c>
      <c r="AJ1451" s="59">
        <v>0.58418891170431209</v>
      </c>
      <c r="AK1451" s="59">
        <v>5.1334702258726897E-3</v>
      </c>
      <c r="AL1451" s="4">
        <v>86</v>
      </c>
      <c r="AM1451" s="4">
        <v>83</v>
      </c>
      <c r="AN1451" s="4">
        <v>0</v>
      </c>
      <c r="AO1451" s="4">
        <v>98</v>
      </c>
      <c r="AP1451" s="4">
        <v>94</v>
      </c>
      <c r="AQ1451" s="4">
        <v>89</v>
      </c>
      <c r="AR1451" s="4">
        <v>65</v>
      </c>
      <c r="AS1451" s="59">
        <v>0</v>
      </c>
      <c r="AT1451" s="3">
        <v>1</v>
      </c>
      <c r="AU1451" s="3">
        <v>3</v>
      </c>
      <c r="AV1451" s="49">
        <v>79.5681063122924</v>
      </c>
      <c r="AW1451" s="49">
        <v>18.272425249169398</v>
      </c>
      <c r="AX1451" s="49">
        <v>0</v>
      </c>
      <c r="AY1451" s="67">
        <v>2.1594684385382101</v>
      </c>
      <c r="AZ1451" s="63">
        <v>6.5048543689320407E-2</v>
      </c>
      <c r="BA1451" s="63">
        <v>2.6213592233009699E-2</v>
      </c>
      <c r="BB1451" s="80">
        <v>91.7</v>
      </c>
      <c r="BC1451" s="80"/>
      <c r="BD1451" s="80"/>
      <c r="BE1451" s="80"/>
      <c r="BF1451" s="80"/>
      <c r="BG1451" s="80"/>
      <c r="BH1451" s="80"/>
      <c r="BI1451" s="80"/>
      <c r="BJ1451" s="3">
        <v>19.5</v>
      </c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29" t="s">
        <v>274</v>
      </c>
      <c r="CJ1451" s="18" t="s">
        <v>548</v>
      </c>
      <c r="CK1451" s="30" t="s">
        <v>511</v>
      </c>
    </row>
    <row r="1452" spans="1:89" x14ac:dyDescent="0.25">
      <c r="A1452" s="18" t="s">
        <v>548</v>
      </c>
      <c r="B1452" s="29" t="s">
        <v>275</v>
      </c>
      <c r="C1452" s="29" t="s">
        <v>276</v>
      </c>
      <c r="D1452" s="6">
        <v>21</v>
      </c>
      <c r="E1452" s="40" t="s">
        <v>83</v>
      </c>
      <c r="F1452" s="6">
        <v>21</v>
      </c>
      <c r="N1452" s="115">
        <v>1.5239477503628401E-2</v>
      </c>
      <c r="O1452" s="115">
        <v>1.5239477503628401E-2</v>
      </c>
      <c r="P1452" s="116" t="s">
        <v>83</v>
      </c>
      <c r="Q1452" s="116" t="s">
        <v>83</v>
      </c>
      <c r="R1452" s="119">
        <v>0</v>
      </c>
      <c r="S1452" s="115">
        <v>2.3809523809523799E-3</v>
      </c>
      <c r="T1452" s="115">
        <v>1.13960113960114E-2</v>
      </c>
      <c r="U1452" s="115">
        <v>2.9315960912052099E-2</v>
      </c>
      <c r="V1452" s="115">
        <v>2.3489932885905999E-2</v>
      </c>
      <c r="W1452" s="6">
        <v>1297</v>
      </c>
      <c r="X1452" s="40">
        <f t="shared" si="100"/>
        <v>1297</v>
      </c>
      <c r="Y1452" s="40">
        <f t="shared" si="101"/>
        <v>1297</v>
      </c>
      <c r="Z1452" s="59">
        <v>0.48573631457208943</v>
      </c>
      <c r="AA1452" s="59">
        <v>0.51426368542791057</v>
      </c>
      <c r="AB1452" s="61">
        <v>8.4811102544333078E-3</v>
      </c>
      <c r="AC1452" s="61">
        <v>1.5420200462606013E-3</v>
      </c>
      <c r="AD1452" s="61">
        <v>0.60755589822667699</v>
      </c>
      <c r="AE1452" s="61">
        <v>1.8504240555127217E-2</v>
      </c>
      <c r="AF1452" s="61">
        <v>7.7101002313030066E-4</v>
      </c>
      <c r="AG1452" s="61">
        <v>0.34232845026985353</v>
      </c>
      <c r="AH1452" s="61">
        <v>2.081727062451812E-2</v>
      </c>
      <c r="AI1452" s="61">
        <v>0.65767154973014652</v>
      </c>
      <c r="AJ1452" s="59">
        <v>0.63068619892058597</v>
      </c>
      <c r="AK1452" s="59">
        <v>5.3970701619121047E-3</v>
      </c>
      <c r="AL1452" s="4">
        <v>0</v>
      </c>
      <c r="AM1452" s="4">
        <v>0</v>
      </c>
      <c r="AN1452" s="4">
        <v>2</v>
      </c>
      <c r="AO1452" s="4">
        <v>390</v>
      </c>
      <c r="AP1452" s="4">
        <v>322</v>
      </c>
      <c r="AQ1452" s="4">
        <v>305</v>
      </c>
      <c r="AR1452" s="4">
        <v>278</v>
      </c>
      <c r="AS1452" s="59">
        <v>5.1020408163265302E-3</v>
      </c>
      <c r="AT1452" s="3">
        <v>9</v>
      </c>
      <c r="AU1452" s="3">
        <v>6</v>
      </c>
      <c r="AV1452" s="49">
        <v>53.92</v>
      </c>
      <c r="AW1452" s="49">
        <v>26.400000000000002</v>
      </c>
      <c r="AX1452" s="49">
        <v>18.399999999999999</v>
      </c>
      <c r="AY1452" s="67">
        <v>1.28</v>
      </c>
      <c r="AZ1452" s="63">
        <v>0.26880934989043098</v>
      </c>
      <c r="BA1452" s="63">
        <v>0.25200876552227902</v>
      </c>
      <c r="BB1452" s="79">
        <v>93.8</v>
      </c>
      <c r="BC1452" s="79"/>
      <c r="BD1452" s="79"/>
      <c r="BE1452" s="79"/>
      <c r="BF1452" s="79"/>
      <c r="BG1452" s="79"/>
      <c r="BH1452" s="79"/>
      <c r="BI1452" s="79"/>
      <c r="BJ1452" s="3">
        <v>18</v>
      </c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29" t="s">
        <v>276</v>
      </c>
      <c r="CJ1452" s="18" t="s">
        <v>548</v>
      </c>
      <c r="CK1452" s="30"/>
    </row>
    <row r="1453" spans="1:89" x14ac:dyDescent="0.25">
      <c r="A1453" s="18" t="s">
        <v>548</v>
      </c>
      <c r="B1453" s="29" t="s">
        <v>275</v>
      </c>
      <c r="C1453" s="29" t="s">
        <v>494</v>
      </c>
      <c r="D1453" s="6">
        <v>6</v>
      </c>
      <c r="E1453" s="6">
        <v>0</v>
      </c>
      <c r="F1453" s="6">
        <v>6</v>
      </c>
      <c r="N1453" s="115">
        <v>1.31004366812227E-2</v>
      </c>
      <c r="O1453" s="115">
        <v>1.84049079754601E-2</v>
      </c>
      <c r="P1453" s="119">
        <v>0</v>
      </c>
      <c r="Q1453" s="119">
        <v>0</v>
      </c>
      <c r="R1453" s="116" t="s">
        <v>83</v>
      </c>
      <c r="S1453" s="115">
        <v>1.13636363636364E-2</v>
      </c>
      <c r="T1453" s="115">
        <v>1.20481927710843E-2</v>
      </c>
      <c r="U1453" s="115">
        <v>1.1111111111111099E-2</v>
      </c>
      <c r="V1453" s="115">
        <v>4.6153846153846198E-2</v>
      </c>
      <c r="W1453" s="6">
        <v>407</v>
      </c>
      <c r="X1453" s="40">
        <f t="shared" si="100"/>
        <v>291</v>
      </c>
      <c r="Y1453" s="40">
        <f t="shared" si="101"/>
        <v>407</v>
      </c>
      <c r="Z1453" s="59">
        <v>0.46191646191646191</v>
      </c>
      <c r="AA1453" s="59">
        <v>0.53808353808353804</v>
      </c>
      <c r="AB1453" s="61">
        <v>2.4570024570024569E-3</v>
      </c>
      <c r="AC1453" s="61">
        <v>7.3710073710073713E-3</v>
      </c>
      <c r="AD1453" s="61">
        <v>0.55282555282555279</v>
      </c>
      <c r="AE1453" s="61">
        <v>9.8280098280098278E-3</v>
      </c>
      <c r="AF1453" s="61">
        <v>0</v>
      </c>
      <c r="AG1453" s="61">
        <v>0.40294840294840295</v>
      </c>
      <c r="AH1453" s="61">
        <v>2.4570024570024569E-2</v>
      </c>
      <c r="AI1453" s="61">
        <v>0.59705159705159705</v>
      </c>
      <c r="AJ1453" s="59">
        <v>0.7567567567567568</v>
      </c>
      <c r="AK1453" s="59">
        <v>9.8280098280098278E-3</v>
      </c>
      <c r="AL1453" s="4">
        <v>60</v>
      </c>
      <c r="AM1453" s="4">
        <v>56</v>
      </c>
      <c r="AN1453" s="4">
        <v>0</v>
      </c>
      <c r="AO1453" s="4">
        <v>79</v>
      </c>
      <c r="AP1453" s="4">
        <v>76</v>
      </c>
      <c r="AQ1453" s="4">
        <v>77</v>
      </c>
      <c r="AR1453" s="4">
        <v>59</v>
      </c>
      <c r="AS1453" s="59">
        <v>0</v>
      </c>
      <c r="AT1453" s="3">
        <v>7</v>
      </c>
      <c r="AU1453" s="3">
        <v>6</v>
      </c>
      <c r="AV1453" s="49">
        <v>76.013513513513502</v>
      </c>
      <c r="AW1453" s="49">
        <v>12.1621621621622</v>
      </c>
      <c r="AX1453" s="49">
        <v>11.8243243243243</v>
      </c>
      <c r="AY1453" s="67">
        <v>0</v>
      </c>
      <c r="AZ1453" s="63">
        <v>9.0308370044052899E-2</v>
      </c>
      <c r="BA1453" s="63">
        <v>0.29074889867841403</v>
      </c>
      <c r="BB1453" s="80">
        <v>90.5</v>
      </c>
      <c r="BC1453" s="80"/>
      <c r="BD1453" s="80"/>
      <c r="BE1453" s="80"/>
      <c r="BF1453" s="80"/>
      <c r="BG1453" s="80"/>
      <c r="BH1453" s="80"/>
      <c r="BI1453" s="80"/>
      <c r="BJ1453" s="3">
        <v>15.9</v>
      </c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29" t="s">
        <v>494</v>
      </c>
      <c r="CJ1453" s="18" t="s">
        <v>548</v>
      </c>
      <c r="CK1453" s="30"/>
    </row>
    <row r="1454" spans="1:89" x14ac:dyDescent="0.25">
      <c r="A1454" s="18" t="s">
        <v>548</v>
      </c>
      <c r="B1454" s="29" t="s">
        <v>557</v>
      </c>
      <c r="C1454" s="29" t="s">
        <v>279</v>
      </c>
      <c r="D1454" s="6">
        <v>10</v>
      </c>
      <c r="E1454" s="40" t="s">
        <v>83</v>
      </c>
      <c r="F1454" s="6">
        <v>10</v>
      </c>
      <c r="N1454" s="115">
        <v>9.5238095238095195E-3</v>
      </c>
      <c r="O1454" s="115">
        <v>9.5238095238095195E-3</v>
      </c>
      <c r="P1454" s="116" t="s">
        <v>83</v>
      </c>
      <c r="Q1454" s="116" t="s">
        <v>83</v>
      </c>
      <c r="R1454" s="119">
        <v>0</v>
      </c>
      <c r="S1454" s="119">
        <v>0</v>
      </c>
      <c r="T1454" s="115">
        <v>1.13636363636364E-2</v>
      </c>
      <c r="U1454" s="115">
        <v>7.7821011673151804E-3</v>
      </c>
      <c r="V1454" s="115">
        <v>1.85185185185185E-2</v>
      </c>
      <c r="W1454" s="6">
        <v>971</v>
      </c>
      <c r="X1454" s="40">
        <f t="shared" si="100"/>
        <v>971</v>
      </c>
      <c r="Y1454" s="40">
        <f t="shared" si="101"/>
        <v>971</v>
      </c>
      <c r="Z1454" s="59">
        <v>0.51184346035015449</v>
      </c>
      <c r="AA1454" s="59">
        <v>0.48815653964984551</v>
      </c>
      <c r="AB1454" s="61">
        <v>0</v>
      </c>
      <c r="AC1454" s="61">
        <v>0</v>
      </c>
      <c r="AD1454" s="61">
        <v>0.97219361483007205</v>
      </c>
      <c r="AE1454" s="61">
        <v>2.1627188465499485E-2</v>
      </c>
      <c r="AF1454" s="61">
        <v>0</v>
      </c>
      <c r="AG1454" s="61">
        <v>1.0298661174047373E-3</v>
      </c>
      <c r="AH1454" s="61">
        <v>5.1493305870236872E-3</v>
      </c>
      <c r="AI1454" s="61">
        <v>0.99897013388259526</v>
      </c>
      <c r="AJ1454" s="59">
        <v>0.77445932028836251</v>
      </c>
      <c r="AK1454" s="59">
        <v>1.3388259526261586E-2</v>
      </c>
      <c r="AL1454" s="4">
        <v>0</v>
      </c>
      <c r="AM1454" s="4">
        <v>0</v>
      </c>
      <c r="AN1454" s="4">
        <v>15</v>
      </c>
      <c r="AO1454" s="4">
        <v>227</v>
      </c>
      <c r="AP1454" s="4">
        <v>243</v>
      </c>
      <c r="AQ1454" s="4">
        <v>243</v>
      </c>
      <c r="AR1454" s="4">
        <v>243</v>
      </c>
      <c r="AS1454" s="59">
        <v>6.1983471074380167E-2</v>
      </c>
      <c r="AT1454" s="3">
        <v>9</v>
      </c>
      <c r="AU1454" s="3">
        <v>3</v>
      </c>
      <c r="AV1454" s="49">
        <v>50.630252100840302</v>
      </c>
      <c r="AW1454" s="49">
        <v>35.924369747899199</v>
      </c>
      <c r="AX1454" s="49">
        <v>12.815126050420201</v>
      </c>
      <c r="AY1454" s="67">
        <v>0.630252100840336</v>
      </c>
      <c r="AZ1454" s="63">
        <v>9.5693779904306201E-4</v>
      </c>
      <c r="BA1454" s="63">
        <v>0.13014354066985601</v>
      </c>
      <c r="BB1454" s="80">
        <v>93.5</v>
      </c>
      <c r="BC1454" s="80"/>
      <c r="BD1454" s="80"/>
      <c r="BE1454" s="80"/>
      <c r="BF1454" s="80"/>
      <c r="BG1454" s="80"/>
      <c r="BH1454" s="80"/>
      <c r="BI1454" s="80"/>
      <c r="BJ1454" s="3">
        <v>18</v>
      </c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29" t="s">
        <v>279</v>
      </c>
      <c r="CJ1454" s="18" t="s">
        <v>548</v>
      </c>
      <c r="CK1454" s="30" t="s">
        <v>513</v>
      </c>
    </row>
    <row r="1455" spans="1:89" x14ac:dyDescent="0.25">
      <c r="A1455" s="18" t="s">
        <v>548</v>
      </c>
      <c r="B1455" s="29" t="s">
        <v>557</v>
      </c>
      <c r="C1455" s="29" t="s">
        <v>283</v>
      </c>
      <c r="D1455" s="6">
        <v>33</v>
      </c>
      <c r="E1455" s="40" t="s">
        <v>83</v>
      </c>
      <c r="F1455" s="6">
        <v>33</v>
      </c>
      <c r="N1455" s="115">
        <v>6.7761806981519498E-2</v>
      </c>
      <c r="O1455" s="115">
        <v>6.7761806981519498E-2</v>
      </c>
      <c r="P1455" s="116" t="s">
        <v>83</v>
      </c>
      <c r="Q1455" s="116" t="s">
        <v>83</v>
      </c>
      <c r="R1455" s="116" t="s">
        <v>83</v>
      </c>
      <c r="S1455" s="115">
        <v>0.23529411764705899</v>
      </c>
      <c r="T1455" s="115">
        <v>6.13496932515337E-2</v>
      </c>
      <c r="U1455" s="115">
        <v>3.5087719298245598E-2</v>
      </c>
      <c r="V1455" s="115">
        <v>7.7720207253885995E-2</v>
      </c>
      <c r="W1455" s="6">
        <v>451</v>
      </c>
      <c r="X1455" s="40">
        <f t="shared" si="100"/>
        <v>451</v>
      </c>
      <c r="Y1455" s="40">
        <f t="shared" si="101"/>
        <v>451</v>
      </c>
      <c r="Z1455" s="59">
        <v>0.43680709534368073</v>
      </c>
      <c r="AA1455" s="59">
        <v>0.56319290465631933</v>
      </c>
      <c r="AB1455" s="61">
        <v>0</v>
      </c>
      <c r="AC1455" s="61">
        <v>2.2172949002217295E-3</v>
      </c>
      <c r="AD1455" s="61">
        <v>0.99334811529933487</v>
      </c>
      <c r="AE1455" s="61">
        <v>4.434589800443459E-3</v>
      </c>
      <c r="AF1455" s="61">
        <v>0</v>
      </c>
      <c r="AG1455" s="61">
        <v>0</v>
      </c>
      <c r="AH1455" s="61">
        <v>0</v>
      </c>
      <c r="AI1455" s="61">
        <v>1</v>
      </c>
      <c r="AJ1455" s="59">
        <v>0.88026607538802659</v>
      </c>
      <c r="AK1455" s="59">
        <v>2.2172949002217295E-3</v>
      </c>
      <c r="AL1455" s="4">
        <v>0</v>
      </c>
      <c r="AM1455" s="4">
        <v>0</v>
      </c>
      <c r="AN1455" s="4">
        <v>0</v>
      </c>
      <c r="AO1455" s="4">
        <v>23</v>
      </c>
      <c r="AP1455" s="4">
        <v>141</v>
      </c>
      <c r="AQ1455" s="4">
        <v>115</v>
      </c>
      <c r="AR1455" s="4">
        <v>172</v>
      </c>
      <c r="AS1455" s="59">
        <v>0</v>
      </c>
      <c r="AT1455" s="3">
        <v>9</v>
      </c>
      <c r="AU1455" s="3">
        <v>3</v>
      </c>
      <c r="AV1455" s="49">
        <v>68.75</v>
      </c>
      <c r="AW1455" s="49">
        <v>17.96875</v>
      </c>
      <c r="AX1455" s="49">
        <v>12.890625</v>
      </c>
      <c r="AY1455" s="67">
        <v>0.390625</v>
      </c>
      <c r="AZ1455" s="63">
        <v>2.1231422505307899E-3</v>
      </c>
      <c r="BA1455" s="63">
        <v>0.18895966029724001</v>
      </c>
      <c r="BB1455" s="79">
        <v>88.2</v>
      </c>
      <c r="BC1455" s="79"/>
      <c r="BD1455" s="79"/>
      <c r="BE1455" s="79"/>
      <c r="BF1455" s="79"/>
      <c r="BG1455" s="79"/>
      <c r="BH1455" s="79"/>
      <c r="BI1455" s="79"/>
      <c r="BJ1455" s="3">
        <v>15.6</v>
      </c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29" t="s">
        <v>283</v>
      </c>
      <c r="CJ1455" s="18" t="s">
        <v>548</v>
      </c>
      <c r="CK1455" s="30"/>
    </row>
    <row r="1456" spans="1:89" x14ac:dyDescent="0.25">
      <c r="A1456" s="18" t="s">
        <v>548</v>
      </c>
      <c r="B1456" s="29" t="s">
        <v>557</v>
      </c>
      <c r="C1456" s="29" t="s">
        <v>514</v>
      </c>
      <c r="D1456" s="6">
        <v>1</v>
      </c>
      <c r="E1456" s="40" t="s">
        <v>83</v>
      </c>
      <c r="F1456" s="6">
        <v>1</v>
      </c>
      <c r="N1456" s="115">
        <v>9.9009900990098994E-3</v>
      </c>
      <c r="O1456" s="115">
        <v>9.9009900990098994E-3</v>
      </c>
      <c r="P1456" s="116" t="s">
        <v>83</v>
      </c>
      <c r="Q1456" s="116" t="s">
        <v>83</v>
      </c>
      <c r="R1456" s="116" t="s">
        <v>83</v>
      </c>
      <c r="S1456" s="119">
        <v>0</v>
      </c>
      <c r="T1456" s="115">
        <v>2.27272727272727E-2</v>
      </c>
      <c r="U1456" s="116" t="s">
        <v>83</v>
      </c>
      <c r="V1456" s="116" t="s">
        <v>83</v>
      </c>
      <c r="W1456" s="6">
        <v>90</v>
      </c>
      <c r="X1456" s="40">
        <f t="shared" si="100"/>
        <v>90</v>
      </c>
      <c r="Y1456" s="40">
        <f t="shared" si="101"/>
        <v>90</v>
      </c>
      <c r="Z1456" s="59">
        <v>0.3</v>
      </c>
      <c r="AA1456" s="59">
        <v>0.7</v>
      </c>
      <c r="AB1456" s="61">
        <v>0</v>
      </c>
      <c r="AC1456" s="61">
        <v>1.1111111111111112E-2</v>
      </c>
      <c r="AD1456" s="61">
        <v>0.84444444444444444</v>
      </c>
      <c r="AE1456" s="61">
        <v>7.7777777777777779E-2</v>
      </c>
      <c r="AF1456" s="61">
        <v>0</v>
      </c>
      <c r="AG1456" s="61">
        <v>6.6666666666666666E-2</v>
      </c>
      <c r="AH1456" s="61">
        <v>0</v>
      </c>
      <c r="AI1456" s="61">
        <v>0.93333333333333335</v>
      </c>
      <c r="AJ1456" s="59">
        <v>0.74444444444444446</v>
      </c>
      <c r="AK1456" s="59">
        <v>0</v>
      </c>
      <c r="AL1456" s="4">
        <v>0</v>
      </c>
      <c r="AM1456" s="4">
        <v>0</v>
      </c>
      <c r="AN1456" s="4">
        <v>0</v>
      </c>
      <c r="AO1456" s="4">
        <v>50</v>
      </c>
      <c r="AP1456" s="4">
        <v>40</v>
      </c>
      <c r="AQ1456" s="4">
        <v>0</v>
      </c>
      <c r="AR1456" s="4">
        <v>0</v>
      </c>
      <c r="AS1456" s="59">
        <v>0</v>
      </c>
      <c r="AT1456" s="3">
        <v>9</v>
      </c>
      <c r="AU1456" s="3">
        <v>1</v>
      </c>
      <c r="AV1456" s="49">
        <v>93.939393939393895</v>
      </c>
      <c r="AW1456" s="49">
        <v>6.0606060606060597</v>
      </c>
      <c r="AX1456" s="49">
        <v>0</v>
      </c>
      <c r="AY1456" s="67">
        <v>0</v>
      </c>
      <c r="AZ1456" s="63">
        <v>0.01</v>
      </c>
      <c r="BA1456" s="63">
        <v>7.0000000000000007E-2</v>
      </c>
      <c r="BB1456" s="79">
        <v>89.5</v>
      </c>
      <c r="BC1456" s="79"/>
      <c r="BD1456" s="79"/>
      <c r="BE1456" s="79"/>
      <c r="BF1456" s="79"/>
      <c r="BG1456" s="79"/>
      <c r="BH1456" s="79"/>
      <c r="BI1456" s="79"/>
      <c r="BJ1456" s="79"/>
      <c r="BK1456" s="79"/>
      <c r="BL1456" s="79"/>
      <c r="BM1456" s="79"/>
      <c r="BN1456" s="79"/>
      <c r="BO1456" s="79"/>
      <c r="BP1456" s="79"/>
      <c r="BQ1456" s="79"/>
      <c r="BR1456" s="79"/>
      <c r="BS1456" s="79"/>
      <c r="BT1456" s="79"/>
      <c r="BU1456" s="79"/>
      <c r="BV1456" s="79"/>
      <c r="BW1456" s="79"/>
      <c r="BX1456" s="79"/>
      <c r="BY1456" s="79"/>
      <c r="BZ1456" s="79"/>
      <c r="CA1456" s="79"/>
      <c r="CB1456" s="79"/>
      <c r="CC1456" s="79"/>
      <c r="CD1456" s="79"/>
      <c r="CE1456" s="79"/>
      <c r="CF1456" s="79"/>
      <c r="CG1456" s="79"/>
      <c r="CH1456" s="79"/>
      <c r="CI1456" s="29" t="s">
        <v>514</v>
      </c>
      <c r="CJ1456" s="18" t="s">
        <v>548</v>
      </c>
      <c r="CK1456" s="30" t="s">
        <v>514</v>
      </c>
    </row>
    <row r="1457" spans="1:99" x14ac:dyDescent="0.25">
      <c r="A1457" s="18" t="s">
        <v>548</v>
      </c>
      <c r="B1457" s="29" t="s">
        <v>286</v>
      </c>
      <c r="C1457" s="29" t="s">
        <v>287</v>
      </c>
      <c r="D1457" s="6">
        <v>22</v>
      </c>
      <c r="E1457" s="40" t="s">
        <v>83</v>
      </c>
      <c r="F1457" s="6">
        <v>22</v>
      </c>
      <c r="N1457" s="115">
        <v>1.73638516179953E-2</v>
      </c>
      <c r="O1457" s="115">
        <v>1.73638516179953E-2</v>
      </c>
      <c r="P1457" s="116" t="s">
        <v>83</v>
      </c>
      <c r="Q1457" s="116" t="s">
        <v>83</v>
      </c>
      <c r="R1457" s="119">
        <v>0</v>
      </c>
      <c r="S1457" s="115">
        <v>5.6818181818181802E-3</v>
      </c>
      <c r="T1457" s="115">
        <v>1.9672131147540999E-2</v>
      </c>
      <c r="U1457" s="115">
        <v>1.7361111111111101E-2</v>
      </c>
      <c r="V1457" s="115">
        <v>2.9605263157894701E-2</v>
      </c>
      <c r="W1457" s="6">
        <v>1174</v>
      </c>
      <c r="X1457" s="40">
        <f t="shared" si="100"/>
        <v>1174</v>
      </c>
      <c r="Y1457" s="40">
        <f t="shared" si="101"/>
        <v>1174</v>
      </c>
      <c r="Z1457" s="59">
        <v>0.50766609880749569</v>
      </c>
      <c r="AA1457" s="59">
        <v>0.49233390119250425</v>
      </c>
      <c r="AB1457" s="61">
        <v>0</v>
      </c>
      <c r="AC1457" s="61">
        <v>1.3628620102214651E-2</v>
      </c>
      <c r="AD1457" s="61">
        <v>0.69846678023850084</v>
      </c>
      <c r="AE1457" s="61">
        <v>1.3628620102214651E-2</v>
      </c>
      <c r="AF1457" s="61">
        <v>0</v>
      </c>
      <c r="AG1457" s="61">
        <v>0.26320272572402043</v>
      </c>
      <c r="AH1457" s="61">
        <v>1.1073253833049404E-2</v>
      </c>
      <c r="AI1457" s="61">
        <v>0.73679727427597952</v>
      </c>
      <c r="AJ1457" s="59">
        <v>0.73850085178875635</v>
      </c>
      <c r="AK1457" s="59">
        <v>5.96252129471891E-3</v>
      </c>
      <c r="AL1457" s="4">
        <v>0</v>
      </c>
      <c r="AM1457" s="4">
        <v>0</v>
      </c>
      <c r="AN1457" s="4">
        <v>54</v>
      </c>
      <c r="AO1457" s="4">
        <v>278</v>
      </c>
      <c r="AP1457" s="4">
        <v>285</v>
      </c>
      <c r="AQ1457" s="4">
        <v>269</v>
      </c>
      <c r="AR1457" s="4">
        <v>288</v>
      </c>
      <c r="AS1457" s="59">
        <v>0.16265060240963855</v>
      </c>
      <c r="AT1457" s="3">
        <v>9</v>
      </c>
      <c r="AU1457" s="3">
        <v>6</v>
      </c>
      <c r="AV1457" s="49">
        <v>76.875</v>
      </c>
      <c r="AW1457" s="49">
        <v>20.15625</v>
      </c>
      <c r="AX1457" s="49">
        <v>2.65625</v>
      </c>
      <c r="AY1457" s="67">
        <v>0.3125</v>
      </c>
      <c r="AZ1457" s="63">
        <v>4.76568705321684E-3</v>
      </c>
      <c r="BA1457" s="63">
        <v>0.115965051628276</v>
      </c>
      <c r="BB1457" s="79">
        <v>91.5</v>
      </c>
      <c r="BC1457" s="79"/>
      <c r="BD1457" s="79"/>
      <c r="BE1457" s="79"/>
      <c r="BF1457" s="79"/>
      <c r="BG1457" s="79"/>
      <c r="BH1457" s="79"/>
      <c r="BI1457" s="79"/>
      <c r="BJ1457" s="3">
        <v>18.100000000000001</v>
      </c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29" t="s">
        <v>287</v>
      </c>
      <c r="CJ1457" s="18" t="s">
        <v>548</v>
      </c>
      <c r="CK1457" s="30"/>
    </row>
    <row r="1458" spans="1:99" x14ac:dyDescent="0.25">
      <c r="A1458" s="18" t="s">
        <v>548</v>
      </c>
      <c r="B1458" s="29" t="s">
        <v>286</v>
      </c>
      <c r="C1458" s="29" t="s">
        <v>288</v>
      </c>
      <c r="D1458" s="6">
        <v>2</v>
      </c>
      <c r="E1458" s="40" t="s">
        <v>83</v>
      </c>
      <c r="F1458" s="6">
        <v>2</v>
      </c>
      <c r="N1458" s="115">
        <v>3.8387715930902101E-3</v>
      </c>
      <c r="O1458" s="115">
        <v>3.8387715930902101E-3</v>
      </c>
      <c r="P1458" s="116" t="s">
        <v>83</v>
      </c>
      <c r="Q1458" s="116" t="s">
        <v>83</v>
      </c>
      <c r="R1458" s="119">
        <v>0</v>
      </c>
      <c r="S1458" s="115">
        <v>7.8740157480314994E-3</v>
      </c>
      <c r="T1458" s="119">
        <v>0</v>
      </c>
      <c r="U1458" s="119">
        <v>0</v>
      </c>
      <c r="V1458" s="115">
        <v>8.0000000000000002E-3</v>
      </c>
      <c r="W1458" s="6">
        <v>486</v>
      </c>
      <c r="X1458" s="40">
        <f t="shared" si="100"/>
        <v>486</v>
      </c>
      <c r="Y1458" s="40">
        <f t="shared" si="101"/>
        <v>486</v>
      </c>
      <c r="Z1458" s="59">
        <v>0.48148148148148145</v>
      </c>
      <c r="AA1458" s="59">
        <v>0.51851851851851849</v>
      </c>
      <c r="AB1458" s="61">
        <v>0</v>
      </c>
      <c r="AC1458" s="61">
        <v>2.0576131687242798E-2</v>
      </c>
      <c r="AD1458" s="61">
        <v>0.16872427983539096</v>
      </c>
      <c r="AE1458" s="61">
        <v>1.4403292181069959E-2</v>
      </c>
      <c r="AF1458" s="61">
        <v>2.05761316872428E-3</v>
      </c>
      <c r="AG1458" s="61">
        <v>0.79012345679012341</v>
      </c>
      <c r="AH1458" s="61">
        <v>4.11522633744856E-3</v>
      </c>
      <c r="AI1458" s="61">
        <v>0.20987654320987653</v>
      </c>
      <c r="AJ1458" s="59">
        <v>0.3559670781893004</v>
      </c>
      <c r="AK1458" s="59">
        <v>6.1728395061728392E-3</v>
      </c>
      <c r="AL1458" s="4">
        <v>0</v>
      </c>
      <c r="AM1458" s="4">
        <v>0</v>
      </c>
      <c r="AN1458" s="4">
        <v>10</v>
      </c>
      <c r="AO1458" s="4">
        <v>114</v>
      </c>
      <c r="AP1458" s="4">
        <v>108</v>
      </c>
      <c r="AQ1458" s="4">
        <v>132</v>
      </c>
      <c r="AR1458" s="4">
        <v>122</v>
      </c>
      <c r="AS1458" s="59">
        <v>8.0645161290322578E-2</v>
      </c>
      <c r="AT1458" s="3">
        <v>9</v>
      </c>
      <c r="AU1458" s="3">
        <v>6</v>
      </c>
      <c r="AV1458" s="49">
        <v>82.285714285714292</v>
      </c>
      <c r="AW1458" s="49">
        <v>12</v>
      </c>
      <c r="AX1458" s="49">
        <v>5.4285714285714297</v>
      </c>
      <c r="AY1458" s="67">
        <v>0.28571428571428603</v>
      </c>
      <c r="AZ1458" s="63">
        <v>0.1</v>
      </c>
      <c r="BA1458" s="63">
        <v>6.34615384615385E-2</v>
      </c>
      <c r="BB1458" s="80">
        <v>93.8</v>
      </c>
      <c r="BC1458" s="80"/>
      <c r="BD1458" s="80"/>
      <c r="BE1458" s="80"/>
      <c r="BF1458" s="80"/>
      <c r="BG1458" s="80"/>
      <c r="BH1458" s="80"/>
      <c r="BI1458" s="80"/>
      <c r="BJ1458" s="3">
        <v>20.6</v>
      </c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29" t="s">
        <v>288</v>
      </c>
      <c r="CJ1458" s="18" t="s">
        <v>548</v>
      </c>
      <c r="CK1458" s="30"/>
    </row>
    <row r="1459" spans="1:99" x14ac:dyDescent="0.25">
      <c r="A1459" s="18" t="s">
        <v>548</v>
      </c>
      <c r="B1459" s="29" t="s">
        <v>286</v>
      </c>
      <c r="C1459" s="29" t="s">
        <v>289</v>
      </c>
      <c r="D1459" s="6">
        <v>59</v>
      </c>
      <c r="E1459" s="40" t="s">
        <v>83</v>
      </c>
      <c r="F1459" s="6">
        <v>59</v>
      </c>
      <c r="N1459" s="115">
        <v>2.5354533734422001E-2</v>
      </c>
      <c r="O1459" s="115">
        <v>2.5354533734422001E-2</v>
      </c>
      <c r="P1459" s="116" t="s">
        <v>83</v>
      </c>
      <c r="Q1459" s="116" t="s">
        <v>83</v>
      </c>
      <c r="R1459" s="115">
        <v>0.08</v>
      </c>
      <c r="S1459" s="115">
        <v>1.51260504201681E-2</v>
      </c>
      <c r="T1459" s="115">
        <v>2.0033388981636101E-2</v>
      </c>
      <c r="U1459" s="115">
        <v>2.9929577464788699E-2</v>
      </c>
      <c r="V1459" s="115">
        <v>3.5185185185185201E-2</v>
      </c>
      <c r="W1459" s="6">
        <v>2173</v>
      </c>
      <c r="X1459" s="40">
        <f t="shared" si="100"/>
        <v>2173</v>
      </c>
      <c r="Y1459" s="40">
        <f t="shared" si="101"/>
        <v>2173</v>
      </c>
      <c r="Z1459" s="59">
        <v>0.50253106304647954</v>
      </c>
      <c r="AA1459" s="59">
        <v>0.49746893695352046</v>
      </c>
      <c r="AB1459" s="61">
        <v>9.2038656235618964E-4</v>
      </c>
      <c r="AC1459" s="61">
        <v>1.1504832029452371E-2</v>
      </c>
      <c r="AD1459" s="61">
        <v>0.23193741371375978</v>
      </c>
      <c r="AE1459" s="61">
        <v>4.1417395306028532E-2</v>
      </c>
      <c r="AF1459" s="61">
        <v>9.2038656235618964E-4</v>
      </c>
      <c r="AG1459" s="61">
        <v>0.70501610676484128</v>
      </c>
      <c r="AH1459" s="61">
        <v>8.283479061205707E-3</v>
      </c>
      <c r="AI1459" s="61">
        <v>0.29498389323515878</v>
      </c>
      <c r="AJ1459" s="59">
        <v>0.53428439944776807</v>
      </c>
      <c r="AK1459" s="59">
        <v>1.2885411872986655E-2</v>
      </c>
      <c r="AL1459" s="4">
        <v>0</v>
      </c>
      <c r="AM1459" s="4">
        <v>0</v>
      </c>
      <c r="AN1459" s="4">
        <v>96</v>
      </c>
      <c r="AO1459" s="4">
        <v>482</v>
      </c>
      <c r="AP1459" s="4">
        <v>563</v>
      </c>
      <c r="AQ1459" s="4">
        <v>526</v>
      </c>
      <c r="AR1459" s="4">
        <v>506</v>
      </c>
      <c r="AS1459" s="59">
        <v>0.16608996539792387</v>
      </c>
      <c r="AT1459" s="3">
        <v>9</v>
      </c>
      <c r="AU1459" s="3">
        <v>6</v>
      </c>
      <c r="AV1459" s="49">
        <v>52.300785634118995</v>
      </c>
      <c r="AW1459" s="49">
        <v>38.720538720538698</v>
      </c>
      <c r="AX1459" s="49">
        <v>8.0808080808080796</v>
      </c>
      <c r="AY1459" s="67">
        <v>0.89786756453423089</v>
      </c>
      <c r="AZ1459" s="63">
        <v>1.9982623805386599E-2</v>
      </c>
      <c r="BA1459" s="63">
        <v>0.12771503040834101</v>
      </c>
      <c r="BB1459" s="79">
        <v>91.9</v>
      </c>
      <c r="BC1459" s="79"/>
      <c r="BD1459" s="79"/>
      <c r="BE1459" s="79"/>
      <c r="BF1459" s="79"/>
      <c r="BG1459" s="79"/>
      <c r="BH1459" s="79"/>
      <c r="BI1459" s="79"/>
      <c r="BJ1459" s="3">
        <v>19.600000000000001</v>
      </c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29" t="s">
        <v>289</v>
      </c>
      <c r="CJ1459" s="18" t="s">
        <v>548</v>
      </c>
      <c r="CK1459" s="30"/>
    </row>
    <row r="1460" spans="1:99" x14ac:dyDescent="0.25">
      <c r="A1460" s="18" t="s">
        <v>548</v>
      </c>
      <c r="B1460" s="29" t="s">
        <v>286</v>
      </c>
      <c r="C1460" s="29" t="s">
        <v>290</v>
      </c>
      <c r="D1460" s="6">
        <v>59</v>
      </c>
      <c r="E1460" s="40" t="s">
        <v>83</v>
      </c>
      <c r="F1460" s="6">
        <v>59</v>
      </c>
      <c r="N1460" s="115">
        <v>4.70119521912351E-2</v>
      </c>
      <c r="O1460" s="115">
        <v>4.70119521912351E-2</v>
      </c>
      <c r="P1460" s="116" t="s">
        <v>83</v>
      </c>
      <c r="Q1460" s="116" t="s">
        <v>83</v>
      </c>
      <c r="R1460" s="115">
        <v>5.8823529411764698E-2</v>
      </c>
      <c r="S1460" s="115">
        <v>3.03030303030303E-2</v>
      </c>
      <c r="T1460" s="115">
        <v>5.9016393442623001E-2</v>
      </c>
      <c r="U1460" s="115">
        <v>7.9872204472843406E-2</v>
      </c>
      <c r="V1460" s="115">
        <v>1.72413793103448E-2</v>
      </c>
      <c r="W1460" s="6">
        <v>1161</v>
      </c>
      <c r="X1460" s="40">
        <f t="shared" si="100"/>
        <v>1161</v>
      </c>
      <c r="Y1460" s="40">
        <f t="shared" si="101"/>
        <v>1161</v>
      </c>
      <c r="Z1460" s="59">
        <v>0.49009474590869939</v>
      </c>
      <c r="AA1460" s="59">
        <v>0.50990525409130061</v>
      </c>
      <c r="AB1460" s="61">
        <v>8.6132644272179156E-4</v>
      </c>
      <c r="AC1460" s="61">
        <v>3.4453057708871662E-3</v>
      </c>
      <c r="AD1460" s="61">
        <v>3.6175710594315243E-2</v>
      </c>
      <c r="AE1460" s="61">
        <v>1.3781223083548665E-2</v>
      </c>
      <c r="AF1460" s="61">
        <v>0</v>
      </c>
      <c r="AG1460" s="61">
        <v>0.94142980189491821</v>
      </c>
      <c r="AH1460" s="61">
        <v>4.3066322136089581E-3</v>
      </c>
      <c r="AI1460" s="61">
        <v>5.8570198105081829E-2</v>
      </c>
      <c r="AJ1460" s="59">
        <v>0.54608096468561584</v>
      </c>
      <c r="AK1460" s="59">
        <v>0</v>
      </c>
      <c r="AL1460" s="4">
        <v>0</v>
      </c>
      <c r="AM1460" s="4">
        <v>0</v>
      </c>
      <c r="AN1460" s="4">
        <v>16</v>
      </c>
      <c r="AO1460" s="4">
        <v>306</v>
      </c>
      <c r="AP1460" s="4">
        <v>276</v>
      </c>
      <c r="AQ1460" s="4">
        <v>289</v>
      </c>
      <c r="AR1460" s="4">
        <v>274</v>
      </c>
      <c r="AS1460" s="59">
        <v>4.9689440993788817E-2</v>
      </c>
      <c r="AT1460" s="3">
        <v>9</v>
      </c>
      <c r="AU1460" s="1">
        <v>6</v>
      </c>
      <c r="AV1460" s="49">
        <v>69.175108538350202</v>
      </c>
      <c r="AW1460" s="49">
        <v>23.589001447178003</v>
      </c>
      <c r="AX1460" s="49">
        <v>6.8017366136034694</v>
      </c>
      <c r="AY1460" s="67">
        <v>0.434153400868307</v>
      </c>
      <c r="AZ1460" s="63">
        <v>0.11957411957411999</v>
      </c>
      <c r="BA1460" s="63">
        <v>9.3366093366093403E-2</v>
      </c>
      <c r="BB1460" s="80">
        <v>93.2</v>
      </c>
      <c r="BC1460" s="80"/>
      <c r="BD1460" s="80"/>
      <c r="BE1460" s="80"/>
      <c r="BF1460" s="80"/>
      <c r="BG1460" s="80"/>
      <c r="BH1460" s="80"/>
      <c r="BI1460" s="80"/>
      <c r="BJ1460" s="3">
        <v>19.899999999999999</v>
      </c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29" t="s">
        <v>290</v>
      </c>
      <c r="CJ1460" s="18" t="s">
        <v>548</v>
      </c>
      <c r="CK1460" s="30"/>
    </row>
    <row r="1461" spans="1:99" x14ac:dyDescent="0.25">
      <c r="A1461" s="18" t="s">
        <v>548</v>
      </c>
      <c r="B1461" s="29" t="s">
        <v>286</v>
      </c>
      <c r="C1461" s="29" t="s">
        <v>291</v>
      </c>
      <c r="D1461" s="6">
        <v>20</v>
      </c>
      <c r="E1461" s="40" t="s">
        <v>83</v>
      </c>
      <c r="F1461" s="6">
        <v>20</v>
      </c>
      <c r="N1461" s="115">
        <v>3.5273368606701903E-2</v>
      </c>
      <c r="O1461" s="115">
        <v>3.5273368606701903E-2</v>
      </c>
      <c r="P1461" s="116" t="s">
        <v>83</v>
      </c>
      <c r="Q1461" s="116" t="s">
        <v>83</v>
      </c>
      <c r="R1461" s="119">
        <v>0</v>
      </c>
      <c r="S1461" s="115">
        <v>2.1126760563380299E-2</v>
      </c>
      <c r="T1461" s="115">
        <v>5.2980132450331098E-2</v>
      </c>
      <c r="U1461" s="115">
        <v>5.5555555555555601E-2</v>
      </c>
      <c r="V1461" s="115">
        <v>1.84049079754601E-2</v>
      </c>
      <c r="W1461" s="6">
        <v>502</v>
      </c>
      <c r="X1461" s="40">
        <f t="shared" si="100"/>
        <v>502</v>
      </c>
      <c r="Y1461" s="40">
        <f t="shared" si="101"/>
        <v>502</v>
      </c>
      <c r="Z1461" s="59">
        <v>0.51593625498007967</v>
      </c>
      <c r="AA1461" s="59">
        <v>0.48406374501992033</v>
      </c>
      <c r="AB1461" s="61">
        <v>0</v>
      </c>
      <c r="AC1461" s="61">
        <v>0</v>
      </c>
      <c r="AD1461" s="61">
        <v>0.97808764940239046</v>
      </c>
      <c r="AE1461" s="61">
        <v>1.1952191235059761E-2</v>
      </c>
      <c r="AF1461" s="61">
        <v>0</v>
      </c>
      <c r="AG1461" s="61">
        <v>9.9601593625498006E-3</v>
      </c>
      <c r="AH1461" s="61">
        <v>0</v>
      </c>
      <c r="AI1461" s="61">
        <v>0.99003984063745021</v>
      </c>
      <c r="AJ1461" s="59">
        <v>0.89043824701195218</v>
      </c>
      <c r="AK1461" s="59">
        <v>5.9760956175298804E-3</v>
      </c>
      <c r="AL1461" s="4">
        <v>0</v>
      </c>
      <c r="AM1461" s="4">
        <v>0</v>
      </c>
      <c r="AN1461" s="4">
        <v>2</v>
      </c>
      <c r="AO1461" s="4">
        <v>127</v>
      </c>
      <c r="AP1461" s="4">
        <v>129</v>
      </c>
      <c r="AQ1461" s="4">
        <v>106</v>
      </c>
      <c r="AR1461" s="4">
        <v>138</v>
      </c>
      <c r="AS1461" s="59">
        <v>1.5503875968992248E-2</v>
      </c>
      <c r="AT1461" s="3">
        <v>9</v>
      </c>
      <c r="AU1461" s="3">
        <v>6</v>
      </c>
      <c r="AV1461" s="49">
        <v>89.870129870129901</v>
      </c>
      <c r="AW1461" s="49">
        <v>9.3506493506493502</v>
      </c>
      <c r="AX1461" s="49">
        <v>0.77922077922077893</v>
      </c>
      <c r="AY1461" s="67">
        <v>0</v>
      </c>
      <c r="AZ1461" s="63">
        <v>0.29233511586452798</v>
      </c>
      <c r="BA1461" s="63">
        <v>0.29946524064171098</v>
      </c>
      <c r="BB1461" s="79">
        <v>87.8</v>
      </c>
      <c r="BC1461" s="79"/>
      <c r="BD1461" s="79"/>
      <c r="BE1461" s="79"/>
      <c r="BF1461" s="79"/>
      <c r="BG1461" s="79"/>
      <c r="BH1461" s="79"/>
      <c r="BI1461" s="79"/>
      <c r="BJ1461" s="3">
        <v>15.3</v>
      </c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29" t="s">
        <v>291</v>
      </c>
      <c r="CJ1461" s="18" t="s">
        <v>548</v>
      </c>
      <c r="CK1461" s="30"/>
    </row>
    <row r="1462" spans="1:99" x14ac:dyDescent="0.25">
      <c r="A1462" s="18" t="s">
        <v>548</v>
      </c>
      <c r="B1462" s="29" t="s">
        <v>292</v>
      </c>
      <c r="C1462" s="29" t="s">
        <v>293</v>
      </c>
      <c r="D1462" s="6">
        <v>9</v>
      </c>
      <c r="E1462" s="40" t="s">
        <v>83</v>
      </c>
      <c r="F1462" s="6">
        <v>9</v>
      </c>
      <c r="N1462" s="115">
        <v>8.5146641438032192E-3</v>
      </c>
      <c r="O1462" s="115">
        <v>8.5146641438032192E-3</v>
      </c>
      <c r="P1462" s="116" t="s">
        <v>83</v>
      </c>
      <c r="Q1462" s="116" t="s">
        <v>83</v>
      </c>
      <c r="R1462" s="115">
        <v>7.1428571428571397E-2</v>
      </c>
      <c r="S1462" s="115">
        <v>3.4722222222222199E-3</v>
      </c>
      <c r="T1462" s="115">
        <v>6.9204152249135002E-3</v>
      </c>
      <c r="U1462" s="115">
        <v>8.9686098654708502E-3</v>
      </c>
      <c r="V1462" s="115">
        <v>1.2345679012345699E-2</v>
      </c>
      <c r="W1462" s="6">
        <v>954</v>
      </c>
      <c r="X1462" s="40">
        <f t="shared" si="100"/>
        <v>954</v>
      </c>
      <c r="Y1462" s="40">
        <f t="shared" si="101"/>
        <v>954</v>
      </c>
      <c r="Z1462" s="59">
        <v>0.48532494758909855</v>
      </c>
      <c r="AA1462" s="59">
        <v>0.5146750524109015</v>
      </c>
      <c r="AB1462" s="61">
        <v>5.2410901467505244E-3</v>
      </c>
      <c r="AC1462" s="61">
        <v>3.4591194968553458E-2</v>
      </c>
      <c r="AD1462" s="61">
        <v>0.21383647798742139</v>
      </c>
      <c r="AE1462" s="61">
        <v>9.4339622641509441E-2</v>
      </c>
      <c r="AF1462" s="61">
        <v>2.0964360587002098E-3</v>
      </c>
      <c r="AG1462" s="61">
        <v>0.6132075471698113</v>
      </c>
      <c r="AH1462" s="61">
        <v>3.668763102725367E-2</v>
      </c>
      <c r="AI1462" s="61">
        <v>0.3867924528301887</v>
      </c>
      <c r="AJ1462" s="59">
        <v>0.51572327044025157</v>
      </c>
      <c r="AK1462" s="59">
        <v>2.6205450733752619E-2</v>
      </c>
      <c r="AL1462" s="4">
        <v>0</v>
      </c>
      <c r="AM1462" s="4">
        <v>0</v>
      </c>
      <c r="AN1462" s="4">
        <v>13</v>
      </c>
      <c r="AO1462" s="4">
        <v>255</v>
      </c>
      <c r="AP1462" s="4">
        <v>255</v>
      </c>
      <c r="AQ1462" s="4">
        <v>209</v>
      </c>
      <c r="AR1462" s="4">
        <v>222</v>
      </c>
      <c r="AS1462" s="59">
        <v>4.8507462686567165E-2</v>
      </c>
      <c r="AT1462" s="3">
        <v>9</v>
      </c>
      <c r="AU1462" s="3">
        <v>6</v>
      </c>
      <c r="AV1462" s="49">
        <v>55.441478439425097</v>
      </c>
      <c r="AW1462" s="49">
        <v>22.9979466119097</v>
      </c>
      <c r="AX1462" s="49">
        <v>19.507186858316199</v>
      </c>
      <c r="AY1462" s="67">
        <v>2.0533880903490802</v>
      </c>
      <c r="AZ1462" s="63">
        <v>3.80952380952381E-3</v>
      </c>
      <c r="BA1462" s="63">
        <v>0.16380952380952399</v>
      </c>
      <c r="BB1462" s="80">
        <v>94.6</v>
      </c>
      <c r="BC1462" s="80"/>
      <c r="BD1462" s="80"/>
      <c r="BE1462" s="80"/>
      <c r="BF1462" s="80"/>
      <c r="BG1462" s="80"/>
      <c r="BH1462" s="80"/>
      <c r="BI1462" s="80"/>
      <c r="BJ1462" s="3">
        <v>20.3</v>
      </c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29" t="s">
        <v>293</v>
      </c>
      <c r="CJ1462" s="18" t="s">
        <v>548</v>
      </c>
      <c r="CK1462" s="30"/>
    </row>
    <row r="1463" spans="1:99" x14ac:dyDescent="0.25">
      <c r="A1463" s="18" t="s">
        <v>548</v>
      </c>
      <c r="B1463" s="29" t="s">
        <v>292</v>
      </c>
      <c r="C1463" s="29" t="s">
        <v>294</v>
      </c>
      <c r="D1463" s="6">
        <v>0</v>
      </c>
      <c r="E1463" s="6">
        <v>0</v>
      </c>
      <c r="F1463" s="6">
        <v>0</v>
      </c>
      <c r="N1463" s="119">
        <v>0</v>
      </c>
      <c r="O1463" s="119">
        <v>0</v>
      </c>
      <c r="P1463" s="119">
        <v>0</v>
      </c>
      <c r="Q1463" s="119">
        <v>0</v>
      </c>
      <c r="R1463" s="119">
        <v>0</v>
      </c>
      <c r="S1463" s="119">
        <v>0</v>
      </c>
      <c r="T1463" s="119">
        <v>0</v>
      </c>
      <c r="U1463" s="119">
        <v>0</v>
      </c>
      <c r="V1463" s="119">
        <v>0</v>
      </c>
      <c r="W1463" s="6">
        <v>185</v>
      </c>
      <c r="X1463" s="40">
        <f t="shared" si="100"/>
        <v>50</v>
      </c>
      <c r="Y1463" s="40">
        <f t="shared" si="101"/>
        <v>74</v>
      </c>
      <c r="Z1463" s="59">
        <v>0.44324324324324327</v>
      </c>
      <c r="AA1463" s="59">
        <v>0.55675675675675673</v>
      </c>
      <c r="AB1463" s="61">
        <v>0</v>
      </c>
      <c r="AC1463" s="61">
        <v>0</v>
      </c>
      <c r="AD1463" s="61">
        <v>0.96216216216216222</v>
      </c>
      <c r="AE1463" s="61">
        <v>1.0810810810810811E-2</v>
      </c>
      <c r="AF1463" s="61">
        <v>0</v>
      </c>
      <c r="AG1463" s="61">
        <v>1.0810810810810811E-2</v>
      </c>
      <c r="AH1463" s="61">
        <v>1.6216216216216217E-2</v>
      </c>
      <c r="AI1463" s="61">
        <v>0.98918918918918919</v>
      </c>
      <c r="AJ1463" s="59">
        <v>1</v>
      </c>
      <c r="AK1463" s="59">
        <v>0</v>
      </c>
      <c r="AL1463" s="4">
        <v>14</v>
      </c>
      <c r="AM1463" s="4">
        <v>10</v>
      </c>
      <c r="AN1463" s="4">
        <v>1</v>
      </c>
      <c r="AO1463" s="4">
        <v>10</v>
      </c>
      <c r="AP1463" s="4">
        <v>16</v>
      </c>
      <c r="AQ1463" s="4">
        <v>14</v>
      </c>
      <c r="AR1463" s="4">
        <v>9</v>
      </c>
      <c r="AS1463" s="59">
        <v>9.0909090909090912E-2</v>
      </c>
      <c r="AT1463" s="3">
        <v>1</v>
      </c>
      <c r="AU1463" s="3">
        <v>6</v>
      </c>
      <c r="AV1463" s="49">
        <v>100</v>
      </c>
      <c r="AW1463" s="49">
        <v>0</v>
      </c>
      <c r="AX1463" s="49">
        <v>0</v>
      </c>
      <c r="AY1463" s="67">
        <v>0</v>
      </c>
      <c r="AZ1463" s="63">
        <v>4.8309178743961402E-3</v>
      </c>
      <c r="BA1463" s="63">
        <v>3.3816425120772903E-2</v>
      </c>
      <c r="BB1463" s="79">
        <v>94.7</v>
      </c>
      <c r="BC1463" s="79"/>
      <c r="BD1463" s="79"/>
      <c r="BE1463" s="79"/>
      <c r="BF1463" s="79"/>
      <c r="BG1463" s="79"/>
      <c r="BH1463" s="79"/>
      <c r="BI1463" s="79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29" t="s">
        <v>294</v>
      </c>
      <c r="CJ1463" s="18" t="s">
        <v>548</v>
      </c>
      <c r="CK1463" s="30"/>
    </row>
    <row r="1464" spans="1:99" x14ac:dyDescent="0.25">
      <c r="A1464" s="18" t="s">
        <v>548</v>
      </c>
      <c r="B1464" s="29" t="s">
        <v>292</v>
      </c>
      <c r="C1464" s="29" t="s">
        <v>295</v>
      </c>
      <c r="D1464" s="6">
        <v>6</v>
      </c>
      <c r="E1464" s="6">
        <v>1</v>
      </c>
      <c r="F1464" s="6">
        <v>5</v>
      </c>
      <c r="N1464" s="115">
        <v>1.21457489878543E-2</v>
      </c>
      <c r="O1464" s="115">
        <v>1.68350168350168E-2</v>
      </c>
      <c r="P1464" s="119">
        <v>0</v>
      </c>
      <c r="Q1464" s="115">
        <v>0.01</v>
      </c>
      <c r="R1464" s="119">
        <v>0</v>
      </c>
      <c r="S1464" s="115">
        <v>1.1904761904761901E-2</v>
      </c>
      <c r="T1464" s="115">
        <v>4.1666666666666699E-2</v>
      </c>
      <c r="U1464" s="115">
        <v>1.4492753623188401E-2</v>
      </c>
      <c r="V1464" s="119">
        <v>0</v>
      </c>
      <c r="W1464" s="6">
        <v>438</v>
      </c>
      <c r="X1464" s="40">
        <f t="shared" si="100"/>
        <v>265</v>
      </c>
      <c r="Y1464" s="40">
        <f t="shared" si="101"/>
        <v>438</v>
      </c>
      <c r="Z1464" s="59">
        <v>0.5091324200913242</v>
      </c>
      <c r="AA1464" s="59">
        <v>0.4908675799086758</v>
      </c>
      <c r="AB1464" s="61">
        <v>4.3378995433789952E-2</v>
      </c>
      <c r="AC1464" s="61">
        <v>0.15296803652968036</v>
      </c>
      <c r="AD1464" s="61">
        <v>0.46118721461187212</v>
      </c>
      <c r="AE1464" s="61">
        <v>3.1963470319634701E-2</v>
      </c>
      <c r="AF1464" s="61">
        <v>4.5662100456621002E-3</v>
      </c>
      <c r="AG1464" s="61">
        <v>0.29680365296803651</v>
      </c>
      <c r="AH1464" s="61">
        <v>9.1324200913242004E-3</v>
      </c>
      <c r="AI1464" s="61">
        <v>0.70319634703196343</v>
      </c>
      <c r="AJ1464" s="59">
        <v>0.99543378995433784</v>
      </c>
      <c r="AK1464" s="59">
        <v>2.2831050228310501E-2</v>
      </c>
      <c r="AL1464" s="4">
        <v>86</v>
      </c>
      <c r="AM1464" s="4">
        <v>87</v>
      </c>
      <c r="AN1464" s="4">
        <v>5</v>
      </c>
      <c r="AO1464" s="4">
        <v>71</v>
      </c>
      <c r="AP1464" s="4">
        <v>64</v>
      </c>
      <c r="AQ1464" s="4">
        <v>65</v>
      </c>
      <c r="AR1464" s="4">
        <v>60</v>
      </c>
      <c r="AS1464" s="59">
        <v>6.5789473684210523E-2</v>
      </c>
      <c r="AT1464" s="3">
        <v>7</v>
      </c>
      <c r="AU1464" s="3">
        <v>6</v>
      </c>
      <c r="AV1464" s="49">
        <v>78.65168539325839</v>
      </c>
      <c r="AW1464" s="49">
        <v>16.4794007490637</v>
      </c>
      <c r="AX1464" s="49">
        <v>4.4943820224719104</v>
      </c>
      <c r="AY1464" s="67">
        <v>0.37453183520599298</v>
      </c>
      <c r="AZ1464" s="63">
        <v>2.02839756592292E-3</v>
      </c>
      <c r="BA1464" s="63">
        <v>0.237322515212982</v>
      </c>
      <c r="BB1464" s="80">
        <v>94.1</v>
      </c>
      <c r="BC1464" s="80"/>
      <c r="BD1464" s="80"/>
      <c r="BE1464" s="80"/>
      <c r="BF1464" s="80"/>
      <c r="BG1464" s="80"/>
      <c r="BH1464" s="80"/>
      <c r="BI1464" s="80"/>
      <c r="BJ1464" s="3">
        <v>18.100000000000001</v>
      </c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29" t="s">
        <v>295</v>
      </c>
      <c r="CJ1464" s="18" t="s">
        <v>548</v>
      </c>
      <c r="CK1464" s="30"/>
    </row>
    <row r="1465" spans="1:99" s="1" customFormat="1" ht="21" customHeight="1" x14ac:dyDescent="0.25">
      <c r="A1465" s="21" t="s">
        <v>0</v>
      </c>
      <c r="B1465" s="22" t="s">
        <v>1</v>
      </c>
      <c r="C1465" s="22" t="s">
        <v>2</v>
      </c>
      <c r="D1465" s="9" t="s">
        <v>3</v>
      </c>
      <c r="E1465" s="9" t="s">
        <v>4</v>
      </c>
      <c r="F1465" s="9" t="s">
        <v>5</v>
      </c>
      <c r="G1465" s="167"/>
      <c r="H1465" s="168"/>
      <c r="I1465" s="168"/>
      <c r="J1465" s="168"/>
      <c r="K1465" s="168"/>
      <c r="L1465" s="168"/>
      <c r="M1465" s="168"/>
      <c r="N1465" s="120" t="s">
        <v>6</v>
      </c>
      <c r="O1465" s="120" t="s">
        <v>7</v>
      </c>
      <c r="P1465" s="120" t="s">
        <v>8</v>
      </c>
      <c r="Q1465" s="120" t="s">
        <v>9</v>
      </c>
      <c r="R1465" s="120" t="s">
        <v>10</v>
      </c>
      <c r="S1465" s="120" t="s">
        <v>11</v>
      </c>
      <c r="T1465" s="120" t="s">
        <v>12</v>
      </c>
      <c r="U1465" s="120" t="s">
        <v>13</v>
      </c>
      <c r="V1465" s="120" t="s">
        <v>14</v>
      </c>
      <c r="W1465" s="41" t="s">
        <v>15</v>
      </c>
      <c r="X1465" s="41" t="s">
        <v>16</v>
      </c>
      <c r="Y1465" s="41" t="s">
        <v>17</v>
      </c>
      <c r="Z1465" s="107" t="s">
        <v>18</v>
      </c>
      <c r="AA1465" s="107" t="s">
        <v>19</v>
      </c>
      <c r="AB1465" s="95" t="s">
        <v>20</v>
      </c>
      <c r="AC1465" s="95" t="s">
        <v>21</v>
      </c>
      <c r="AD1465" s="95" t="s">
        <v>22</v>
      </c>
      <c r="AE1465" s="95" t="s">
        <v>23</v>
      </c>
      <c r="AF1465" s="95" t="s">
        <v>24</v>
      </c>
      <c r="AG1465" s="95" t="s">
        <v>25</v>
      </c>
      <c r="AH1465" s="95" t="s">
        <v>26</v>
      </c>
      <c r="AI1465" s="95" t="s">
        <v>27</v>
      </c>
      <c r="AJ1465" s="95" t="s">
        <v>28</v>
      </c>
      <c r="AK1465" s="107" t="s">
        <v>29</v>
      </c>
      <c r="AL1465" s="42" t="s">
        <v>30</v>
      </c>
      <c r="AM1465" s="42" t="s">
        <v>31</v>
      </c>
      <c r="AN1465" s="42" t="s">
        <v>32</v>
      </c>
      <c r="AO1465" s="42" t="s">
        <v>33</v>
      </c>
      <c r="AP1465" s="42" t="s">
        <v>34</v>
      </c>
      <c r="AQ1465" s="42" t="s">
        <v>35</v>
      </c>
      <c r="AR1465" s="42" t="s">
        <v>36</v>
      </c>
      <c r="AS1465" s="100" t="s">
        <v>37</v>
      </c>
      <c r="AT1465" s="41" t="s">
        <v>38</v>
      </c>
      <c r="AU1465" s="23" t="s">
        <v>39</v>
      </c>
      <c r="AV1465" s="51" t="s">
        <v>40</v>
      </c>
      <c r="AW1465" s="51" t="s">
        <v>41</v>
      </c>
      <c r="AX1465" s="51" t="s">
        <v>42</v>
      </c>
      <c r="AY1465" s="66" t="s">
        <v>43</v>
      </c>
      <c r="AZ1465" s="58" t="s">
        <v>44</v>
      </c>
      <c r="BA1465" s="58" t="s">
        <v>45</v>
      </c>
      <c r="BB1465" s="75" t="s">
        <v>46</v>
      </c>
      <c r="BC1465" s="75" t="s">
        <v>47</v>
      </c>
      <c r="BD1465" s="89" t="s">
        <v>48</v>
      </c>
      <c r="BE1465" s="89" t="s">
        <v>49</v>
      </c>
      <c r="BF1465" s="89" t="s">
        <v>50</v>
      </c>
      <c r="BG1465" s="89" t="s">
        <v>51</v>
      </c>
      <c r="BH1465" s="89" t="s">
        <v>52</v>
      </c>
      <c r="BI1465" s="89" t="s">
        <v>53</v>
      </c>
      <c r="BJ1465" s="86" t="s">
        <v>54</v>
      </c>
      <c r="BK1465" s="123" t="s">
        <v>55</v>
      </c>
      <c r="BL1465" s="123" t="s">
        <v>56</v>
      </c>
      <c r="BM1465" s="123" t="s">
        <v>57</v>
      </c>
      <c r="BN1465" s="123" t="s">
        <v>58</v>
      </c>
      <c r="BO1465" s="131" t="s">
        <v>59</v>
      </c>
      <c r="BP1465" s="131" t="s">
        <v>60</v>
      </c>
      <c r="BQ1465" s="131" t="s">
        <v>61</v>
      </c>
      <c r="BR1465" s="131" t="s">
        <v>62</v>
      </c>
      <c r="BS1465" s="131" t="s">
        <v>63</v>
      </c>
      <c r="BT1465" s="131" t="s">
        <v>64</v>
      </c>
      <c r="BU1465" s="131" t="s">
        <v>65</v>
      </c>
      <c r="BV1465" s="132" t="s">
        <v>66</v>
      </c>
      <c r="BW1465" s="132" t="s">
        <v>67</v>
      </c>
      <c r="BX1465" s="132" t="s">
        <v>68</v>
      </c>
      <c r="BY1465" s="132" t="s">
        <v>69</v>
      </c>
      <c r="BZ1465" s="132" t="s">
        <v>70</v>
      </c>
      <c r="CA1465" s="132" t="s">
        <v>71</v>
      </c>
      <c r="CB1465" s="132" t="s">
        <v>72</v>
      </c>
      <c r="CC1465" s="123" t="s">
        <v>73</v>
      </c>
      <c r="CD1465" s="123" t="s">
        <v>74</v>
      </c>
      <c r="CE1465" s="123" t="s">
        <v>75</v>
      </c>
      <c r="CF1465" s="123" t="s">
        <v>76</v>
      </c>
      <c r="CG1465" s="123" t="s">
        <v>77</v>
      </c>
      <c r="CH1465" s="123" t="s">
        <v>78</v>
      </c>
      <c r="CI1465" s="22" t="s">
        <v>2</v>
      </c>
      <c r="CJ1465" s="21" t="s">
        <v>0</v>
      </c>
      <c r="CK1465" s="24" t="s">
        <v>79</v>
      </c>
      <c r="CL1465"/>
      <c r="CM1465"/>
      <c r="CN1465"/>
      <c r="CO1465"/>
      <c r="CP1465"/>
      <c r="CQ1465"/>
      <c r="CR1465"/>
      <c r="CS1465"/>
      <c r="CT1465"/>
      <c r="CU1465"/>
    </row>
    <row r="1466" spans="1:99" x14ac:dyDescent="0.25">
      <c r="A1466" s="18" t="s">
        <v>548</v>
      </c>
      <c r="B1466" s="29" t="s">
        <v>296</v>
      </c>
      <c r="C1466" s="29" t="s">
        <v>297</v>
      </c>
      <c r="D1466" s="6">
        <v>20</v>
      </c>
      <c r="E1466" s="6">
        <v>3</v>
      </c>
      <c r="F1466" s="6">
        <v>17</v>
      </c>
      <c r="N1466" s="115">
        <v>1.9665683382497499E-2</v>
      </c>
      <c r="O1466" s="115">
        <v>2.2457067371202101E-2</v>
      </c>
      <c r="P1466" s="115">
        <v>7.6923076923076901E-3</v>
      </c>
      <c r="Q1466" s="115">
        <v>1.5384615384615399E-2</v>
      </c>
      <c r="R1466" s="115">
        <v>0</v>
      </c>
      <c r="S1466" s="115">
        <v>1.7621145374449299E-2</v>
      </c>
      <c r="T1466" s="115">
        <v>2.0942408376963401E-2</v>
      </c>
      <c r="U1466" s="115">
        <v>0</v>
      </c>
      <c r="V1466" s="115">
        <v>6.2068965517241399E-2</v>
      </c>
      <c r="W1466" s="6">
        <v>936</v>
      </c>
      <c r="X1466" s="40">
        <f t="shared" ref="X1466:X1512" si="102">SUM(AN1466:AR1466)</f>
        <v>704</v>
      </c>
      <c r="Y1466" s="40">
        <f t="shared" ref="Y1466:Y1512" si="103">SUM(AL1466:AR1466)</f>
        <v>936</v>
      </c>
      <c r="Z1466" s="59">
        <v>0.49572649572649574</v>
      </c>
      <c r="AA1466" s="59">
        <v>0.50427350427350426</v>
      </c>
      <c r="AB1466" s="61">
        <v>2.136752136752137E-3</v>
      </c>
      <c r="AC1466" s="61">
        <v>1.0683760683760685E-3</v>
      </c>
      <c r="AD1466" s="61">
        <v>0.56837606837606836</v>
      </c>
      <c r="AE1466" s="61">
        <v>2.7777777777777776E-2</v>
      </c>
      <c r="AF1466" s="61">
        <v>0</v>
      </c>
      <c r="AG1466" s="61">
        <v>0.38034188034188032</v>
      </c>
      <c r="AH1466" s="61">
        <v>2.02991452991453E-2</v>
      </c>
      <c r="AI1466" s="61">
        <v>0.61965811965811968</v>
      </c>
      <c r="AJ1466" s="59">
        <v>0.68055555555555558</v>
      </c>
      <c r="AK1466" s="59">
        <v>6.41025641025641E-3</v>
      </c>
      <c r="AL1466" s="4">
        <v>118</v>
      </c>
      <c r="AM1466" s="4">
        <v>114</v>
      </c>
      <c r="AN1466" s="4">
        <v>12</v>
      </c>
      <c r="AO1466" s="4">
        <v>198</v>
      </c>
      <c r="AP1466" s="4">
        <v>177</v>
      </c>
      <c r="AQ1466" s="4">
        <v>180</v>
      </c>
      <c r="AR1466" s="4">
        <v>137</v>
      </c>
      <c r="AS1466" s="59">
        <v>5.7142857142857141E-2</v>
      </c>
      <c r="AT1466" s="3">
        <v>7</v>
      </c>
      <c r="AU1466" s="3">
        <v>6</v>
      </c>
      <c r="AV1466" s="49">
        <v>63.519313304721003</v>
      </c>
      <c r="AW1466" s="49">
        <v>30.257510729613703</v>
      </c>
      <c r="AX1466" s="49">
        <v>6.0085836909871206</v>
      </c>
      <c r="AY1466" s="67">
        <v>0.21459227467811201</v>
      </c>
      <c r="AZ1466" s="63">
        <v>0.21946375372393201</v>
      </c>
      <c r="BA1466" s="63">
        <v>2.8798411122144998E-2</v>
      </c>
      <c r="BB1466" s="79">
        <v>89</v>
      </c>
      <c r="BC1466" s="79"/>
      <c r="BD1466" s="79"/>
      <c r="BE1466" s="79"/>
      <c r="BF1466" s="79"/>
      <c r="BG1466" s="79"/>
      <c r="BH1466" s="79"/>
      <c r="BI1466" s="79"/>
      <c r="BJ1466" s="3">
        <v>16.7</v>
      </c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29" t="s">
        <v>297</v>
      </c>
      <c r="CJ1466" s="18" t="s">
        <v>548</v>
      </c>
      <c r="CK1466" s="30"/>
    </row>
    <row r="1467" spans="1:99" x14ac:dyDescent="0.25">
      <c r="A1467" s="18" t="s">
        <v>548</v>
      </c>
      <c r="B1467" s="29" t="s">
        <v>298</v>
      </c>
      <c r="C1467" s="29" t="s">
        <v>299</v>
      </c>
      <c r="D1467" s="6">
        <v>36</v>
      </c>
      <c r="E1467" s="40" t="s">
        <v>83</v>
      </c>
      <c r="F1467" s="6">
        <v>36</v>
      </c>
      <c r="N1467" s="115">
        <v>2.46575342465753E-2</v>
      </c>
      <c r="O1467" s="115">
        <v>2.46575342465753E-2</v>
      </c>
      <c r="P1467" s="116" t="s">
        <v>83</v>
      </c>
      <c r="Q1467" s="116" t="s">
        <v>83</v>
      </c>
      <c r="R1467" s="115">
        <v>0</v>
      </c>
      <c r="S1467" s="115">
        <v>2.3668639053254399E-2</v>
      </c>
      <c r="T1467" s="115">
        <v>1.91256830601093E-2</v>
      </c>
      <c r="U1467" s="115">
        <v>4.2483660130718998E-2</v>
      </c>
      <c r="V1467" s="115">
        <v>2.3668639053254399E-2</v>
      </c>
      <c r="W1467" s="6">
        <v>1373</v>
      </c>
      <c r="X1467" s="40">
        <f t="shared" si="102"/>
        <v>1373</v>
      </c>
      <c r="Y1467" s="40">
        <f t="shared" si="103"/>
        <v>1373</v>
      </c>
      <c r="Z1467" s="59">
        <v>0.51420247632920613</v>
      </c>
      <c r="AA1467" s="59">
        <v>0.48579752367079387</v>
      </c>
      <c r="AB1467" s="61">
        <v>4.3699927166788053E-3</v>
      </c>
      <c r="AC1467" s="61">
        <v>2.4034959941733429E-2</v>
      </c>
      <c r="AD1467" s="61">
        <v>0.46249089584850694</v>
      </c>
      <c r="AE1467" s="61">
        <v>2.1849963583394028E-2</v>
      </c>
      <c r="AF1467" s="61">
        <v>7.2833211944646763E-4</v>
      </c>
      <c r="AG1467" s="61">
        <v>0.48361252731245447</v>
      </c>
      <c r="AH1467" s="61">
        <v>2.9133284777858705E-3</v>
      </c>
      <c r="AI1467" s="61">
        <v>0.51638747268754548</v>
      </c>
      <c r="AJ1467" s="59">
        <v>0.60305899490167514</v>
      </c>
      <c r="AK1467" s="59">
        <v>1.2381646030589949E-2</v>
      </c>
      <c r="AL1467" s="4">
        <v>0</v>
      </c>
      <c r="AM1467" s="4">
        <v>0</v>
      </c>
      <c r="AN1467" s="4">
        <v>99</v>
      </c>
      <c r="AO1467" s="4">
        <v>315</v>
      </c>
      <c r="AP1467" s="4">
        <v>347</v>
      </c>
      <c r="AQ1467" s="4">
        <v>298</v>
      </c>
      <c r="AR1467" s="4">
        <v>314</v>
      </c>
      <c r="AS1467" s="59">
        <v>0.2391304347826087</v>
      </c>
      <c r="AT1467" s="3">
        <v>9</v>
      </c>
      <c r="AU1467" s="3">
        <v>6</v>
      </c>
      <c r="AV1467" s="49">
        <v>62.8407460545194</v>
      </c>
      <c r="AW1467" s="49">
        <v>18.077474892396001</v>
      </c>
      <c r="AX1467" s="49">
        <v>16.9296987087518</v>
      </c>
      <c r="AY1467" s="67">
        <v>2.1520803443328602</v>
      </c>
      <c r="AZ1467" s="63">
        <v>5.6055363321799299E-2</v>
      </c>
      <c r="BA1467" s="63">
        <v>0.134256055363322</v>
      </c>
      <c r="BB1467" s="80">
        <v>93.4</v>
      </c>
      <c r="BC1467" s="80"/>
      <c r="BD1467" s="80"/>
      <c r="BE1467" s="80"/>
      <c r="BF1467" s="80"/>
      <c r="BG1467" s="80"/>
      <c r="BH1467" s="80"/>
      <c r="BI1467" s="80"/>
      <c r="BJ1467" s="3">
        <v>20.6</v>
      </c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29" t="s">
        <v>299</v>
      </c>
      <c r="CJ1467" s="18" t="s">
        <v>548</v>
      </c>
      <c r="CK1467" s="30"/>
    </row>
    <row r="1468" spans="1:99" x14ac:dyDescent="0.25">
      <c r="A1468" s="18" t="s">
        <v>548</v>
      </c>
      <c r="B1468" s="29" t="s">
        <v>298</v>
      </c>
      <c r="C1468" s="29" t="s">
        <v>300</v>
      </c>
      <c r="D1468" s="6">
        <v>40</v>
      </c>
      <c r="E1468" s="40" t="s">
        <v>83</v>
      </c>
      <c r="F1468" s="6">
        <v>40</v>
      </c>
      <c r="N1468" s="115">
        <v>5.2980132450331098E-2</v>
      </c>
      <c r="O1468" s="115">
        <v>5.2980132450331098E-2</v>
      </c>
      <c r="P1468" s="116" t="s">
        <v>83</v>
      </c>
      <c r="Q1468" s="116" t="s">
        <v>83</v>
      </c>
      <c r="R1468" s="115">
        <v>0</v>
      </c>
      <c r="S1468" s="115">
        <v>6.7901234567901203E-2</v>
      </c>
      <c r="T1468" s="115">
        <v>7.6555023923445001E-2</v>
      </c>
      <c r="U1468" s="115">
        <v>5.4794520547945202E-2</v>
      </c>
      <c r="V1468" s="115">
        <v>4.0983606557376998E-2</v>
      </c>
      <c r="W1468" s="6">
        <v>657</v>
      </c>
      <c r="X1468" s="40">
        <f t="shared" si="102"/>
        <v>657</v>
      </c>
      <c r="Y1468" s="40">
        <f t="shared" si="103"/>
        <v>657</v>
      </c>
      <c r="Z1468" s="59">
        <v>0.47336377473363772</v>
      </c>
      <c r="AA1468" s="59">
        <v>0.52663622526636222</v>
      </c>
      <c r="AB1468" s="61">
        <v>3.0441400304414001E-3</v>
      </c>
      <c r="AC1468" s="61">
        <v>2.5875190258751901E-2</v>
      </c>
      <c r="AD1468" s="61">
        <v>0.74429223744292239</v>
      </c>
      <c r="AE1468" s="61">
        <v>2.2831050228310501E-2</v>
      </c>
      <c r="AF1468" s="61">
        <v>0</v>
      </c>
      <c r="AG1468" s="61">
        <v>0.20243531202435311</v>
      </c>
      <c r="AH1468" s="61">
        <v>1.5220700152207001E-3</v>
      </c>
      <c r="AI1468" s="61">
        <v>0.79756468797564684</v>
      </c>
      <c r="AJ1468" s="59">
        <v>0.78843226788432264</v>
      </c>
      <c r="AK1468" s="59">
        <v>2.4353120243531201E-2</v>
      </c>
      <c r="AL1468" s="4">
        <v>0</v>
      </c>
      <c r="AM1468" s="4">
        <v>0</v>
      </c>
      <c r="AN1468" s="4">
        <v>95</v>
      </c>
      <c r="AO1468" s="4">
        <v>135</v>
      </c>
      <c r="AP1468" s="4">
        <v>184</v>
      </c>
      <c r="AQ1468" s="4">
        <v>146</v>
      </c>
      <c r="AR1468" s="4">
        <v>97</v>
      </c>
      <c r="AS1468" s="59">
        <v>0.41304347826086957</v>
      </c>
      <c r="AT1468" s="3">
        <v>9</v>
      </c>
      <c r="AU1468" s="3">
        <v>6</v>
      </c>
      <c r="AV1468" s="49">
        <v>79.460580912863094</v>
      </c>
      <c r="AW1468" s="49">
        <v>12.655601659751001</v>
      </c>
      <c r="AX1468" s="49">
        <v>7.2614107883817409</v>
      </c>
      <c r="AY1468" s="67">
        <v>0.62240663900414894</v>
      </c>
      <c r="AZ1468" s="63">
        <v>0.28840970350404299</v>
      </c>
      <c r="BA1468" s="63">
        <v>0.31401617250673902</v>
      </c>
      <c r="BB1468" s="79">
        <v>89.5</v>
      </c>
      <c r="BC1468" s="79"/>
      <c r="BD1468" s="79"/>
      <c r="BE1468" s="79"/>
      <c r="BF1468" s="79"/>
      <c r="BG1468" s="79"/>
      <c r="BH1468" s="79"/>
      <c r="BI1468" s="79"/>
      <c r="BJ1468" s="3">
        <v>18.5</v>
      </c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29" t="s">
        <v>300</v>
      </c>
      <c r="CJ1468" s="18" t="s">
        <v>548</v>
      </c>
      <c r="CK1468" s="30"/>
    </row>
    <row r="1469" spans="1:99" x14ac:dyDescent="0.25">
      <c r="A1469" s="18" t="s">
        <v>548</v>
      </c>
      <c r="B1469" s="29" t="s">
        <v>298</v>
      </c>
      <c r="C1469" s="29" t="s">
        <v>301</v>
      </c>
      <c r="D1469" s="6">
        <v>12</v>
      </c>
      <c r="E1469" s="6">
        <v>0</v>
      </c>
      <c r="F1469" s="6">
        <v>12</v>
      </c>
      <c r="N1469" s="115">
        <v>1.2552301255230099E-2</v>
      </c>
      <c r="O1469" s="115">
        <v>1.88087774294671E-2</v>
      </c>
      <c r="P1469" s="115">
        <v>0</v>
      </c>
      <c r="Q1469" s="115">
        <v>0</v>
      </c>
      <c r="R1469" s="115">
        <v>0</v>
      </c>
      <c r="S1469" s="115">
        <v>7.8740157480314994E-3</v>
      </c>
      <c r="T1469" s="115">
        <v>1.1695906432748499E-2</v>
      </c>
      <c r="U1469" s="115">
        <v>3.9215686274509803E-2</v>
      </c>
      <c r="V1469" s="115">
        <v>1.9867549668874201E-2</v>
      </c>
      <c r="W1469" s="6">
        <v>1040</v>
      </c>
      <c r="X1469" s="40">
        <f t="shared" si="102"/>
        <v>614</v>
      </c>
      <c r="Y1469" s="40">
        <f t="shared" si="103"/>
        <v>917</v>
      </c>
      <c r="Z1469" s="59">
        <v>0.47692307692307695</v>
      </c>
      <c r="AA1469" s="59">
        <v>0.52307692307692311</v>
      </c>
      <c r="AB1469" s="61">
        <v>5.7692307692307696E-3</v>
      </c>
      <c r="AC1469" s="61">
        <v>2.8846153846153848E-3</v>
      </c>
      <c r="AD1469" s="61">
        <v>2.8846153846153848E-3</v>
      </c>
      <c r="AE1469" s="61">
        <v>9.6153846153846159E-3</v>
      </c>
      <c r="AF1469" s="61">
        <v>0</v>
      </c>
      <c r="AG1469" s="61">
        <v>0.97499999999999998</v>
      </c>
      <c r="AH1469" s="61">
        <v>3.8461538461538464E-3</v>
      </c>
      <c r="AI1469" s="61">
        <v>2.5000000000000001E-2</v>
      </c>
      <c r="AJ1469" s="59">
        <v>0.56826923076923075</v>
      </c>
      <c r="AK1469" s="59">
        <v>0</v>
      </c>
      <c r="AL1469" s="4">
        <v>152</v>
      </c>
      <c r="AM1469" s="4">
        <v>151</v>
      </c>
      <c r="AN1469" s="4">
        <v>35</v>
      </c>
      <c r="AO1469" s="4">
        <v>122</v>
      </c>
      <c r="AP1469" s="4">
        <v>164</v>
      </c>
      <c r="AQ1469" s="4">
        <v>148</v>
      </c>
      <c r="AR1469" s="4">
        <v>145</v>
      </c>
      <c r="AS1469" s="59">
        <v>0.22292993630573249</v>
      </c>
      <c r="AT1469" s="3">
        <v>6</v>
      </c>
      <c r="AU1469" s="3">
        <v>6</v>
      </c>
      <c r="AV1469" s="49">
        <v>61.167002012072402</v>
      </c>
      <c r="AW1469" s="49">
        <v>26.559356136820899</v>
      </c>
      <c r="AX1469" s="49">
        <v>11.670020120724301</v>
      </c>
      <c r="AY1469" s="67">
        <v>0.60362173038229394</v>
      </c>
      <c r="AZ1469" s="63">
        <v>0.169601482854495</v>
      </c>
      <c r="BA1469" s="63">
        <v>0.105653382761817</v>
      </c>
      <c r="BB1469" s="80">
        <v>92.3</v>
      </c>
      <c r="BC1469" s="80"/>
      <c r="BD1469" s="80"/>
      <c r="BE1469" s="80"/>
      <c r="BF1469" s="80"/>
      <c r="BG1469" s="80"/>
      <c r="BH1469" s="80"/>
      <c r="BI1469" s="80"/>
      <c r="BJ1469" s="3">
        <v>19.5</v>
      </c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29" t="s">
        <v>301</v>
      </c>
      <c r="CJ1469" s="18" t="s">
        <v>548</v>
      </c>
      <c r="CK1469" s="30"/>
    </row>
    <row r="1470" spans="1:99" x14ac:dyDescent="0.25">
      <c r="A1470" s="18" t="s">
        <v>548</v>
      </c>
      <c r="B1470" s="29" t="s">
        <v>298</v>
      </c>
      <c r="C1470" s="29" t="s">
        <v>302</v>
      </c>
      <c r="D1470" s="6">
        <v>6</v>
      </c>
      <c r="E1470" s="6">
        <v>1</v>
      </c>
      <c r="F1470" s="6">
        <v>5</v>
      </c>
      <c r="N1470" s="115">
        <v>1.7595307917888599E-2</v>
      </c>
      <c r="O1470" s="115">
        <v>2.1834061135371199E-2</v>
      </c>
      <c r="P1470" s="115">
        <v>1.8181818181818198E-2</v>
      </c>
      <c r="Q1470" s="115">
        <v>0</v>
      </c>
      <c r="R1470" s="115">
        <v>0</v>
      </c>
      <c r="S1470" s="115">
        <v>0</v>
      </c>
      <c r="T1470" s="115">
        <v>0.05</v>
      </c>
      <c r="U1470" s="115">
        <v>2.0833333333333301E-2</v>
      </c>
      <c r="V1470" s="115">
        <v>0.02</v>
      </c>
      <c r="W1470" s="6">
        <v>698</v>
      </c>
      <c r="X1470" s="40">
        <f t="shared" si="102"/>
        <v>214</v>
      </c>
      <c r="Y1470" s="40">
        <f t="shared" si="103"/>
        <v>321</v>
      </c>
      <c r="Z1470" s="59">
        <v>0.45702005730659023</v>
      </c>
      <c r="AA1470" s="59">
        <v>0.54297994269340977</v>
      </c>
      <c r="AB1470" s="61">
        <v>7.1633237822349575E-3</v>
      </c>
      <c r="AC1470" s="61">
        <v>2.0057306590257881E-2</v>
      </c>
      <c r="AD1470" s="61">
        <v>0.15759312320916904</v>
      </c>
      <c r="AE1470" s="61">
        <v>0.21203438395415472</v>
      </c>
      <c r="AF1470" s="61">
        <v>0</v>
      </c>
      <c r="AG1470" s="61">
        <v>0.59169054441260749</v>
      </c>
      <c r="AH1470" s="61">
        <v>1.1461318051575931E-2</v>
      </c>
      <c r="AI1470" s="61">
        <v>0.40830945558739257</v>
      </c>
      <c r="AJ1470" s="59">
        <v>0.72063037249283668</v>
      </c>
      <c r="AK1470" s="59">
        <v>0.10171919770773639</v>
      </c>
      <c r="AL1470" s="4">
        <v>51</v>
      </c>
      <c r="AM1470" s="4">
        <v>56</v>
      </c>
      <c r="AN1470" s="4">
        <v>23</v>
      </c>
      <c r="AO1470" s="4">
        <v>45</v>
      </c>
      <c r="AP1470" s="4">
        <v>54</v>
      </c>
      <c r="AQ1470" s="4">
        <v>46</v>
      </c>
      <c r="AR1470" s="4">
        <v>46</v>
      </c>
      <c r="AS1470" s="59">
        <v>0.33823529411764708</v>
      </c>
      <c r="AT1470" s="3">
        <v>1</v>
      </c>
      <c r="AU1470" s="3">
        <v>6</v>
      </c>
      <c r="AV1470" s="49">
        <v>73.3333333333333</v>
      </c>
      <c r="AW1470" s="49">
        <v>26.419753086419799</v>
      </c>
      <c r="AX1470" s="49">
        <v>0</v>
      </c>
      <c r="AY1470" s="67">
        <v>0.24691358024691401</v>
      </c>
      <c r="AZ1470" s="63">
        <v>0.16864295125164699</v>
      </c>
      <c r="BA1470" s="63">
        <v>5.40184453227932E-2</v>
      </c>
      <c r="BB1470" s="79">
        <v>94.7</v>
      </c>
      <c r="BC1470" s="79"/>
      <c r="BD1470" s="79"/>
      <c r="BE1470" s="79"/>
      <c r="BF1470" s="79"/>
      <c r="BG1470" s="79"/>
      <c r="BH1470" s="79"/>
      <c r="BI1470" s="79"/>
      <c r="BJ1470" s="3">
        <v>17.100000000000001</v>
      </c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29" t="s">
        <v>302</v>
      </c>
      <c r="CJ1470" s="18" t="s">
        <v>548</v>
      </c>
      <c r="CK1470" s="30"/>
    </row>
    <row r="1471" spans="1:99" x14ac:dyDescent="0.25">
      <c r="A1471" s="18" t="s">
        <v>548</v>
      </c>
      <c r="B1471" s="29" t="s">
        <v>298</v>
      </c>
      <c r="C1471" s="29" t="s">
        <v>303</v>
      </c>
      <c r="D1471" s="6">
        <v>4</v>
      </c>
      <c r="E1471" s="6">
        <v>1</v>
      </c>
      <c r="F1471" s="6">
        <v>3</v>
      </c>
      <c r="N1471" s="115">
        <v>1.15606936416185E-2</v>
      </c>
      <c r="O1471" s="115">
        <v>1.27659574468085E-2</v>
      </c>
      <c r="P1471" s="115">
        <v>0</v>
      </c>
      <c r="Q1471" s="115">
        <v>1.6129032258064498E-2</v>
      </c>
      <c r="R1471" s="115">
        <v>0</v>
      </c>
      <c r="S1471" s="115">
        <v>3.3898305084745797E-2</v>
      </c>
      <c r="T1471" s="115">
        <v>0</v>
      </c>
      <c r="U1471" s="115">
        <v>1.7543859649122799E-2</v>
      </c>
      <c r="V1471" s="115">
        <v>0</v>
      </c>
      <c r="W1471" s="6">
        <v>765</v>
      </c>
      <c r="X1471" s="40">
        <f t="shared" si="102"/>
        <v>222</v>
      </c>
      <c r="Y1471" s="40">
        <f t="shared" si="103"/>
        <v>325</v>
      </c>
      <c r="Z1471" s="59">
        <v>0.49542483660130721</v>
      </c>
      <c r="AA1471" s="59">
        <v>0.50457516339869279</v>
      </c>
      <c r="AB1471" s="61">
        <v>1.5686274509803921E-2</v>
      </c>
      <c r="AC1471" s="61">
        <v>2.6143790849673201E-3</v>
      </c>
      <c r="AD1471" s="61">
        <v>1.3071895424836602E-2</v>
      </c>
      <c r="AE1471" s="61">
        <v>1.699346405228758E-2</v>
      </c>
      <c r="AF1471" s="61">
        <v>0</v>
      </c>
      <c r="AG1471" s="61">
        <v>0.94509803921568625</v>
      </c>
      <c r="AH1471" s="61">
        <v>6.5359477124183009E-3</v>
      </c>
      <c r="AI1471" s="61">
        <v>5.4901960784313725E-2</v>
      </c>
      <c r="AJ1471" s="59">
        <v>0.68496732026143792</v>
      </c>
      <c r="AK1471" s="59">
        <v>3.9215686274509803E-3</v>
      </c>
      <c r="AL1471" s="4">
        <v>44</v>
      </c>
      <c r="AM1471" s="4">
        <v>59</v>
      </c>
      <c r="AN1471" s="4">
        <v>14</v>
      </c>
      <c r="AO1471" s="4">
        <v>56</v>
      </c>
      <c r="AP1471" s="4">
        <v>43</v>
      </c>
      <c r="AQ1471" s="4">
        <v>52</v>
      </c>
      <c r="AR1471" s="4">
        <v>57</v>
      </c>
      <c r="AS1471" s="59">
        <v>0.2</v>
      </c>
      <c r="AT1471" s="3">
        <v>1</v>
      </c>
      <c r="AU1471" s="3">
        <v>6</v>
      </c>
      <c r="AV1471" s="49">
        <v>79.396984924623098</v>
      </c>
      <c r="AW1471" s="49">
        <v>14.321608040201001</v>
      </c>
      <c r="AX1471" s="49">
        <v>5.5276381909547698</v>
      </c>
      <c r="AY1471" s="67">
        <v>0.75376884422110602</v>
      </c>
      <c r="AZ1471" s="63">
        <v>8.35322195704057E-2</v>
      </c>
      <c r="BA1471" s="63">
        <v>8.2338902147971404E-2</v>
      </c>
      <c r="BB1471" s="80">
        <v>92</v>
      </c>
      <c r="BC1471" s="80"/>
      <c r="BD1471" s="80"/>
      <c r="BE1471" s="80"/>
      <c r="BF1471" s="80"/>
      <c r="BG1471" s="80"/>
      <c r="BH1471" s="80"/>
      <c r="BI1471" s="80"/>
      <c r="BJ1471" s="3">
        <v>19.7</v>
      </c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29" t="s">
        <v>303</v>
      </c>
      <c r="CJ1471" s="18" t="s">
        <v>548</v>
      </c>
      <c r="CK1471" s="30"/>
    </row>
    <row r="1472" spans="1:99" x14ac:dyDescent="0.25">
      <c r="A1472" s="18" t="s">
        <v>548</v>
      </c>
      <c r="B1472" s="29" t="s">
        <v>298</v>
      </c>
      <c r="C1472" s="29" t="s">
        <v>304</v>
      </c>
      <c r="D1472" s="6">
        <v>26</v>
      </c>
      <c r="E1472" s="40" t="s">
        <v>83</v>
      </c>
      <c r="F1472" s="6">
        <v>26</v>
      </c>
      <c r="N1472" s="115">
        <v>3.2786885245901599E-2</v>
      </c>
      <c r="O1472" s="115">
        <v>3.2786885245901599E-2</v>
      </c>
      <c r="P1472" s="116" t="s">
        <v>83</v>
      </c>
      <c r="Q1472" s="116" t="s">
        <v>83</v>
      </c>
      <c r="R1472" s="115">
        <v>8.7719298245613996E-3</v>
      </c>
      <c r="S1472" s="115">
        <v>7.3619631901840496E-2</v>
      </c>
      <c r="T1472" s="115">
        <v>4.9019607843137303E-2</v>
      </c>
      <c r="U1472" s="115">
        <v>1.84049079754601E-2</v>
      </c>
      <c r="V1472" s="115">
        <v>0</v>
      </c>
      <c r="W1472" s="6">
        <v>686</v>
      </c>
      <c r="X1472" s="40">
        <f t="shared" si="102"/>
        <v>686</v>
      </c>
      <c r="Y1472" s="40">
        <f t="shared" si="103"/>
        <v>686</v>
      </c>
      <c r="Z1472" s="59">
        <v>0.49125364431486879</v>
      </c>
      <c r="AA1472" s="59">
        <v>0.50874635568513116</v>
      </c>
      <c r="AB1472" s="61">
        <v>2.9154518950437317E-3</v>
      </c>
      <c r="AC1472" s="61">
        <v>0</v>
      </c>
      <c r="AD1472" s="61">
        <v>0.98396501457725949</v>
      </c>
      <c r="AE1472" s="61">
        <v>0</v>
      </c>
      <c r="AF1472" s="61">
        <v>0</v>
      </c>
      <c r="AG1472" s="61">
        <v>1.3119533527696793E-2</v>
      </c>
      <c r="AH1472" s="61">
        <v>0</v>
      </c>
      <c r="AI1472" s="61">
        <v>0.98688046647230321</v>
      </c>
      <c r="AJ1472" s="59">
        <v>0.87317784256559772</v>
      </c>
      <c r="AK1472" s="59">
        <v>0</v>
      </c>
      <c r="AL1472" s="4">
        <v>0</v>
      </c>
      <c r="AM1472" s="4">
        <v>0</v>
      </c>
      <c r="AN1472" s="4">
        <v>105</v>
      </c>
      <c r="AO1472" s="4">
        <v>132</v>
      </c>
      <c r="AP1472" s="4">
        <v>167</v>
      </c>
      <c r="AQ1472" s="4">
        <v>151</v>
      </c>
      <c r="AR1472" s="4">
        <v>131</v>
      </c>
      <c r="AS1472" s="59">
        <v>0.44303797468354428</v>
      </c>
      <c r="AT1472" s="3">
        <v>9</v>
      </c>
      <c r="AU1472" s="3">
        <v>6</v>
      </c>
      <c r="AV1472" s="49">
        <v>62.750716332378197</v>
      </c>
      <c r="AW1472" s="49">
        <v>15.186246418338101</v>
      </c>
      <c r="AX1472" s="49">
        <v>21.489971346704902</v>
      </c>
      <c r="AY1472" s="67">
        <v>0.57306590257879697</v>
      </c>
      <c r="AZ1472" s="63">
        <v>0.22969543147208099</v>
      </c>
      <c r="BA1472" s="63">
        <v>0.18781725888324899</v>
      </c>
      <c r="BB1472" s="79">
        <v>88.4</v>
      </c>
      <c r="BC1472" s="79"/>
      <c r="BD1472" s="79"/>
      <c r="BE1472" s="79"/>
      <c r="BF1472" s="79"/>
      <c r="BG1472" s="79"/>
      <c r="BH1472" s="79"/>
      <c r="BI1472" s="79"/>
      <c r="BJ1472" s="3">
        <v>15.6</v>
      </c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29" t="s">
        <v>304</v>
      </c>
      <c r="CJ1472" s="18" t="s">
        <v>548</v>
      </c>
      <c r="CK1472" s="30"/>
    </row>
    <row r="1473" spans="1:89" x14ac:dyDescent="0.25">
      <c r="A1473" s="18" t="s">
        <v>548</v>
      </c>
      <c r="B1473" s="29" t="s">
        <v>298</v>
      </c>
      <c r="C1473" s="29" t="s">
        <v>305</v>
      </c>
      <c r="D1473" s="6">
        <v>45</v>
      </c>
      <c r="E1473" s="40" t="s">
        <v>83</v>
      </c>
      <c r="F1473" s="6">
        <v>45</v>
      </c>
      <c r="N1473" s="115">
        <v>2.98210735586481E-2</v>
      </c>
      <c r="O1473" s="115">
        <v>2.98210735586481E-2</v>
      </c>
      <c r="P1473" s="116" t="s">
        <v>83</v>
      </c>
      <c r="Q1473" s="116" t="s">
        <v>83</v>
      </c>
      <c r="R1473" s="115">
        <v>1.26582278481013E-2</v>
      </c>
      <c r="S1473" s="115">
        <v>2.5862068965517199E-2</v>
      </c>
      <c r="T1473" s="115">
        <v>2.2222222222222199E-2</v>
      </c>
      <c r="U1473" s="115">
        <v>3.7037037037037E-2</v>
      </c>
      <c r="V1473" s="115">
        <v>3.9660056657223802E-2</v>
      </c>
      <c r="W1473" s="6">
        <v>1432</v>
      </c>
      <c r="X1473" s="40">
        <f t="shared" si="102"/>
        <v>1432</v>
      </c>
      <c r="Y1473" s="40">
        <f t="shared" si="103"/>
        <v>1432</v>
      </c>
      <c r="Z1473" s="59">
        <v>0.51047486033519551</v>
      </c>
      <c r="AA1473" s="59">
        <v>0.48952513966480449</v>
      </c>
      <c r="AB1473" s="61">
        <v>4.8882681564245811E-3</v>
      </c>
      <c r="AC1473" s="61">
        <v>2.3743016759776536E-2</v>
      </c>
      <c r="AD1473" s="61">
        <v>0.36801675977653631</v>
      </c>
      <c r="AE1473" s="61">
        <v>1.6061452513966481E-2</v>
      </c>
      <c r="AF1473" s="61">
        <v>1.3966480446927375E-3</v>
      </c>
      <c r="AG1473" s="61">
        <v>0.57960893854748607</v>
      </c>
      <c r="AH1473" s="61">
        <v>6.2849162011173187E-3</v>
      </c>
      <c r="AI1473" s="61">
        <v>0.42039106145251398</v>
      </c>
      <c r="AJ1473" s="59">
        <v>0.55865921787709494</v>
      </c>
      <c r="AK1473" s="59">
        <v>2.7932960893854749E-3</v>
      </c>
      <c r="AL1473" s="4">
        <v>0</v>
      </c>
      <c r="AM1473" s="4">
        <v>0</v>
      </c>
      <c r="AN1473" s="4">
        <v>70</v>
      </c>
      <c r="AO1473" s="4">
        <v>326</v>
      </c>
      <c r="AP1473" s="4">
        <v>385</v>
      </c>
      <c r="AQ1473" s="4">
        <v>316</v>
      </c>
      <c r="AR1473" s="4">
        <v>335</v>
      </c>
      <c r="AS1473" s="59">
        <v>0.17676767676767677</v>
      </c>
      <c r="AT1473" s="3">
        <v>9</v>
      </c>
      <c r="AU1473" s="3">
        <v>6</v>
      </c>
      <c r="AV1473" s="49">
        <v>57.181942544459595</v>
      </c>
      <c r="AW1473" s="49">
        <v>23.666210670314598</v>
      </c>
      <c r="AX1473" s="49">
        <v>17.236662106703101</v>
      </c>
      <c r="AY1473" s="67">
        <v>1.9151846785225701</v>
      </c>
      <c r="AZ1473" s="63">
        <v>0.15482573726541601</v>
      </c>
      <c r="BA1473" s="63">
        <v>8.7131367292225204E-2</v>
      </c>
      <c r="BB1473" s="80">
        <v>94.5</v>
      </c>
      <c r="BC1473" s="80"/>
      <c r="BD1473" s="80"/>
      <c r="BE1473" s="80"/>
      <c r="BF1473" s="80"/>
      <c r="BG1473" s="80"/>
      <c r="BH1473" s="80"/>
      <c r="BI1473" s="80"/>
      <c r="BJ1473" s="3">
        <v>20.2</v>
      </c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29" t="s">
        <v>305</v>
      </c>
      <c r="CJ1473" s="18" t="s">
        <v>548</v>
      </c>
      <c r="CK1473" s="30"/>
    </row>
    <row r="1474" spans="1:89" x14ac:dyDescent="0.25">
      <c r="A1474" s="18" t="s">
        <v>548</v>
      </c>
      <c r="B1474" s="29" t="s">
        <v>298</v>
      </c>
      <c r="C1474" s="29" t="s">
        <v>306</v>
      </c>
      <c r="D1474" s="6">
        <v>0</v>
      </c>
      <c r="E1474" s="6">
        <v>0</v>
      </c>
      <c r="F1474" s="6">
        <v>0</v>
      </c>
      <c r="N1474" s="115">
        <v>0</v>
      </c>
      <c r="O1474" s="115">
        <v>0</v>
      </c>
      <c r="P1474" s="115">
        <v>0</v>
      </c>
      <c r="Q1474" s="115">
        <v>0</v>
      </c>
      <c r="R1474" s="115">
        <v>0</v>
      </c>
      <c r="S1474" s="115">
        <v>0</v>
      </c>
      <c r="T1474" s="115">
        <v>0</v>
      </c>
      <c r="U1474" s="115">
        <v>0</v>
      </c>
      <c r="V1474" s="115">
        <v>0</v>
      </c>
      <c r="W1474" s="6">
        <v>290</v>
      </c>
      <c r="X1474" s="40">
        <f t="shared" si="102"/>
        <v>71</v>
      </c>
      <c r="Y1474" s="40">
        <f t="shared" si="103"/>
        <v>108</v>
      </c>
      <c r="Z1474" s="59">
        <v>0.5482758620689655</v>
      </c>
      <c r="AA1474" s="59">
        <v>0.4517241379310345</v>
      </c>
      <c r="AB1474" s="61">
        <v>5.1724137931034482E-2</v>
      </c>
      <c r="AC1474" s="61">
        <v>6.8965517241379309E-3</v>
      </c>
      <c r="AD1474" s="61">
        <v>1.3793103448275862E-2</v>
      </c>
      <c r="AE1474" s="61">
        <v>5.1724137931034482E-2</v>
      </c>
      <c r="AF1474" s="61">
        <v>3.4482758620689655E-3</v>
      </c>
      <c r="AG1474" s="61">
        <v>0.84827586206896555</v>
      </c>
      <c r="AH1474" s="61">
        <v>2.4137931034482758E-2</v>
      </c>
      <c r="AI1474" s="61">
        <v>0.15172413793103448</v>
      </c>
      <c r="AJ1474" s="59">
        <v>0.71379310344827585</v>
      </c>
      <c r="AK1474" s="59">
        <v>2.0689655172413793E-2</v>
      </c>
      <c r="AL1474" s="4">
        <v>20</v>
      </c>
      <c r="AM1474" s="4">
        <v>17</v>
      </c>
      <c r="AN1474" s="4">
        <v>7</v>
      </c>
      <c r="AO1474" s="4">
        <v>15</v>
      </c>
      <c r="AP1474" s="4">
        <v>15</v>
      </c>
      <c r="AQ1474" s="4">
        <v>15</v>
      </c>
      <c r="AR1474" s="4">
        <v>19</v>
      </c>
      <c r="AS1474" s="59">
        <v>0.31818181818181818</v>
      </c>
      <c r="AT1474" s="3">
        <v>1</v>
      </c>
      <c r="AU1474" s="3">
        <v>6</v>
      </c>
      <c r="AV1474" s="49">
        <v>77.348066298342502</v>
      </c>
      <c r="AW1474" s="49">
        <v>16.022099447513799</v>
      </c>
      <c r="AX1474" s="49">
        <v>6.6298342541436499</v>
      </c>
      <c r="AY1474" s="67">
        <v>0</v>
      </c>
      <c r="AZ1474" s="63">
        <v>1.9607843137254902E-2</v>
      </c>
      <c r="BA1474" s="63">
        <v>0</v>
      </c>
      <c r="BB1474" s="79">
        <v>91.8</v>
      </c>
      <c r="BC1474" s="79"/>
      <c r="BD1474" s="79"/>
      <c r="BE1474" s="79"/>
      <c r="BF1474" s="79"/>
      <c r="BG1474" s="79"/>
      <c r="BH1474" s="79"/>
      <c r="BI1474" s="79"/>
      <c r="BJ1474" s="3">
        <v>20.3</v>
      </c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29" t="s">
        <v>306</v>
      </c>
      <c r="CJ1474" s="18" t="s">
        <v>548</v>
      </c>
      <c r="CK1474" s="30"/>
    </row>
    <row r="1475" spans="1:89" x14ac:dyDescent="0.25">
      <c r="A1475" s="18" t="s">
        <v>548</v>
      </c>
      <c r="B1475" s="29" t="s">
        <v>298</v>
      </c>
      <c r="C1475" s="29" t="s">
        <v>307</v>
      </c>
      <c r="D1475" s="6">
        <v>16</v>
      </c>
      <c r="E1475" s="40" t="s">
        <v>83</v>
      </c>
      <c r="F1475" s="6">
        <v>16</v>
      </c>
      <c r="N1475" s="115">
        <v>4.8632218844984802E-2</v>
      </c>
      <c r="O1475" s="115">
        <v>4.8632218844984802E-2</v>
      </c>
      <c r="P1475" s="116" t="s">
        <v>83</v>
      </c>
      <c r="Q1475" s="116" t="s">
        <v>83</v>
      </c>
      <c r="R1475" s="115">
        <v>0.114285714285714</v>
      </c>
      <c r="S1475" s="115">
        <v>8.1081081081081099E-2</v>
      </c>
      <c r="T1475" s="115">
        <v>2.4691358024691398E-2</v>
      </c>
      <c r="U1475" s="115">
        <v>2.5641025641025599E-2</v>
      </c>
      <c r="V1475" s="115">
        <v>3.2786885245901599E-2</v>
      </c>
      <c r="W1475" s="6">
        <v>281</v>
      </c>
      <c r="X1475" s="40">
        <f t="shared" si="102"/>
        <v>281</v>
      </c>
      <c r="Y1475" s="40">
        <f t="shared" si="103"/>
        <v>281</v>
      </c>
      <c r="Z1475" s="59">
        <v>0.43416370106761565</v>
      </c>
      <c r="AA1475" s="59">
        <v>0.5658362989323843</v>
      </c>
      <c r="AB1475" s="61">
        <v>1.0676156583629894E-2</v>
      </c>
      <c r="AC1475" s="61">
        <v>0</v>
      </c>
      <c r="AD1475" s="61">
        <v>0.35587188612099646</v>
      </c>
      <c r="AE1475" s="61">
        <v>0.20640569395017794</v>
      </c>
      <c r="AF1475" s="61">
        <v>0</v>
      </c>
      <c r="AG1475" s="61">
        <v>0.42348754448398579</v>
      </c>
      <c r="AH1475" s="61">
        <v>3.5587188612099642E-3</v>
      </c>
      <c r="AI1475" s="61">
        <v>0.57651245551601427</v>
      </c>
      <c r="AJ1475" s="59">
        <v>0.79359430604982206</v>
      </c>
      <c r="AK1475" s="59">
        <v>1.0676156583629894E-2</v>
      </c>
      <c r="AL1475" s="4">
        <v>0</v>
      </c>
      <c r="AM1475" s="4">
        <v>0</v>
      </c>
      <c r="AN1475" s="4">
        <v>28</v>
      </c>
      <c r="AO1475" s="4">
        <v>56</v>
      </c>
      <c r="AP1475" s="4">
        <v>67</v>
      </c>
      <c r="AQ1475" s="4">
        <v>75</v>
      </c>
      <c r="AR1475" s="4">
        <v>55</v>
      </c>
      <c r="AS1475" s="59">
        <v>0.33333333333333331</v>
      </c>
      <c r="AT1475" s="3">
        <v>9</v>
      </c>
      <c r="AU1475" s="3">
        <v>6</v>
      </c>
      <c r="AV1475" s="49">
        <v>75.935828877005392</v>
      </c>
      <c r="AW1475" s="49">
        <v>17.647058823529399</v>
      </c>
      <c r="AX1475" s="49">
        <v>4.8128342245989302</v>
      </c>
      <c r="AY1475" s="67">
        <v>1.6042780748663099</v>
      </c>
      <c r="AZ1475" s="63">
        <v>0.223241590214067</v>
      </c>
      <c r="BA1475" s="63">
        <v>0.125382262996942</v>
      </c>
      <c r="BB1475" s="80">
        <v>92.3</v>
      </c>
      <c r="BC1475" s="80"/>
      <c r="BD1475" s="80"/>
      <c r="BE1475" s="80"/>
      <c r="BF1475" s="80"/>
      <c r="BG1475" s="80"/>
      <c r="BH1475" s="80"/>
      <c r="BI1475" s="80"/>
      <c r="BJ1475" s="3">
        <v>17.8</v>
      </c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29" t="s">
        <v>307</v>
      </c>
      <c r="CJ1475" s="18" t="s">
        <v>548</v>
      </c>
      <c r="CK1475" s="30"/>
    </row>
    <row r="1476" spans="1:89" x14ac:dyDescent="0.25">
      <c r="A1476" s="18" t="s">
        <v>548</v>
      </c>
      <c r="B1476" s="29" t="s">
        <v>298</v>
      </c>
      <c r="C1476" s="29" t="s">
        <v>308</v>
      </c>
      <c r="D1476" s="6">
        <v>22</v>
      </c>
      <c r="E1476" s="40" t="s">
        <v>83</v>
      </c>
      <c r="F1476" s="6">
        <v>22</v>
      </c>
      <c r="N1476" s="115">
        <v>2.1215043394406899E-2</v>
      </c>
      <c r="O1476" s="115">
        <v>2.1215043394406899E-2</v>
      </c>
      <c r="P1476" s="116" t="s">
        <v>83</v>
      </c>
      <c r="Q1476" s="116" t="s">
        <v>83</v>
      </c>
      <c r="R1476" s="115">
        <v>1.21951219512195E-2</v>
      </c>
      <c r="S1476" s="115">
        <v>8.29875518672199E-3</v>
      </c>
      <c r="T1476" s="115">
        <v>3.1914893617021302E-2</v>
      </c>
      <c r="U1476" s="115">
        <v>2.2935779816513801E-2</v>
      </c>
      <c r="V1476" s="115">
        <v>2.33644859813084E-2</v>
      </c>
      <c r="W1476" s="6">
        <v>972</v>
      </c>
      <c r="X1476" s="40">
        <f t="shared" si="102"/>
        <v>972</v>
      </c>
      <c r="Y1476" s="40">
        <f t="shared" si="103"/>
        <v>972</v>
      </c>
      <c r="Z1476" s="59">
        <v>0.46090534979423869</v>
      </c>
      <c r="AA1476" s="59">
        <v>0.53909465020576131</v>
      </c>
      <c r="AB1476" s="61">
        <v>2.05761316872428E-3</v>
      </c>
      <c r="AC1476" s="61">
        <v>2.05761316872428E-3</v>
      </c>
      <c r="AD1476" s="61">
        <v>0.34773662551440332</v>
      </c>
      <c r="AE1476" s="61">
        <v>1.954732510288066E-2</v>
      </c>
      <c r="AF1476" s="61">
        <v>0</v>
      </c>
      <c r="AG1476" s="61">
        <v>0.62448559670781889</v>
      </c>
      <c r="AH1476" s="61">
        <v>4.11522633744856E-3</v>
      </c>
      <c r="AI1476" s="61">
        <v>0.37551440329218105</v>
      </c>
      <c r="AJ1476" s="59">
        <v>0.73456790123456794</v>
      </c>
      <c r="AK1476" s="59">
        <v>1.02880658436214E-3</v>
      </c>
      <c r="AL1476" s="4">
        <v>0</v>
      </c>
      <c r="AM1476" s="4">
        <v>0</v>
      </c>
      <c r="AN1476" s="4">
        <v>72</v>
      </c>
      <c r="AO1476" s="4">
        <v>228</v>
      </c>
      <c r="AP1476" s="4">
        <v>263</v>
      </c>
      <c r="AQ1476" s="4">
        <v>204</v>
      </c>
      <c r="AR1476" s="4">
        <v>205</v>
      </c>
      <c r="AS1476" s="59">
        <v>0.24</v>
      </c>
      <c r="AT1476" s="3">
        <v>9</v>
      </c>
      <c r="AU1476" s="3">
        <v>6</v>
      </c>
      <c r="AV1476" s="49">
        <v>65.96491228070181</v>
      </c>
      <c r="AW1476" s="49">
        <v>19.122807017543899</v>
      </c>
      <c r="AX1476" s="49">
        <v>14.210526315789501</v>
      </c>
      <c r="AY1476" s="67">
        <v>0.70175438596491202</v>
      </c>
      <c r="AZ1476" s="63">
        <v>0.21442495126705699</v>
      </c>
      <c r="BA1476" s="63">
        <v>9.9415204678362595E-2</v>
      </c>
      <c r="BB1476" s="79">
        <v>92.1</v>
      </c>
      <c r="BC1476" s="79"/>
      <c r="BD1476" s="79"/>
      <c r="BE1476" s="79"/>
      <c r="BF1476" s="79"/>
      <c r="BG1476" s="79"/>
      <c r="BH1476" s="79"/>
      <c r="BI1476" s="79"/>
      <c r="BJ1476" s="3">
        <v>18.399999999999999</v>
      </c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29" t="s">
        <v>308</v>
      </c>
      <c r="CJ1476" s="18" t="s">
        <v>548</v>
      </c>
      <c r="CK1476" s="30"/>
    </row>
    <row r="1477" spans="1:89" x14ac:dyDescent="0.25">
      <c r="A1477" s="18" t="s">
        <v>548</v>
      </c>
      <c r="B1477" s="29" t="s">
        <v>298</v>
      </c>
      <c r="C1477" s="29" t="s">
        <v>135</v>
      </c>
      <c r="D1477" s="6">
        <v>11</v>
      </c>
      <c r="E1477" s="6">
        <v>0</v>
      </c>
      <c r="F1477" s="6">
        <v>11</v>
      </c>
      <c r="N1477" s="115">
        <v>3.3333333333333298E-2</v>
      </c>
      <c r="O1477" s="115">
        <v>5.6994818652849701E-2</v>
      </c>
      <c r="P1477" s="115">
        <v>0</v>
      </c>
      <c r="Q1477" s="115">
        <v>0</v>
      </c>
      <c r="R1477" s="115">
        <v>0</v>
      </c>
      <c r="S1477" s="115">
        <v>0.102040816326531</v>
      </c>
      <c r="T1477" s="115">
        <v>2.5641025641025599E-2</v>
      </c>
      <c r="U1477" s="115">
        <v>0.15625</v>
      </c>
      <c r="V1477" s="115">
        <v>0</v>
      </c>
      <c r="W1477" s="6">
        <v>690</v>
      </c>
      <c r="X1477" s="40">
        <f t="shared" si="102"/>
        <v>179</v>
      </c>
      <c r="Y1477" s="40">
        <f t="shared" si="103"/>
        <v>302</v>
      </c>
      <c r="Z1477" s="59">
        <v>0.46086956521739131</v>
      </c>
      <c r="AA1477" s="59">
        <v>0.53913043478260869</v>
      </c>
      <c r="AB1477" s="61">
        <v>1.7391304347826087E-2</v>
      </c>
      <c r="AC1477" s="61">
        <v>2.8985507246376812E-3</v>
      </c>
      <c r="AD1477" s="61">
        <v>0.38115942028985506</v>
      </c>
      <c r="AE1477" s="61">
        <v>2.4637681159420291E-2</v>
      </c>
      <c r="AF1477" s="61">
        <v>0</v>
      </c>
      <c r="AG1477" s="61">
        <v>0.56231884057971016</v>
      </c>
      <c r="AH1477" s="61">
        <v>1.1594202898550725E-2</v>
      </c>
      <c r="AI1477" s="61">
        <v>0.43768115942028984</v>
      </c>
      <c r="AJ1477" s="59">
        <v>0.74637681159420288</v>
      </c>
      <c r="AK1477" s="59">
        <v>1.1594202898550725E-2</v>
      </c>
      <c r="AL1477" s="4">
        <v>70</v>
      </c>
      <c r="AM1477" s="4">
        <v>53</v>
      </c>
      <c r="AN1477" s="4">
        <v>24</v>
      </c>
      <c r="AO1477" s="4">
        <v>41</v>
      </c>
      <c r="AP1477" s="4">
        <v>38</v>
      </c>
      <c r="AQ1477" s="4">
        <v>33</v>
      </c>
      <c r="AR1477" s="4">
        <v>43</v>
      </c>
      <c r="AS1477" s="59">
        <v>0.36923076923076925</v>
      </c>
      <c r="AT1477" s="3">
        <v>1</v>
      </c>
      <c r="AU1477" s="3">
        <v>6</v>
      </c>
      <c r="AV1477" s="49">
        <v>74.278215223097106</v>
      </c>
      <c r="AW1477" s="49">
        <v>17.847769028871401</v>
      </c>
      <c r="AX1477" s="49">
        <v>7.3490813648294004</v>
      </c>
      <c r="AY1477" s="67">
        <v>0.52493438320209995</v>
      </c>
      <c r="AZ1477" s="63">
        <v>0.10894941634241199</v>
      </c>
      <c r="BA1477" s="63">
        <v>9.7276264591439704E-2</v>
      </c>
      <c r="BB1477" s="79">
        <v>93</v>
      </c>
      <c r="BC1477" s="79"/>
      <c r="BD1477" s="79"/>
      <c r="BE1477" s="79"/>
      <c r="BF1477" s="79"/>
      <c r="BG1477" s="79"/>
      <c r="BH1477" s="79"/>
      <c r="BI1477" s="79"/>
      <c r="BJ1477" s="3">
        <v>17.100000000000001</v>
      </c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29" t="s">
        <v>135</v>
      </c>
      <c r="CJ1477" s="18" t="s">
        <v>548</v>
      </c>
      <c r="CK1477" s="30"/>
    </row>
    <row r="1478" spans="1:89" x14ac:dyDescent="0.25">
      <c r="A1478" s="18" t="s">
        <v>548</v>
      </c>
      <c r="B1478" s="29" t="s">
        <v>309</v>
      </c>
      <c r="C1478" s="29" t="s">
        <v>310</v>
      </c>
      <c r="D1478" s="6">
        <v>1</v>
      </c>
      <c r="E1478" s="40" t="s">
        <v>83</v>
      </c>
      <c r="F1478" s="6">
        <v>1</v>
      </c>
      <c r="N1478" s="115">
        <v>2.5316455696202502E-3</v>
      </c>
      <c r="O1478" s="115">
        <v>2.5316455696202502E-3</v>
      </c>
      <c r="P1478" s="116" t="s">
        <v>83</v>
      </c>
      <c r="Q1478" s="116" t="s">
        <v>83</v>
      </c>
      <c r="R1478" s="116" t="s">
        <v>83</v>
      </c>
      <c r="S1478" s="115">
        <v>0</v>
      </c>
      <c r="T1478" s="115">
        <v>1.02040816326531E-2</v>
      </c>
      <c r="U1478" s="115">
        <v>0</v>
      </c>
      <c r="V1478" s="115">
        <v>0</v>
      </c>
      <c r="W1478" s="6">
        <v>369</v>
      </c>
      <c r="X1478" s="40">
        <f t="shared" si="102"/>
        <v>369</v>
      </c>
      <c r="Y1478" s="40">
        <f t="shared" si="103"/>
        <v>369</v>
      </c>
      <c r="Z1478" s="59">
        <v>0.51490514905149054</v>
      </c>
      <c r="AA1478" s="59">
        <v>0.48509485094850946</v>
      </c>
      <c r="AB1478" s="61">
        <v>0</v>
      </c>
      <c r="AC1478" s="61">
        <v>8.130081300813009E-3</v>
      </c>
      <c r="AD1478" s="61">
        <v>0.65040650406504064</v>
      </c>
      <c r="AE1478" s="61">
        <v>2.1680216802168022E-2</v>
      </c>
      <c r="AF1478" s="61">
        <v>0</v>
      </c>
      <c r="AG1478" s="61">
        <v>0.3143631436314363</v>
      </c>
      <c r="AH1478" s="61">
        <v>5.4200542005420054E-3</v>
      </c>
      <c r="AI1478" s="61">
        <v>0.68563685636856364</v>
      </c>
      <c r="AJ1478" s="59">
        <v>0.80216802168021684</v>
      </c>
      <c r="AK1478" s="59">
        <v>0</v>
      </c>
      <c r="AL1478" s="4">
        <v>0</v>
      </c>
      <c r="AM1478" s="4">
        <v>0</v>
      </c>
      <c r="AN1478" s="4">
        <v>0</v>
      </c>
      <c r="AO1478" s="4">
        <v>102</v>
      </c>
      <c r="AP1478" s="4">
        <v>91</v>
      </c>
      <c r="AQ1478" s="4">
        <v>78</v>
      </c>
      <c r="AR1478" s="4">
        <v>98</v>
      </c>
      <c r="AS1478" s="59">
        <v>0</v>
      </c>
      <c r="AT1478" s="3">
        <v>9</v>
      </c>
      <c r="AU1478" s="3">
        <v>6</v>
      </c>
      <c r="AV1478" s="49">
        <v>88.671875</v>
      </c>
      <c r="AW1478" s="49">
        <v>9.375</v>
      </c>
      <c r="AX1478" s="49">
        <v>1.953125</v>
      </c>
      <c r="AY1478" s="67">
        <v>0</v>
      </c>
      <c r="AZ1478" s="63">
        <v>0.134517766497462</v>
      </c>
      <c r="BA1478" s="63">
        <v>5.0761421319797002E-3</v>
      </c>
      <c r="BB1478" s="80">
        <v>92.7</v>
      </c>
      <c r="BC1478" s="80"/>
      <c r="BD1478" s="80"/>
      <c r="BE1478" s="80"/>
      <c r="BF1478" s="80"/>
      <c r="BG1478" s="80"/>
      <c r="BH1478" s="80"/>
      <c r="BI1478" s="80"/>
      <c r="BJ1478" s="3">
        <v>15.7</v>
      </c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29" t="s">
        <v>310</v>
      </c>
      <c r="CJ1478" s="18" t="s">
        <v>548</v>
      </c>
      <c r="CK1478" s="30"/>
    </row>
    <row r="1479" spans="1:89" x14ac:dyDescent="0.25">
      <c r="A1479" s="18" t="s">
        <v>548</v>
      </c>
      <c r="B1479" s="29" t="s">
        <v>311</v>
      </c>
      <c r="C1479" s="29" t="s">
        <v>312</v>
      </c>
      <c r="D1479" s="6">
        <v>10</v>
      </c>
      <c r="E1479" s="40" t="s">
        <v>83</v>
      </c>
      <c r="F1479" s="6">
        <v>10</v>
      </c>
      <c r="N1479" s="115">
        <v>5.10204081632653E-2</v>
      </c>
      <c r="O1479" s="115">
        <v>5.10204081632653E-2</v>
      </c>
      <c r="P1479" s="116" t="s">
        <v>83</v>
      </c>
      <c r="Q1479" s="116" t="s">
        <v>83</v>
      </c>
      <c r="R1479" s="116" t="s">
        <v>83</v>
      </c>
      <c r="S1479" s="115">
        <v>0</v>
      </c>
      <c r="T1479" s="115">
        <v>1.88679245283019E-2</v>
      </c>
      <c r="U1479" s="115">
        <v>9.8039215686274495E-2</v>
      </c>
      <c r="V1479" s="115">
        <v>8.5106382978723402E-2</v>
      </c>
      <c r="W1479" s="6">
        <v>181</v>
      </c>
      <c r="X1479" s="40">
        <f t="shared" si="102"/>
        <v>181</v>
      </c>
      <c r="Y1479" s="40">
        <f t="shared" si="103"/>
        <v>181</v>
      </c>
      <c r="Z1479" s="59">
        <v>0.50276243093922657</v>
      </c>
      <c r="AA1479" s="59">
        <v>0.49723756906077349</v>
      </c>
      <c r="AB1479" s="61">
        <v>0</v>
      </c>
      <c r="AC1479" s="61">
        <v>0</v>
      </c>
      <c r="AD1479" s="61">
        <v>0.88950276243093918</v>
      </c>
      <c r="AE1479" s="61">
        <v>5.5248618784530384E-3</v>
      </c>
      <c r="AF1479" s="61">
        <v>0</v>
      </c>
      <c r="AG1479" s="61">
        <v>9.3922651933701654E-2</v>
      </c>
      <c r="AH1479" s="61">
        <v>1.1049723756906077E-2</v>
      </c>
      <c r="AI1479" s="61">
        <v>0.90607734806629836</v>
      </c>
      <c r="AJ1479" s="59">
        <v>0.88397790055248615</v>
      </c>
      <c r="AK1479" s="59">
        <v>0</v>
      </c>
      <c r="AL1479" s="4">
        <v>0</v>
      </c>
      <c r="AM1479" s="4">
        <v>0</v>
      </c>
      <c r="AN1479" s="4">
        <v>0</v>
      </c>
      <c r="AO1479" s="4">
        <v>40</v>
      </c>
      <c r="AP1479" s="4">
        <v>51</v>
      </c>
      <c r="AQ1479" s="4">
        <v>49</v>
      </c>
      <c r="AR1479" s="4">
        <v>41</v>
      </c>
      <c r="AS1479" s="59">
        <v>0</v>
      </c>
      <c r="AT1479" s="3">
        <v>9</v>
      </c>
      <c r="AU1479" s="3">
        <v>6</v>
      </c>
      <c r="AV1479" s="49">
        <v>62.037037037037003</v>
      </c>
      <c r="AW1479" s="49">
        <v>19.4444444444444</v>
      </c>
      <c r="AX1479" s="49">
        <v>11.1111111111111</v>
      </c>
      <c r="AY1479" s="67">
        <v>7.4074074074074101</v>
      </c>
      <c r="AZ1479" s="63">
        <v>8.2901554404145095E-2</v>
      </c>
      <c r="BA1479" s="63">
        <v>0.176165803108808</v>
      </c>
      <c r="BB1479" s="80">
        <v>91.5</v>
      </c>
      <c r="BC1479" s="80"/>
      <c r="BD1479" s="80"/>
      <c r="BE1479" s="80"/>
      <c r="BF1479" s="80"/>
      <c r="BG1479" s="80"/>
      <c r="BH1479" s="80"/>
      <c r="BI1479" s="80"/>
      <c r="BJ1479" s="3">
        <v>15.4</v>
      </c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29" t="s">
        <v>312</v>
      </c>
      <c r="CJ1479" s="18" t="s">
        <v>548</v>
      </c>
      <c r="CK1479" s="30"/>
    </row>
    <row r="1480" spans="1:89" x14ac:dyDescent="0.25">
      <c r="A1480" s="18" t="s">
        <v>548</v>
      </c>
      <c r="B1480" s="29" t="s">
        <v>311</v>
      </c>
      <c r="C1480" s="29" t="s">
        <v>313</v>
      </c>
      <c r="D1480" s="6">
        <v>3</v>
      </c>
      <c r="E1480" s="40" t="s">
        <v>83</v>
      </c>
      <c r="F1480" s="6">
        <v>3</v>
      </c>
      <c r="N1480" s="115">
        <v>1.02389078498294E-2</v>
      </c>
      <c r="O1480" s="115">
        <v>1.02389078498294E-2</v>
      </c>
      <c r="P1480" s="116" t="s">
        <v>83</v>
      </c>
      <c r="Q1480" s="116" t="s">
        <v>83</v>
      </c>
      <c r="R1480" s="115">
        <v>4.1666666666666699E-2</v>
      </c>
      <c r="S1480" s="115">
        <v>0</v>
      </c>
      <c r="T1480" s="115">
        <v>2.5641025641025599E-2</v>
      </c>
      <c r="U1480" s="115">
        <v>0</v>
      </c>
      <c r="V1480" s="115">
        <v>0</v>
      </c>
      <c r="W1480" s="6">
        <v>274</v>
      </c>
      <c r="X1480" s="40">
        <f t="shared" si="102"/>
        <v>274</v>
      </c>
      <c r="Y1480" s="40">
        <f t="shared" si="103"/>
        <v>274</v>
      </c>
      <c r="Z1480" s="59">
        <v>0.52189781021897808</v>
      </c>
      <c r="AA1480" s="59">
        <v>0.47810218978102192</v>
      </c>
      <c r="AB1480" s="61">
        <v>0</v>
      </c>
      <c r="AC1480" s="61">
        <v>7.2992700729927005E-3</v>
      </c>
      <c r="AD1480" s="61">
        <v>0.28832116788321166</v>
      </c>
      <c r="AE1480" s="61">
        <v>0</v>
      </c>
      <c r="AF1480" s="61">
        <v>0</v>
      </c>
      <c r="AG1480" s="61">
        <v>0.68978102189781021</v>
      </c>
      <c r="AH1480" s="61">
        <v>1.4598540145985401E-2</v>
      </c>
      <c r="AI1480" s="61">
        <v>0.31021897810218979</v>
      </c>
      <c r="AJ1480" s="59">
        <v>0.62773722627737227</v>
      </c>
      <c r="AK1480" s="59">
        <v>0</v>
      </c>
      <c r="AL1480" s="4">
        <v>0</v>
      </c>
      <c r="AM1480" s="4">
        <v>0</v>
      </c>
      <c r="AN1480" s="4">
        <v>22</v>
      </c>
      <c r="AO1480" s="4">
        <v>44</v>
      </c>
      <c r="AP1480" s="4">
        <v>70</v>
      </c>
      <c r="AQ1480" s="4">
        <v>59</v>
      </c>
      <c r="AR1480" s="4">
        <v>79</v>
      </c>
      <c r="AS1480" s="59">
        <v>0.33333333333333331</v>
      </c>
      <c r="AT1480" s="3">
        <v>9</v>
      </c>
      <c r="AU1480" s="3">
        <v>6</v>
      </c>
      <c r="AV1480" s="49">
        <v>72.5</v>
      </c>
      <c r="AW1480" s="49">
        <v>23.3333333333333</v>
      </c>
      <c r="AX1480" s="49">
        <v>4.1666666666666696</v>
      </c>
      <c r="AY1480" s="67">
        <v>0</v>
      </c>
      <c r="AZ1480" s="63">
        <v>4.4520547945205498E-2</v>
      </c>
      <c r="BA1480" s="63">
        <v>9.9315068493150693E-2</v>
      </c>
      <c r="BB1480" s="79">
        <v>93.2</v>
      </c>
      <c r="BC1480" s="79"/>
      <c r="BD1480" s="79"/>
      <c r="BE1480" s="79"/>
      <c r="BF1480" s="79"/>
      <c r="BG1480" s="79"/>
      <c r="BH1480" s="79"/>
      <c r="BI1480" s="79"/>
      <c r="BJ1480" s="3">
        <v>17.2</v>
      </c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29" t="s">
        <v>313</v>
      </c>
      <c r="CJ1480" s="18" t="s">
        <v>548</v>
      </c>
      <c r="CK1480" s="30"/>
    </row>
    <row r="1481" spans="1:89" x14ac:dyDescent="0.25">
      <c r="A1481" s="18" t="s">
        <v>548</v>
      </c>
      <c r="B1481" s="29" t="s">
        <v>311</v>
      </c>
      <c r="C1481" s="29" t="s">
        <v>314</v>
      </c>
      <c r="D1481" s="6">
        <v>13</v>
      </c>
      <c r="E1481" s="40" t="s">
        <v>83</v>
      </c>
      <c r="F1481" s="6">
        <v>13</v>
      </c>
      <c r="N1481" s="115">
        <v>3.1400966183574901E-2</v>
      </c>
      <c r="O1481" s="115">
        <v>3.1400966183574901E-2</v>
      </c>
      <c r="P1481" s="116" t="s">
        <v>83</v>
      </c>
      <c r="Q1481" s="116" t="s">
        <v>83</v>
      </c>
      <c r="R1481" s="116" t="s">
        <v>83</v>
      </c>
      <c r="S1481" s="115">
        <v>2.5641025641025599E-2</v>
      </c>
      <c r="T1481" s="115">
        <v>1.13636363636364E-2</v>
      </c>
      <c r="U1481" s="115">
        <v>5.9405940594059403E-2</v>
      </c>
      <c r="V1481" s="115">
        <v>2.80373831775701E-2</v>
      </c>
      <c r="W1481" s="6">
        <v>361</v>
      </c>
      <c r="X1481" s="40">
        <f t="shared" si="102"/>
        <v>361</v>
      </c>
      <c r="Y1481" s="40">
        <f t="shared" si="103"/>
        <v>361</v>
      </c>
      <c r="Z1481" s="59">
        <v>0.49861495844875348</v>
      </c>
      <c r="AA1481" s="59">
        <v>0.50138504155124652</v>
      </c>
      <c r="AB1481" s="61">
        <v>0</v>
      </c>
      <c r="AC1481" s="61">
        <v>5.5401662049861496E-3</v>
      </c>
      <c r="AD1481" s="61">
        <v>0.61772853185595566</v>
      </c>
      <c r="AE1481" s="61">
        <v>1.1080332409972299E-2</v>
      </c>
      <c r="AF1481" s="61">
        <v>0</v>
      </c>
      <c r="AG1481" s="61">
        <v>0.35734072022160662</v>
      </c>
      <c r="AH1481" s="61">
        <v>8.3102493074792248E-3</v>
      </c>
      <c r="AI1481" s="61">
        <v>0.64265927977839332</v>
      </c>
      <c r="AJ1481" s="59">
        <v>0.80609418282548473</v>
      </c>
      <c r="AK1481" s="59">
        <v>2.7700831024930748E-3</v>
      </c>
      <c r="AL1481" s="4">
        <v>0</v>
      </c>
      <c r="AM1481" s="4">
        <v>0</v>
      </c>
      <c r="AN1481" s="4">
        <v>0</v>
      </c>
      <c r="AO1481" s="4">
        <v>93</v>
      </c>
      <c r="AP1481" s="4">
        <v>78</v>
      </c>
      <c r="AQ1481" s="4">
        <v>88</v>
      </c>
      <c r="AR1481" s="4">
        <v>102</v>
      </c>
      <c r="AS1481" s="59">
        <v>0</v>
      </c>
      <c r="AT1481" s="3">
        <v>9</v>
      </c>
      <c r="AU1481" s="3">
        <v>6</v>
      </c>
      <c r="AV1481" s="49">
        <v>71.823204419889493</v>
      </c>
      <c r="AW1481" s="49">
        <v>17.6795580110497</v>
      </c>
      <c r="AX1481" s="49">
        <v>8.8397790055248606</v>
      </c>
      <c r="AY1481" s="67">
        <v>1.65745856353591</v>
      </c>
      <c r="AZ1481" s="63">
        <v>2.8985507246376802E-2</v>
      </c>
      <c r="BA1481" s="63">
        <v>0.14009661835748799</v>
      </c>
      <c r="BB1481" s="80">
        <v>92</v>
      </c>
      <c r="BC1481" s="80"/>
      <c r="BD1481" s="80"/>
      <c r="BE1481" s="80"/>
      <c r="BF1481" s="80"/>
      <c r="BG1481" s="80"/>
      <c r="BH1481" s="80"/>
      <c r="BI1481" s="80"/>
      <c r="BJ1481" s="3">
        <v>16.7</v>
      </c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29" t="s">
        <v>314</v>
      </c>
      <c r="CJ1481" s="18" t="s">
        <v>548</v>
      </c>
      <c r="CK1481" s="30"/>
    </row>
    <row r="1482" spans="1:89" x14ac:dyDescent="0.25">
      <c r="A1482" s="18" t="s">
        <v>548</v>
      </c>
      <c r="B1482" s="29" t="s">
        <v>315</v>
      </c>
      <c r="C1482" s="29" t="s">
        <v>316</v>
      </c>
      <c r="D1482" s="6">
        <v>0</v>
      </c>
      <c r="E1482" s="6">
        <v>0</v>
      </c>
      <c r="F1482" s="6">
        <v>0</v>
      </c>
      <c r="N1482" s="115">
        <v>0</v>
      </c>
      <c r="O1482" s="115">
        <v>0</v>
      </c>
      <c r="P1482" s="115">
        <v>0</v>
      </c>
      <c r="Q1482" s="115">
        <v>0</v>
      </c>
      <c r="R1482" s="116" t="s">
        <v>83</v>
      </c>
      <c r="S1482" s="115">
        <v>0</v>
      </c>
      <c r="T1482" s="115">
        <v>0</v>
      </c>
      <c r="U1482" s="115">
        <v>0</v>
      </c>
      <c r="V1482" s="115">
        <v>0</v>
      </c>
      <c r="W1482" s="6">
        <v>556</v>
      </c>
      <c r="X1482" s="40">
        <f t="shared" si="102"/>
        <v>164</v>
      </c>
      <c r="Y1482" s="40">
        <f t="shared" si="103"/>
        <v>251</v>
      </c>
      <c r="Z1482" s="59">
        <v>0.46582733812949639</v>
      </c>
      <c r="AA1482" s="59">
        <v>0.53417266187050361</v>
      </c>
      <c r="AB1482" s="61">
        <v>0.2446043165467626</v>
      </c>
      <c r="AC1482" s="61">
        <v>0</v>
      </c>
      <c r="AD1482" s="61">
        <v>1.7985611510791366E-2</v>
      </c>
      <c r="AE1482" s="61">
        <v>8.9928057553956831E-3</v>
      </c>
      <c r="AF1482" s="61">
        <v>3.5971223021582736E-3</v>
      </c>
      <c r="AG1482" s="61">
        <v>0.68525179856115104</v>
      </c>
      <c r="AH1482" s="61">
        <v>3.9568345323741004E-2</v>
      </c>
      <c r="AI1482" s="61">
        <v>0.31474820143884891</v>
      </c>
      <c r="AJ1482" s="59">
        <v>0.65467625899280579</v>
      </c>
      <c r="AK1482" s="59">
        <v>0</v>
      </c>
      <c r="AL1482" s="4">
        <v>41</v>
      </c>
      <c r="AM1482" s="4">
        <v>46</v>
      </c>
      <c r="AN1482" s="4">
        <v>0</v>
      </c>
      <c r="AO1482" s="4">
        <v>58</v>
      </c>
      <c r="AP1482" s="4">
        <v>43</v>
      </c>
      <c r="AQ1482" s="4">
        <v>29</v>
      </c>
      <c r="AR1482" s="4">
        <v>34</v>
      </c>
      <c r="AS1482" s="59">
        <v>0</v>
      </c>
      <c r="AT1482" s="3">
        <v>1</v>
      </c>
      <c r="AU1482" s="3">
        <v>6</v>
      </c>
      <c r="AV1482" s="49">
        <v>82.440476190476204</v>
      </c>
      <c r="AW1482" s="49">
        <v>14.285714285714299</v>
      </c>
      <c r="AX1482" s="49">
        <v>2.9761904761904798</v>
      </c>
      <c r="AY1482" s="67">
        <v>0.297619047619048</v>
      </c>
      <c r="AZ1482" s="63">
        <v>6.5656565656565705E-2</v>
      </c>
      <c r="BA1482" s="63">
        <v>2.86195286195286E-2</v>
      </c>
      <c r="BB1482" s="79">
        <v>92.9</v>
      </c>
      <c r="BC1482" s="79"/>
      <c r="BD1482" s="79"/>
      <c r="BE1482" s="79"/>
      <c r="BF1482" s="79"/>
      <c r="BG1482" s="79"/>
      <c r="BH1482" s="79"/>
      <c r="BI1482" s="79"/>
      <c r="BJ1482" s="3">
        <v>17.2</v>
      </c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29" t="s">
        <v>316</v>
      </c>
      <c r="CJ1482" s="18" t="s">
        <v>548</v>
      </c>
      <c r="CK1482" s="30"/>
    </row>
    <row r="1483" spans="1:89" x14ac:dyDescent="0.25">
      <c r="A1483" s="18" t="s">
        <v>548</v>
      </c>
      <c r="B1483" s="29" t="s">
        <v>315</v>
      </c>
      <c r="C1483" s="29" t="s">
        <v>317</v>
      </c>
      <c r="D1483" s="6">
        <v>0</v>
      </c>
      <c r="E1483" s="6">
        <v>0</v>
      </c>
      <c r="F1483" s="6">
        <v>0</v>
      </c>
      <c r="N1483" s="115">
        <v>0</v>
      </c>
      <c r="O1483" s="115">
        <v>0</v>
      </c>
      <c r="P1483" s="115">
        <v>0</v>
      </c>
      <c r="Q1483" s="115">
        <v>0</v>
      </c>
      <c r="R1483" s="116" t="s">
        <v>83</v>
      </c>
      <c r="S1483" s="115">
        <v>0</v>
      </c>
      <c r="T1483" s="115">
        <v>0</v>
      </c>
      <c r="U1483" s="115">
        <v>0</v>
      </c>
      <c r="V1483" s="115">
        <v>0</v>
      </c>
      <c r="W1483" s="6">
        <v>292</v>
      </c>
      <c r="X1483" s="40">
        <f t="shared" si="102"/>
        <v>101</v>
      </c>
      <c r="Y1483" s="40">
        <f t="shared" si="103"/>
        <v>148</v>
      </c>
      <c r="Z1483" s="59">
        <v>0.4178082191780822</v>
      </c>
      <c r="AA1483" s="59">
        <v>0.5821917808219178</v>
      </c>
      <c r="AB1483" s="61">
        <v>0.66095890410958902</v>
      </c>
      <c r="AC1483" s="61">
        <v>0</v>
      </c>
      <c r="AD1483" s="61">
        <v>0</v>
      </c>
      <c r="AE1483" s="61">
        <v>0</v>
      </c>
      <c r="AF1483" s="61">
        <v>0</v>
      </c>
      <c r="AG1483" s="61">
        <v>0.17808219178082191</v>
      </c>
      <c r="AH1483" s="61">
        <v>0.16095890410958905</v>
      </c>
      <c r="AI1483" s="61">
        <v>0.82191780821917804</v>
      </c>
      <c r="AJ1483" s="59">
        <v>0.85273972602739723</v>
      </c>
      <c r="AK1483" s="59">
        <v>0</v>
      </c>
      <c r="AL1483" s="4">
        <v>22</v>
      </c>
      <c r="AM1483" s="4">
        <v>25</v>
      </c>
      <c r="AN1483" s="4">
        <v>0</v>
      </c>
      <c r="AO1483" s="4">
        <v>23</v>
      </c>
      <c r="AP1483" s="4">
        <v>27</v>
      </c>
      <c r="AQ1483" s="4">
        <v>28</v>
      </c>
      <c r="AR1483" s="4">
        <v>23</v>
      </c>
      <c r="AS1483" s="59">
        <v>0</v>
      </c>
      <c r="AT1483" s="3">
        <v>1</v>
      </c>
      <c r="AU1483" s="3">
        <v>6</v>
      </c>
      <c r="AV1483" s="49">
        <v>68.548387096774206</v>
      </c>
      <c r="AW1483" s="49">
        <v>26.612903225806502</v>
      </c>
      <c r="AX1483" s="49">
        <v>4.8387096774193497</v>
      </c>
      <c r="AY1483" s="67">
        <v>0</v>
      </c>
      <c r="AZ1483" s="63">
        <v>4.1800643086816698E-2</v>
      </c>
      <c r="BA1483" s="63">
        <v>2.57234726688103E-2</v>
      </c>
      <c r="BB1483" s="80">
        <v>94</v>
      </c>
      <c r="BC1483" s="80"/>
      <c r="BD1483" s="80"/>
      <c r="BE1483" s="80"/>
      <c r="BF1483" s="80"/>
      <c r="BG1483" s="80"/>
      <c r="BH1483" s="80"/>
      <c r="BI1483" s="80"/>
      <c r="BJ1483" s="3">
        <v>16.100000000000001</v>
      </c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29" t="s">
        <v>317</v>
      </c>
      <c r="CJ1483" s="18" t="s">
        <v>548</v>
      </c>
      <c r="CK1483" s="30"/>
    </row>
    <row r="1484" spans="1:89" x14ac:dyDescent="0.25">
      <c r="A1484" s="18" t="s">
        <v>548</v>
      </c>
      <c r="B1484" s="29" t="s">
        <v>315</v>
      </c>
      <c r="C1484" s="29" t="s">
        <v>318</v>
      </c>
      <c r="D1484" s="6">
        <v>0</v>
      </c>
      <c r="E1484" s="6">
        <v>0</v>
      </c>
      <c r="F1484" s="6">
        <v>0</v>
      </c>
      <c r="N1484" s="115">
        <v>0</v>
      </c>
      <c r="O1484" s="115">
        <v>0</v>
      </c>
      <c r="P1484" s="115">
        <v>0</v>
      </c>
      <c r="Q1484" s="115">
        <v>0</v>
      </c>
      <c r="R1484" s="115">
        <v>0</v>
      </c>
      <c r="S1484" s="115">
        <v>0</v>
      </c>
      <c r="T1484" s="115">
        <v>0</v>
      </c>
      <c r="U1484" s="115">
        <v>0</v>
      </c>
      <c r="V1484" s="115">
        <v>0</v>
      </c>
      <c r="W1484" s="6">
        <v>553</v>
      </c>
      <c r="X1484" s="40">
        <f t="shared" si="102"/>
        <v>148</v>
      </c>
      <c r="Y1484" s="40">
        <f t="shared" si="103"/>
        <v>232</v>
      </c>
      <c r="Z1484" s="59">
        <v>0.51717902350813738</v>
      </c>
      <c r="AA1484" s="59">
        <v>0.48282097649186256</v>
      </c>
      <c r="AB1484" s="61">
        <v>5.7866184448462928E-2</v>
      </c>
      <c r="AC1484" s="61">
        <v>1.8083182640144665E-3</v>
      </c>
      <c r="AD1484" s="61">
        <v>0.11934900542495479</v>
      </c>
      <c r="AE1484" s="61">
        <v>3.7974683544303799E-2</v>
      </c>
      <c r="AF1484" s="61">
        <v>0</v>
      </c>
      <c r="AG1484" s="61">
        <v>0.75768535262206149</v>
      </c>
      <c r="AH1484" s="61">
        <v>2.5316455696202531E-2</v>
      </c>
      <c r="AI1484" s="61">
        <v>0.24231464737793851</v>
      </c>
      <c r="AJ1484" s="59">
        <v>0.67992766726943943</v>
      </c>
      <c r="AK1484" s="59">
        <v>9.0415913200723331E-3</v>
      </c>
      <c r="AL1484" s="4">
        <v>39</v>
      </c>
      <c r="AM1484" s="4">
        <v>45</v>
      </c>
      <c r="AN1484" s="4">
        <v>6</v>
      </c>
      <c r="AO1484" s="4">
        <v>41</v>
      </c>
      <c r="AP1484" s="4">
        <v>34</v>
      </c>
      <c r="AQ1484" s="4">
        <v>31</v>
      </c>
      <c r="AR1484" s="4">
        <v>36</v>
      </c>
      <c r="AS1484" s="59">
        <v>0.1276595744680851</v>
      </c>
      <c r="AT1484" s="3">
        <v>1</v>
      </c>
      <c r="AU1484" s="3">
        <v>6</v>
      </c>
      <c r="AV1484" s="49">
        <v>77.865612648221301</v>
      </c>
      <c r="AW1484" s="49">
        <v>20.553359683794501</v>
      </c>
      <c r="AX1484" s="49">
        <v>0.79051383399209496</v>
      </c>
      <c r="AY1484" s="67">
        <v>0.79051383399209496</v>
      </c>
      <c r="AZ1484" s="63">
        <v>4.01396160558464E-2</v>
      </c>
      <c r="BA1484" s="63">
        <v>7.1553228621291404E-2</v>
      </c>
      <c r="BB1484" s="79">
        <v>92.6</v>
      </c>
      <c r="BC1484" s="79"/>
      <c r="BD1484" s="79"/>
      <c r="BE1484" s="79"/>
      <c r="BF1484" s="79"/>
      <c r="BG1484" s="79"/>
      <c r="BH1484" s="79"/>
      <c r="BI1484" s="79"/>
      <c r="BJ1484" s="3">
        <v>18.3</v>
      </c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29" t="s">
        <v>318</v>
      </c>
      <c r="CJ1484" s="18" t="s">
        <v>548</v>
      </c>
      <c r="CK1484" s="30"/>
    </row>
    <row r="1485" spans="1:89" x14ac:dyDescent="0.25">
      <c r="A1485" s="18" t="s">
        <v>548</v>
      </c>
      <c r="B1485" s="29" t="s">
        <v>315</v>
      </c>
      <c r="C1485" s="29" t="s">
        <v>319</v>
      </c>
      <c r="D1485" s="6">
        <v>2</v>
      </c>
      <c r="E1485" s="40" t="s">
        <v>83</v>
      </c>
      <c r="F1485" s="6">
        <v>2</v>
      </c>
      <c r="N1485" s="115">
        <v>5.3475935828877002E-3</v>
      </c>
      <c r="O1485" s="115">
        <v>5.3475935828877002E-3</v>
      </c>
      <c r="P1485" s="116" t="s">
        <v>83</v>
      </c>
      <c r="Q1485" s="116" t="s">
        <v>83</v>
      </c>
      <c r="R1485" s="116" t="s">
        <v>83</v>
      </c>
      <c r="S1485" s="115">
        <v>9.0909090909090905E-3</v>
      </c>
      <c r="T1485" s="115">
        <v>9.7087378640776708E-3</v>
      </c>
      <c r="U1485" s="115">
        <v>0</v>
      </c>
      <c r="V1485" s="115">
        <v>0</v>
      </c>
      <c r="W1485" s="6">
        <v>350</v>
      </c>
      <c r="X1485" s="40">
        <f t="shared" si="102"/>
        <v>350</v>
      </c>
      <c r="Y1485" s="40">
        <f t="shared" si="103"/>
        <v>350</v>
      </c>
      <c r="Z1485" s="59">
        <v>0.48</v>
      </c>
      <c r="AA1485" s="59">
        <v>0.52</v>
      </c>
      <c r="AB1485" s="61">
        <v>5.1428571428571428E-2</v>
      </c>
      <c r="AC1485" s="61">
        <v>5.7142857142857143E-3</v>
      </c>
      <c r="AD1485" s="61">
        <v>0.39714285714285713</v>
      </c>
      <c r="AE1485" s="61">
        <v>0.04</v>
      </c>
      <c r="AF1485" s="61">
        <v>0</v>
      </c>
      <c r="AG1485" s="61">
        <v>0.45714285714285713</v>
      </c>
      <c r="AH1485" s="61">
        <v>4.8571428571428571E-2</v>
      </c>
      <c r="AI1485" s="61">
        <v>0.54285714285714282</v>
      </c>
      <c r="AJ1485" s="59">
        <v>0.7142857142857143</v>
      </c>
      <c r="AK1485" s="59">
        <v>1.7142857142857144E-2</v>
      </c>
      <c r="AL1485" s="4">
        <v>0</v>
      </c>
      <c r="AM1485" s="4">
        <v>0</v>
      </c>
      <c r="AN1485" s="4">
        <v>0</v>
      </c>
      <c r="AO1485" s="4">
        <v>98</v>
      </c>
      <c r="AP1485" s="4">
        <v>95</v>
      </c>
      <c r="AQ1485" s="4">
        <v>66</v>
      </c>
      <c r="AR1485" s="4">
        <v>91</v>
      </c>
      <c r="AS1485" s="59">
        <v>0</v>
      </c>
      <c r="AT1485" s="3">
        <v>9</v>
      </c>
      <c r="AU1485" s="3">
        <v>6</v>
      </c>
      <c r="AV1485" s="49">
        <v>84.883720930232599</v>
      </c>
      <c r="AW1485" s="49">
        <v>12.790697674418599</v>
      </c>
      <c r="AX1485" s="49">
        <v>1.16279069767442</v>
      </c>
      <c r="AY1485" s="67">
        <v>1.16279069767442</v>
      </c>
      <c r="AZ1485" s="63">
        <v>0</v>
      </c>
      <c r="BA1485" s="63">
        <v>6.4171122994652399E-2</v>
      </c>
      <c r="BB1485" s="80">
        <v>95.9</v>
      </c>
      <c r="BC1485" s="80"/>
      <c r="BD1485" s="80"/>
      <c r="BE1485" s="80"/>
      <c r="BF1485" s="80"/>
      <c r="BG1485" s="80"/>
      <c r="BH1485" s="80"/>
      <c r="BI1485" s="80"/>
      <c r="BJ1485" s="3">
        <v>18.2</v>
      </c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29" t="s">
        <v>319</v>
      </c>
      <c r="CJ1485" s="18" t="s">
        <v>548</v>
      </c>
      <c r="CK1485" s="30"/>
    </row>
    <row r="1486" spans="1:89" x14ac:dyDescent="0.25">
      <c r="A1486" s="18" t="s">
        <v>548</v>
      </c>
      <c r="B1486" s="29" t="s">
        <v>315</v>
      </c>
      <c r="C1486" s="29" t="s">
        <v>320</v>
      </c>
      <c r="D1486" s="6">
        <v>1</v>
      </c>
      <c r="E1486" s="6">
        <v>0</v>
      </c>
      <c r="F1486" s="6">
        <v>1</v>
      </c>
      <c r="N1486" s="115">
        <v>4.2372881355932203E-3</v>
      </c>
      <c r="O1486" s="115">
        <v>7.09219858156028E-3</v>
      </c>
      <c r="P1486" s="115">
        <v>0</v>
      </c>
      <c r="Q1486" s="115">
        <v>0</v>
      </c>
      <c r="R1486" s="116" t="s">
        <v>83</v>
      </c>
      <c r="S1486" s="115">
        <v>0</v>
      </c>
      <c r="T1486" s="115">
        <v>0</v>
      </c>
      <c r="U1486" s="115">
        <v>0</v>
      </c>
      <c r="V1486" s="115">
        <v>2.6315789473684199E-2</v>
      </c>
      <c r="W1486" s="6">
        <v>516</v>
      </c>
      <c r="X1486" s="40">
        <f t="shared" si="102"/>
        <v>135</v>
      </c>
      <c r="Y1486" s="40">
        <f t="shared" si="103"/>
        <v>222</v>
      </c>
      <c r="Z1486" s="59">
        <v>0.46511627906976744</v>
      </c>
      <c r="AA1486" s="59">
        <v>0.53488372093023251</v>
      </c>
      <c r="AB1486" s="61">
        <v>5.8139534883720929E-2</v>
      </c>
      <c r="AC1486" s="61">
        <v>1.937984496124031E-3</v>
      </c>
      <c r="AD1486" s="61">
        <v>7.3643410852713184E-2</v>
      </c>
      <c r="AE1486" s="61">
        <v>2.9069767441860465E-2</v>
      </c>
      <c r="AF1486" s="61">
        <v>0</v>
      </c>
      <c r="AG1486" s="61">
        <v>0.79844961240310075</v>
      </c>
      <c r="AH1486" s="61">
        <v>3.875968992248062E-2</v>
      </c>
      <c r="AI1486" s="61">
        <v>0.20155038759689922</v>
      </c>
      <c r="AJ1486" s="59">
        <v>0.6531007751937985</v>
      </c>
      <c r="AK1486" s="59">
        <v>1.937984496124031E-3</v>
      </c>
      <c r="AL1486" s="4">
        <v>43</v>
      </c>
      <c r="AM1486" s="4">
        <v>44</v>
      </c>
      <c r="AN1486" s="4">
        <v>0</v>
      </c>
      <c r="AO1486" s="4">
        <v>44</v>
      </c>
      <c r="AP1486" s="4">
        <v>23</v>
      </c>
      <c r="AQ1486" s="4">
        <v>32</v>
      </c>
      <c r="AR1486" s="4">
        <v>36</v>
      </c>
      <c r="AS1486" s="59">
        <v>0</v>
      </c>
      <c r="AT1486" s="3">
        <v>1</v>
      </c>
      <c r="AU1486" s="3">
        <v>6</v>
      </c>
      <c r="AV1486" s="49">
        <v>85.283018867924497</v>
      </c>
      <c r="AW1486" s="49">
        <v>12.452830188679199</v>
      </c>
      <c r="AX1486" s="49">
        <v>0.75471698113207497</v>
      </c>
      <c r="AY1486" s="67">
        <v>1.5094339622641499</v>
      </c>
      <c r="AZ1486" s="63">
        <v>1.6071428571428601E-2</v>
      </c>
      <c r="BA1486" s="63">
        <v>7.4999999999999997E-2</v>
      </c>
      <c r="BB1486" s="79">
        <v>94.1</v>
      </c>
      <c r="BC1486" s="79"/>
      <c r="BD1486" s="79"/>
      <c r="BE1486" s="79"/>
      <c r="BF1486" s="79"/>
      <c r="BG1486" s="79"/>
      <c r="BH1486" s="79"/>
      <c r="BI1486" s="79"/>
      <c r="BJ1486" s="3">
        <v>19.3</v>
      </c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29" t="s">
        <v>320</v>
      </c>
      <c r="CJ1486" s="18" t="s">
        <v>548</v>
      </c>
      <c r="CK1486" s="30"/>
    </row>
    <row r="1487" spans="1:89" x14ac:dyDescent="0.25">
      <c r="A1487" s="18" t="s">
        <v>548</v>
      </c>
      <c r="B1487" s="29" t="s">
        <v>315</v>
      </c>
      <c r="C1487" s="29" t="s">
        <v>321</v>
      </c>
      <c r="D1487" s="6">
        <v>0</v>
      </c>
      <c r="E1487" s="6">
        <v>0</v>
      </c>
      <c r="F1487" s="6">
        <v>0</v>
      </c>
      <c r="N1487" s="115">
        <v>0</v>
      </c>
      <c r="O1487" s="115">
        <v>0</v>
      </c>
      <c r="P1487" s="115">
        <v>0</v>
      </c>
      <c r="Q1487" s="115">
        <v>0</v>
      </c>
      <c r="R1487" s="116" t="s">
        <v>83</v>
      </c>
      <c r="S1487" s="115">
        <v>0</v>
      </c>
      <c r="T1487" s="115">
        <v>0</v>
      </c>
      <c r="U1487" s="115">
        <v>0</v>
      </c>
      <c r="V1487" s="115">
        <v>0</v>
      </c>
      <c r="W1487" s="6">
        <v>314</v>
      </c>
      <c r="X1487" s="40">
        <f t="shared" si="102"/>
        <v>97</v>
      </c>
      <c r="Y1487" s="40">
        <f t="shared" si="103"/>
        <v>144</v>
      </c>
      <c r="Z1487" s="59">
        <v>0.43949044585987262</v>
      </c>
      <c r="AA1487" s="59">
        <v>0.56050955414012738</v>
      </c>
      <c r="AB1487" s="61">
        <v>2.8662420382165606E-2</v>
      </c>
      <c r="AC1487" s="61">
        <v>3.1847133757961785E-3</v>
      </c>
      <c r="AD1487" s="61">
        <v>0.35350318471337577</v>
      </c>
      <c r="AE1487" s="61">
        <v>2.8662420382165606E-2</v>
      </c>
      <c r="AF1487" s="61">
        <v>0</v>
      </c>
      <c r="AG1487" s="61">
        <v>0.54777070063694266</v>
      </c>
      <c r="AH1487" s="61">
        <v>3.8216560509554139E-2</v>
      </c>
      <c r="AI1487" s="61">
        <v>0.45222929936305734</v>
      </c>
      <c r="AJ1487" s="59">
        <v>0.79299363057324845</v>
      </c>
      <c r="AK1487" s="59">
        <v>0</v>
      </c>
      <c r="AL1487" s="4">
        <v>21</v>
      </c>
      <c r="AM1487" s="4">
        <v>26</v>
      </c>
      <c r="AN1487" s="4">
        <v>0</v>
      </c>
      <c r="AO1487" s="4">
        <v>32</v>
      </c>
      <c r="AP1487" s="4">
        <v>24</v>
      </c>
      <c r="AQ1487" s="4">
        <v>26</v>
      </c>
      <c r="AR1487" s="4">
        <v>15</v>
      </c>
      <c r="AS1487" s="59">
        <v>0</v>
      </c>
      <c r="AT1487" s="3">
        <v>1</v>
      </c>
      <c r="AU1487" s="3">
        <v>6</v>
      </c>
      <c r="AV1487" s="49">
        <v>77.018633540372704</v>
      </c>
      <c r="AW1487" s="49">
        <v>22.360248447204999</v>
      </c>
      <c r="AX1487" s="49">
        <v>0.62111801242236009</v>
      </c>
      <c r="AY1487" s="67">
        <v>0</v>
      </c>
      <c r="AZ1487" s="63">
        <v>6.9767441860465101E-2</v>
      </c>
      <c r="BA1487" s="63">
        <v>6.9767441860465101E-2</v>
      </c>
      <c r="BB1487" s="80">
        <v>92.6</v>
      </c>
      <c r="BC1487" s="80"/>
      <c r="BD1487" s="80"/>
      <c r="BE1487" s="80"/>
      <c r="BF1487" s="80"/>
      <c r="BG1487" s="80"/>
      <c r="BH1487" s="80"/>
      <c r="BI1487" s="80"/>
      <c r="BJ1487" s="3">
        <v>14.9</v>
      </c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29" t="s">
        <v>321</v>
      </c>
      <c r="CJ1487" s="18" t="s">
        <v>548</v>
      </c>
      <c r="CK1487" s="30"/>
    </row>
    <row r="1488" spans="1:89" x14ac:dyDescent="0.25">
      <c r="A1488" s="18" t="s">
        <v>548</v>
      </c>
      <c r="B1488" s="29" t="s">
        <v>315</v>
      </c>
      <c r="C1488" s="29" t="s">
        <v>322</v>
      </c>
      <c r="D1488" s="6">
        <v>0</v>
      </c>
      <c r="E1488" s="6">
        <v>0</v>
      </c>
      <c r="F1488" s="6">
        <v>0</v>
      </c>
      <c r="N1488" s="115">
        <v>0</v>
      </c>
      <c r="O1488" s="115">
        <v>0</v>
      </c>
      <c r="P1488" s="115">
        <v>0</v>
      </c>
      <c r="Q1488" s="115">
        <v>0</v>
      </c>
      <c r="R1488" s="116" t="s">
        <v>83</v>
      </c>
      <c r="S1488" s="115">
        <v>0</v>
      </c>
      <c r="T1488" s="115">
        <v>0</v>
      </c>
      <c r="U1488" s="115">
        <v>0</v>
      </c>
      <c r="V1488" s="115">
        <v>0</v>
      </c>
      <c r="W1488" s="6">
        <v>321</v>
      </c>
      <c r="X1488" s="40">
        <f t="shared" si="102"/>
        <v>197</v>
      </c>
      <c r="Y1488" s="40">
        <f t="shared" si="103"/>
        <v>321</v>
      </c>
      <c r="Z1488" s="59">
        <v>0.48909657320872274</v>
      </c>
      <c r="AA1488" s="59">
        <v>0.5109034267912772</v>
      </c>
      <c r="AB1488" s="61">
        <v>0.32398753894080995</v>
      </c>
      <c r="AC1488" s="61">
        <v>0</v>
      </c>
      <c r="AD1488" s="61">
        <v>0.31464174454828658</v>
      </c>
      <c r="AE1488" s="61">
        <v>3.1152647975077882E-2</v>
      </c>
      <c r="AF1488" s="61">
        <v>0</v>
      </c>
      <c r="AG1488" s="61">
        <v>0.1557632398753894</v>
      </c>
      <c r="AH1488" s="61">
        <v>0.17445482866043613</v>
      </c>
      <c r="AI1488" s="61">
        <v>0.84423676012461057</v>
      </c>
      <c r="AJ1488" s="59">
        <v>0.85358255451713394</v>
      </c>
      <c r="AK1488" s="59">
        <v>3.1152647975077881E-3</v>
      </c>
      <c r="AL1488" s="4">
        <v>57</v>
      </c>
      <c r="AM1488" s="4">
        <v>67</v>
      </c>
      <c r="AN1488" s="4">
        <v>0</v>
      </c>
      <c r="AO1488" s="4">
        <v>65</v>
      </c>
      <c r="AP1488" s="4">
        <v>52</v>
      </c>
      <c r="AQ1488" s="4">
        <v>47</v>
      </c>
      <c r="AR1488" s="4">
        <v>33</v>
      </c>
      <c r="AS1488" s="59">
        <v>0</v>
      </c>
      <c r="AT1488" s="3">
        <v>7</v>
      </c>
      <c r="AU1488" s="3">
        <v>6</v>
      </c>
      <c r="AV1488" s="49">
        <v>85.167464114832498</v>
      </c>
      <c r="AW1488" s="49">
        <v>13.8755980861244</v>
      </c>
      <c r="AX1488" s="49">
        <v>0.95693779904306198</v>
      </c>
      <c r="AY1488" s="67">
        <v>0</v>
      </c>
      <c r="AZ1488" s="63">
        <v>5.3097345132743397E-2</v>
      </c>
      <c r="BA1488" s="63">
        <v>0.15339233038348099</v>
      </c>
      <c r="BB1488" s="79">
        <v>93.3</v>
      </c>
      <c r="BC1488" s="79"/>
      <c r="BD1488" s="79"/>
      <c r="BE1488" s="79"/>
      <c r="BF1488" s="79"/>
      <c r="BG1488" s="79"/>
      <c r="BH1488" s="79"/>
      <c r="BI1488" s="79"/>
      <c r="BJ1488" s="3">
        <v>18.2</v>
      </c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29" t="s">
        <v>322</v>
      </c>
      <c r="CJ1488" s="18" t="s">
        <v>548</v>
      </c>
      <c r="CK1488" s="30"/>
    </row>
    <row r="1489" spans="1:89" x14ac:dyDescent="0.25">
      <c r="A1489" s="18" t="s">
        <v>548</v>
      </c>
      <c r="B1489" s="29" t="s">
        <v>323</v>
      </c>
      <c r="C1489" s="29" t="s">
        <v>324</v>
      </c>
      <c r="D1489" s="6">
        <v>16</v>
      </c>
      <c r="E1489" s="40" t="s">
        <v>83</v>
      </c>
      <c r="F1489" s="6">
        <v>16</v>
      </c>
      <c r="N1489" s="115">
        <v>7.6812289966394602E-3</v>
      </c>
      <c r="O1489" s="115">
        <v>7.6812289966394602E-3</v>
      </c>
      <c r="P1489" s="116" t="s">
        <v>83</v>
      </c>
      <c r="Q1489" s="116" t="s">
        <v>83</v>
      </c>
      <c r="R1489" s="115">
        <v>0</v>
      </c>
      <c r="S1489" s="115">
        <v>0</v>
      </c>
      <c r="T1489" s="115">
        <v>1.9047619047619E-3</v>
      </c>
      <c r="U1489" s="115">
        <v>1.91570881226054E-3</v>
      </c>
      <c r="V1489" s="115">
        <v>3.5087719298245598E-2</v>
      </c>
      <c r="W1489" s="6">
        <v>1964</v>
      </c>
      <c r="X1489" s="40">
        <f t="shared" si="102"/>
        <v>1964</v>
      </c>
      <c r="Y1489" s="40">
        <f t="shared" si="103"/>
        <v>1964</v>
      </c>
      <c r="Z1489" s="59">
        <v>0.50712830957230137</v>
      </c>
      <c r="AA1489" s="59">
        <v>0.49287169042769857</v>
      </c>
      <c r="AB1489" s="61">
        <v>6.1099796334012219E-3</v>
      </c>
      <c r="AC1489" s="61">
        <v>3.3095723014256617E-2</v>
      </c>
      <c r="AD1489" s="61">
        <v>0.31262729124236255</v>
      </c>
      <c r="AE1489" s="61">
        <v>0.13034623217922606</v>
      </c>
      <c r="AF1489" s="61">
        <v>1.0183299389002036E-3</v>
      </c>
      <c r="AG1489" s="61">
        <v>0.48828920570264767</v>
      </c>
      <c r="AH1489" s="61">
        <v>2.8513238289205704E-2</v>
      </c>
      <c r="AI1489" s="61">
        <v>0.51171079429735233</v>
      </c>
      <c r="AJ1489" s="59">
        <v>0.78105906313645623</v>
      </c>
      <c r="AK1489" s="59">
        <v>4.3788187372708759E-2</v>
      </c>
      <c r="AL1489" s="4">
        <v>0</v>
      </c>
      <c r="AM1489" s="4">
        <v>0</v>
      </c>
      <c r="AN1489" s="4">
        <v>50</v>
      </c>
      <c r="AO1489" s="4">
        <v>542</v>
      </c>
      <c r="AP1489" s="4">
        <v>495</v>
      </c>
      <c r="AQ1489" s="4">
        <v>500</v>
      </c>
      <c r="AR1489" s="4">
        <v>377</v>
      </c>
      <c r="AS1489" s="59">
        <v>8.4459459459459457E-2</v>
      </c>
      <c r="AT1489" s="3">
        <v>9</v>
      </c>
      <c r="AU1489" s="3">
        <v>6</v>
      </c>
      <c r="AV1489" s="49">
        <v>39.943741209563996</v>
      </c>
      <c r="AW1489" s="49">
        <v>35.724331926863599</v>
      </c>
      <c r="AX1489" s="49">
        <v>23.628691983122398</v>
      </c>
      <c r="AY1489" s="67">
        <v>0.70323488045006999</v>
      </c>
      <c r="AZ1489" s="63">
        <v>0.16152362584377999</v>
      </c>
      <c r="BA1489" s="63">
        <v>9.2092574734811999E-2</v>
      </c>
      <c r="BB1489" s="80">
        <v>92.5</v>
      </c>
      <c r="BC1489" s="80"/>
      <c r="BD1489" s="80"/>
      <c r="BE1489" s="80"/>
      <c r="BF1489" s="80"/>
      <c r="BG1489" s="80"/>
      <c r="BH1489" s="80"/>
      <c r="BI1489" s="80"/>
      <c r="BJ1489" s="3">
        <v>19.100000000000001</v>
      </c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29" t="s">
        <v>324</v>
      </c>
      <c r="CJ1489" s="18" t="s">
        <v>548</v>
      </c>
      <c r="CK1489" s="30"/>
    </row>
    <row r="1490" spans="1:89" x14ac:dyDescent="0.25">
      <c r="A1490" s="18" t="s">
        <v>548</v>
      </c>
      <c r="B1490" s="29" t="s">
        <v>325</v>
      </c>
      <c r="C1490" s="29" t="s">
        <v>326</v>
      </c>
      <c r="D1490" s="6">
        <v>26</v>
      </c>
      <c r="E1490" s="40" t="s">
        <v>83</v>
      </c>
      <c r="F1490" s="6">
        <v>26</v>
      </c>
      <c r="N1490" s="115">
        <v>1.81437543614794E-2</v>
      </c>
      <c r="O1490" s="115">
        <v>1.81437543614794E-2</v>
      </c>
      <c r="P1490" s="116" t="s">
        <v>83</v>
      </c>
      <c r="Q1490" s="116" t="s">
        <v>83</v>
      </c>
      <c r="R1490" s="115">
        <v>0</v>
      </c>
      <c r="S1490" s="115">
        <v>2.7777777777777801E-3</v>
      </c>
      <c r="T1490" s="115">
        <v>2.3529411764705899E-2</v>
      </c>
      <c r="U1490" s="115">
        <v>2.23642172523962E-2</v>
      </c>
      <c r="V1490" s="115">
        <v>2.5641025641025599E-2</v>
      </c>
      <c r="W1490" s="6">
        <v>1374</v>
      </c>
      <c r="X1490" s="40">
        <f t="shared" si="102"/>
        <v>1374</v>
      </c>
      <c r="Y1490" s="40">
        <f t="shared" si="103"/>
        <v>1374</v>
      </c>
      <c r="Z1490" s="59">
        <v>0.50873362445414849</v>
      </c>
      <c r="AA1490" s="59">
        <v>0.49126637554585151</v>
      </c>
      <c r="AB1490" s="61">
        <v>2.911208151382824E-3</v>
      </c>
      <c r="AC1490" s="61">
        <v>1.6739446870451237E-2</v>
      </c>
      <c r="AD1490" s="61">
        <v>0.32605531295487628</v>
      </c>
      <c r="AE1490" s="61">
        <v>0.10043668122270742</v>
      </c>
      <c r="AF1490" s="61">
        <v>0</v>
      </c>
      <c r="AG1490" s="61">
        <v>0.52037845705967978</v>
      </c>
      <c r="AH1490" s="61">
        <v>3.3478893740902474E-2</v>
      </c>
      <c r="AI1490" s="61">
        <v>0.47962154294032022</v>
      </c>
      <c r="AJ1490" s="59">
        <v>0.54803493449781659</v>
      </c>
      <c r="AK1490" s="59">
        <v>1.6739446870451237E-2</v>
      </c>
      <c r="AL1490" s="4">
        <v>0</v>
      </c>
      <c r="AM1490" s="4">
        <v>0</v>
      </c>
      <c r="AN1490" s="4">
        <v>28</v>
      </c>
      <c r="AO1490" s="4">
        <v>352</v>
      </c>
      <c r="AP1490" s="4">
        <v>326</v>
      </c>
      <c r="AQ1490" s="4">
        <v>297</v>
      </c>
      <c r="AR1490" s="4">
        <v>371</v>
      </c>
      <c r="AS1490" s="59">
        <v>7.3684210526315783E-2</v>
      </c>
      <c r="AT1490" s="3">
        <v>9</v>
      </c>
      <c r="AU1490" s="3">
        <v>6</v>
      </c>
      <c r="AV1490" s="49">
        <v>58.941344778254603</v>
      </c>
      <c r="AW1490" s="49">
        <v>20.028612303290398</v>
      </c>
      <c r="AX1490" s="49">
        <v>20.743919885550799</v>
      </c>
      <c r="AY1490" s="67">
        <v>0.28612303290414898</v>
      </c>
      <c r="AZ1490" s="63">
        <v>0.13623595505618</v>
      </c>
      <c r="BA1490" s="63">
        <v>9.8314606741572996E-3</v>
      </c>
      <c r="BB1490" s="80">
        <v>96.2</v>
      </c>
      <c r="BC1490" s="80"/>
      <c r="BD1490" s="80"/>
      <c r="BE1490" s="80"/>
      <c r="BF1490" s="80"/>
      <c r="BG1490" s="80"/>
      <c r="BH1490" s="80"/>
      <c r="BI1490" s="80"/>
      <c r="BJ1490" s="3">
        <v>20.3</v>
      </c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29" t="s">
        <v>326</v>
      </c>
      <c r="CJ1490" s="18" t="s">
        <v>548</v>
      </c>
      <c r="CK1490" s="30"/>
    </row>
    <row r="1491" spans="1:89" x14ac:dyDescent="0.25">
      <c r="A1491" s="18" t="s">
        <v>548</v>
      </c>
      <c r="B1491" s="29" t="s">
        <v>325</v>
      </c>
      <c r="C1491" s="29" t="s">
        <v>327</v>
      </c>
      <c r="D1491" s="6">
        <v>33</v>
      </c>
      <c r="E1491" s="40" t="s">
        <v>83</v>
      </c>
      <c r="F1491" s="6">
        <v>33</v>
      </c>
      <c r="N1491" s="115">
        <v>2.1667760998030201E-2</v>
      </c>
      <c r="O1491" s="115">
        <v>2.1667760998030201E-2</v>
      </c>
      <c r="P1491" s="116" t="s">
        <v>83</v>
      </c>
      <c r="Q1491" s="116" t="s">
        <v>83</v>
      </c>
      <c r="R1491" s="115">
        <v>4.1666666666666699E-2</v>
      </c>
      <c r="S1491" s="115">
        <v>1.5659955257270701E-2</v>
      </c>
      <c r="T1491" s="115">
        <v>1.1494252873563199E-2</v>
      </c>
      <c r="U1491" s="115">
        <v>4.1420118343195297E-2</v>
      </c>
      <c r="V1491" s="115">
        <v>1.91256830601093E-2</v>
      </c>
      <c r="W1491" s="6">
        <v>1469</v>
      </c>
      <c r="X1491" s="40">
        <f t="shared" si="102"/>
        <v>1469</v>
      </c>
      <c r="Y1491" s="40">
        <f t="shared" si="103"/>
        <v>1469</v>
      </c>
      <c r="Z1491" s="59">
        <v>0.50238257317903334</v>
      </c>
      <c r="AA1491" s="59">
        <v>0.49761742682096666</v>
      </c>
      <c r="AB1491" s="61">
        <v>5.445881552076242E-3</v>
      </c>
      <c r="AC1491" s="61">
        <v>8.8495575221238937E-3</v>
      </c>
      <c r="AD1491" s="61">
        <v>0.30769230769230771</v>
      </c>
      <c r="AE1491" s="61">
        <v>5.3097345132743362E-2</v>
      </c>
      <c r="AF1491" s="61">
        <v>1.3614703880190605E-3</v>
      </c>
      <c r="AG1491" s="61">
        <v>0.59360108917631038</v>
      </c>
      <c r="AH1491" s="61">
        <v>2.9952348536419333E-2</v>
      </c>
      <c r="AI1491" s="61">
        <v>0.40639891082368956</v>
      </c>
      <c r="AJ1491" s="59">
        <v>0.50102110279101431</v>
      </c>
      <c r="AK1491" s="59">
        <v>7.4880871341048332E-3</v>
      </c>
      <c r="AL1491" s="4">
        <v>0</v>
      </c>
      <c r="AM1491" s="4">
        <v>0</v>
      </c>
      <c r="AN1491" s="4">
        <v>23</v>
      </c>
      <c r="AO1491" s="4">
        <v>432</v>
      </c>
      <c r="AP1491" s="4">
        <v>339</v>
      </c>
      <c r="AQ1491" s="4">
        <v>333</v>
      </c>
      <c r="AR1491" s="4">
        <v>342</v>
      </c>
      <c r="AS1491" s="59">
        <v>5.054945054945055E-2</v>
      </c>
      <c r="AT1491" s="3">
        <v>9</v>
      </c>
      <c r="AU1491" s="3">
        <v>6</v>
      </c>
      <c r="AV1491" s="49">
        <v>55.319148936170201</v>
      </c>
      <c r="AW1491" s="49">
        <v>21.843971631205701</v>
      </c>
      <c r="AX1491" s="49">
        <v>22.411347517730501</v>
      </c>
      <c r="AY1491" s="67">
        <v>0.42553191489361702</v>
      </c>
      <c r="AZ1491" s="63">
        <v>0.13618421052631599</v>
      </c>
      <c r="BA1491" s="63">
        <v>9.8684210526315801E-3</v>
      </c>
      <c r="BB1491" s="79">
        <v>95.4</v>
      </c>
      <c r="BC1491" s="79"/>
      <c r="BD1491" s="79"/>
      <c r="BE1491" s="79"/>
      <c r="BF1491" s="79"/>
      <c r="BG1491" s="79"/>
      <c r="BH1491" s="79"/>
      <c r="BI1491" s="79"/>
      <c r="BJ1491" s="3">
        <v>19.600000000000001</v>
      </c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29" t="s">
        <v>327</v>
      </c>
      <c r="CJ1491" s="18" t="s">
        <v>548</v>
      </c>
      <c r="CK1491" s="30"/>
    </row>
    <row r="1492" spans="1:89" x14ac:dyDescent="0.25">
      <c r="A1492" s="18" t="s">
        <v>548</v>
      </c>
      <c r="B1492" s="29" t="s">
        <v>328</v>
      </c>
      <c r="C1492" s="29" t="s">
        <v>329</v>
      </c>
      <c r="D1492" s="6">
        <v>23</v>
      </c>
      <c r="E1492" s="6">
        <v>3</v>
      </c>
      <c r="F1492" s="6">
        <v>20</v>
      </c>
      <c r="N1492" s="115">
        <v>4.1742286751361199E-2</v>
      </c>
      <c r="O1492" s="115">
        <v>5.63380281690141E-2</v>
      </c>
      <c r="P1492" s="115">
        <v>1.8181818181818198E-2</v>
      </c>
      <c r="Q1492" s="115">
        <v>1.16279069767442E-2</v>
      </c>
      <c r="R1492" s="116" t="s">
        <v>83</v>
      </c>
      <c r="S1492" s="115">
        <v>5.21739130434783E-2</v>
      </c>
      <c r="T1492" s="115">
        <v>4.4444444444444398E-2</v>
      </c>
      <c r="U1492" s="115">
        <v>6.0975609756097601E-2</v>
      </c>
      <c r="V1492" s="115">
        <v>7.3529411764705899E-2</v>
      </c>
      <c r="W1492" s="6">
        <v>508</v>
      </c>
      <c r="X1492" s="40">
        <f t="shared" si="102"/>
        <v>330</v>
      </c>
      <c r="Y1492" s="40">
        <f t="shared" si="103"/>
        <v>508</v>
      </c>
      <c r="Z1492" s="59">
        <v>0.48228346456692911</v>
      </c>
      <c r="AA1492" s="59">
        <v>0.51771653543307083</v>
      </c>
      <c r="AB1492" s="61">
        <v>1.968503937007874E-3</v>
      </c>
      <c r="AC1492" s="61">
        <v>0</v>
      </c>
      <c r="AD1492" s="61">
        <v>0.9192913385826772</v>
      </c>
      <c r="AE1492" s="61">
        <v>1.968503937007874E-2</v>
      </c>
      <c r="AF1492" s="61">
        <v>0</v>
      </c>
      <c r="AG1492" s="61">
        <v>5.1181102362204724E-2</v>
      </c>
      <c r="AH1492" s="61">
        <v>7.874015748031496E-3</v>
      </c>
      <c r="AI1492" s="61">
        <v>0.94881889763779526</v>
      </c>
      <c r="AJ1492" s="59">
        <v>0.97834645669291342</v>
      </c>
      <c r="AK1492" s="59">
        <v>1.7716535433070866E-2</v>
      </c>
      <c r="AL1492" s="4">
        <v>95</v>
      </c>
      <c r="AM1492" s="4">
        <v>83</v>
      </c>
      <c r="AN1492" s="4">
        <v>0</v>
      </c>
      <c r="AO1492" s="4">
        <v>104</v>
      </c>
      <c r="AP1492" s="4">
        <v>83</v>
      </c>
      <c r="AQ1492" s="4">
        <v>76</v>
      </c>
      <c r="AR1492" s="4">
        <v>67</v>
      </c>
      <c r="AS1492" s="59">
        <v>0</v>
      </c>
      <c r="AT1492" s="3">
        <v>7</v>
      </c>
      <c r="AU1492" s="3">
        <v>6</v>
      </c>
      <c r="AV1492" s="49">
        <v>31.794871794871799</v>
      </c>
      <c r="AW1492" s="49">
        <v>29.743589743589698</v>
      </c>
      <c r="AX1492" s="49">
        <v>31.282051282051299</v>
      </c>
      <c r="AY1492" s="67">
        <v>7.1794871794871806</v>
      </c>
      <c r="AZ1492" s="63">
        <v>0.177655677655678</v>
      </c>
      <c r="BA1492" s="63">
        <v>0.29670329670329698</v>
      </c>
      <c r="BB1492" s="80">
        <v>91.8</v>
      </c>
      <c r="BC1492" s="80"/>
      <c r="BD1492" s="80"/>
      <c r="BE1492" s="80"/>
      <c r="BF1492" s="80"/>
      <c r="BG1492" s="80"/>
      <c r="BH1492" s="80"/>
      <c r="BI1492" s="80"/>
      <c r="BJ1492" s="3">
        <v>16.3</v>
      </c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29" t="s">
        <v>329</v>
      </c>
      <c r="CJ1492" s="18" t="s">
        <v>548</v>
      </c>
      <c r="CK1492" s="30"/>
    </row>
    <row r="1493" spans="1:89" x14ac:dyDescent="0.25">
      <c r="A1493" s="18" t="s">
        <v>548</v>
      </c>
      <c r="B1493" s="29" t="s">
        <v>330</v>
      </c>
      <c r="C1493" s="29" t="s">
        <v>331</v>
      </c>
      <c r="D1493" s="6">
        <v>25</v>
      </c>
      <c r="E1493" s="6">
        <v>0</v>
      </c>
      <c r="F1493" s="6">
        <v>25</v>
      </c>
      <c r="N1493" s="115">
        <v>2.2851919561243099E-2</v>
      </c>
      <c r="O1493" s="115">
        <v>3.5612535612535599E-2</v>
      </c>
      <c r="P1493" s="115">
        <v>0</v>
      </c>
      <c r="Q1493" s="115">
        <v>0</v>
      </c>
      <c r="R1493" s="115">
        <v>0.1</v>
      </c>
      <c r="S1493" s="115">
        <v>4.5454545454545497E-2</v>
      </c>
      <c r="T1493" s="115">
        <v>1.67597765363128E-2</v>
      </c>
      <c r="U1493" s="115">
        <v>3.1746031746031703E-2</v>
      </c>
      <c r="V1493" s="115">
        <v>4.3749999999999997E-2</v>
      </c>
      <c r="W1493" s="6">
        <v>1028</v>
      </c>
      <c r="X1493" s="40">
        <f t="shared" si="102"/>
        <v>655</v>
      </c>
      <c r="Y1493" s="40">
        <f t="shared" si="103"/>
        <v>1028</v>
      </c>
      <c r="Z1493" s="59">
        <v>0.5145914396887159</v>
      </c>
      <c r="AA1493" s="59">
        <v>0.48540856031128404</v>
      </c>
      <c r="AB1493" s="61">
        <v>2.9182879377431907E-3</v>
      </c>
      <c r="AC1493" s="61">
        <v>3.8910505836575876E-3</v>
      </c>
      <c r="AD1493" s="61">
        <v>0.48443579766536965</v>
      </c>
      <c r="AE1493" s="61">
        <v>1.3618677042801557E-2</v>
      </c>
      <c r="AF1493" s="61">
        <v>0</v>
      </c>
      <c r="AG1493" s="61">
        <v>0.49319066147859925</v>
      </c>
      <c r="AH1493" s="61">
        <v>1.9455252918287938E-3</v>
      </c>
      <c r="AI1493" s="61">
        <v>0.50680933852140075</v>
      </c>
      <c r="AJ1493" s="59">
        <v>0.46498054474708173</v>
      </c>
      <c r="AK1493" s="59">
        <v>2.9182879377431907E-3</v>
      </c>
      <c r="AL1493" s="4">
        <v>193</v>
      </c>
      <c r="AM1493" s="4">
        <v>180</v>
      </c>
      <c r="AN1493" s="4">
        <v>20</v>
      </c>
      <c r="AO1493" s="4">
        <v>139</v>
      </c>
      <c r="AP1493" s="4">
        <v>167</v>
      </c>
      <c r="AQ1493" s="4">
        <v>175</v>
      </c>
      <c r="AR1493" s="4">
        <v>154</v>
      </c>
      <c r="AS1493" s="59">
        <v>0.12578616352201258</v>
      </c>
      <c r="AT1493" s="3">
        <v>7</v>
      </c>
      <c r="AU1493" s="3">
        <v>6</v>
      </c>
      <c r="AV1493" s="49">
        <v>77.65793528505391</v>
      </c>
      <c r="AW1493" s="49">
        <v>18.181818181818198</v>
      </c>
      <c r="AX1493" s="49">
        <v>4.1602465331278902</v>
      </c>
      <c r="AY1493" s="67">
        <v>0</v>
      </c>
      <c r="AZ1493" s="63">
        <v>0.16620498614958401</v>
      </c>
      <c r="BA1493" s="63">
        <v>0.18374884579870701</v>
      </c>
      <c r="BB1493" s="79">
        <v>94.7</v>
      </c>
      <c r="BC1493" s="79"/>
      <c r="BD1493" s="79"/>
      <c r="BE1493" s="79"/>
      <c r="BF1493" s="79"/>
      <c r="BG1493" s="79"/>
      <c r="BH1493" s="79"/>
      <c r="BI1493" s="79"/>
      <c r="BJ1493" s="3">
        <v>19.100000000000001</v>
      </c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29" t="s">
        <v>331</v>
      </c>
      <c r="CJ1493" s="18" t="s">
        <v>548</v>
      </c>
      <c r="CK1493" s="30"/>
    </row>
    <row r="1494" spans="1:89" x14ac:dyDescent="0.25">
      <c r="A1494" s="18" t="s">
        <v>548</v>
      </c>
      <c r="B1494" s="29" t="s">
        <v>330</v>
      </c>
      <c r="C1494" s="29" t="s">
        <v>332</v>
      </c>
      <c r="D1494" s="6">
        <v>14</v>
      </c>
      <c r="E1494" s="6">
        <v>0</v>
      </c>
      <c r="F1494" s="6">
        <v>14</v>
      </c>
      <c r="N1494" s="115">
        <v>2.1571648690292801E-2</v>
      </c>
      <c r="O1494" s="115">
        <v>3.18906605922551E-2</v>
      </c>
      <c r="P1494" s="115">
        <v>0</v>
      </c>
      <c r="Q1494" s="115">
        <v>0</v>
      </c>
      <c r="R1494" s="115">
        <v>0</v>
      </c>
      <c r="S1494" s="115">
        <v>2.0833333333333301E-2</v>
      </c>
      <c r="T1494" s="115">
        <v>4.7619047619047603E-2</v>
      </c>
      <c r="U1494" s="115">
        <v>2.80373831775701E-2</v>
      </c>
      <c r="V1494" s="115">
        <v>3.5398230088495602E-2</v>
      </c>
      <c r="W1494" s="6">
        <v>612</v>
      </c>
      <c r="X1494" s="40">
        <f t="shared" si="102"/>
        <v>409</v>
      </c>
      <c r="Y1494" s="40">
        <f t="shared" si="103"/>
        <v>612</v>
      </c>
      <c r="Z1494" s="59">
        <v>0.5163398692810458</v>
      </c>
      <c r="AA1494" s="59">
        <v>0.48366013071895425</v>
      </c>
      <c r="AB1494" s="61">
        <v>1.6339869281045752E-3</v>
      </c>
      <c r="AC1494" s="61">
        <v>1.6339869281045752E-3</v>
      </c>
      <c r="AD1494" s="61">
        <v>0.75816993464052285</v>
      </c>
      <c r="AE1494" s="61">
        <v>2.7777777777777776E-2</v>
      </c>
      <c r="AF1494" s="61">
        <v>0</v>
      </c>
      <c r="AG1494" s="61">
        <v>0.20751633986928106</v>
      </c>
      <c r="AH1494" s="61">
        <v>3.2679738562091504E-3</v>
      </c>
      <c r="AI1494" s="61">
        <v>0.79248366013071891</v>
      </c>
      <c r="AJ1494" s="59">
        <v>0.63071895424836599</v>
      </c>
      <c r="AK1494" s="59">
        <v>6.5359477124183009E-3</v>
      </c>
      <c r="AL1494" s="4">
        <v>96</v>
      </c>
      <c r="AM1494" s="4">
        <v>107</v>
      </c>
      <c r="AN1494" s="4">
        <v>19</v>
      </c>
      <c r="AO1494" s="4">
        <v>93</v>
      </c>
      <c r="AP1494" s="4">
        <v>93</v>
      </c>
      <c r="AQ1494" s="4">
        <v>102</v>
      </c>
      <c r="AR1494" s="4">
        <v>102</v>
      </c>
      <c r="AS1494" s="59">
        <v>0.16964285714285715</v>
      </c>
      <c r="AT1494" s="3">
        <v>7</v>
      </c>
      <c r="AU1494" s="3">
        <v>6</v>
      </c>
      <c r="AV1494" s="49">
        <v>81.25</v>
      </c>
      <c r="AW1494" s="49">
        <v>16.203703703703702</v>
      </c>
      <c r="AX1494" s="49">
        <v>2.31481481481481</v>
      </c>
      <c r="AY1494" s="67">
        <v>0.23148148148148098</v>
      </c>
      <c r="AZ1494" s="63">
        <v>0.209302325581395</v>
      </c>
      <c r="BA1494" s="63">
        <v>0.13023255813953499</v>
      </c>
      <c r="BB1494" s="80">
        <v>95.3</v>
      </c>
      <c r="BC1494" s="80"/>
      <c r="BD1494" s="80"/>
      <c r="BE1494" s="80"/>
      <c r="BF1494" s="80"/>
      <c r="BG1494" s="80"/>
      <c r="BH1494" s="80"/>
      <c r="BI1494" s="80"/>
      <c r="BJ1494" s="3">
        <v>17.600000000000001</v>
      </c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29" t="s">
        <v>332</v>
      </c>
      <c r="CJ1494" s="18" t="s">
        <v>548</v>
      </c>
      <c r="CK1494" s="30"/>
    </row>
    <row r="1495" spans="1:89" x14ac:dyDescent="0.25">
      <c r="A1495" s="18" t="s">
        <v>548</v>
      </c>
      <c r="B1495" s="29" t="s">
        <v>333</v>
      </c>
      <c r="C1495" s="29" t="s">
        <v>334</v>
      </c>
      <c r="D1495" s="6">
        <v>80</v>
      </c>
      <c r="E1495" s="40" t="s">
        <v>83</v>
      </c>
      <c r="F1495" s="6">
        <v>80</v>
      </c>
      <c r="N1495" s="115">
        <v>5.2185257664709703E-2</v>
      </c>
      <c r="O1495" s="115">
        <v>5.2185257664709703E-2</v>
      </c>
      <c r="P1495" s="116" t="s">
        <v>83</v>
      </c>
      <c r="Q1495" s="116" t="s">
        <v>83</v>
      </c>
      <c r="R1495" s="115">
        <v>0</v>
      </c>
      <c r="S1495" s="115">
        <v>4.8421052631578899E-2</v>
      </c>
      <c r="T1495" s="115">
        <v>6.7567567567567599E-2</v>
      </c>
      <c r="U1495" s="115">
        <v>4.2105263157894701E-2</v>
      </c>
      <c r="V1495" s="115">
        <v>5.1948051948052E-2</v>
      </c>
      <c r="W1495" s="6">
        <v>1414</v>
      </c>
      <c r="X1495" s="40">
        <f t="shared" si="102"/>
        <v>1414</v>
      </c>
      <c r="Y1495" s="40">
        <f t="shared" si="103"/>
        <v>1414</v>
      </c>
      <c r="Z1495" s="59">
        <v>0.50848656294200845</v>
      </c>
      <c r="AA1495" s="59">
        <v>0.4915134370579915</v>
      </c>
      <c r="AB1495" s="61">
        <v>7.0721357850070724E-4</v>
      </c>
      <c r="AC1495" s="61">
        <v>4.9504950495049506E-3</v>
      </c>
      <c r="AD1495" s="61">
        <v>0.7991513437057991</v>
      </c>
      <c r="AE1495" s="61">
        <v>7.0014144271570017E-2</v>
      </c>
      <c r="AF1495" s="61">
        <v>7.0721357850070724E-4</v>
      </c>
      <c r="AG1495" s="61">
        <v>0.11951909476661952</v>
      </c>
      <c r="AH1495" s="61">
        <v>4.9504950495049506E-3</v>
      </c>
      <c r="AI1495" s="61">
        <v>0.88048090523338052</v>
      </c>
      <c r="AJ1495" s="59">
        <v>0.76732673267326734</v>
      </c>
      <c r="AK1495" s="59">
        <v>2.050919377652051E-2</v>
      </c>
      <c r="AL1495" s="4">
        <v>0</v>
      </c>
      <c r="AM1495" s="4">
        <v>0</v>
      </c>
      <c r="AN1495" s="4">
        <v>15</v>
      </c>
      <c r="AO1495" s="4">
        <v>420</v>
      </c>
      <c r="AP1495" s="4">
        <v>334</v>
      </c>
      <c r="AQ1495" s="4">
        <v>368</v>
      </c>
      <c r="AR1495" s="4">
        <v>277</v>
      </c>
      <c r="AS1495" s="59">
        <v>3.4482758620689655E-2</v>
      </c>
      <c r="AT1495" s="3">
        <v>9</v>
      </c>
      <c r="AU1495" s="3">
        <v>6</v>
      </c>
      <c r="AV1495" s="49">
        <v>71.580345285524601</v>
      </c>
      <c r="AW1495" s="49">
        <v>17.2642762284197</v>
      </c>
      <c r="AX1495" s="49">
        <v>9.8273572377158001</v>
      </c>
      <c r="AY1495" s="67">
        <v>1.32802124833997</v>
      </c>
      <c r="AZ1495" s="63">
        <v>0.27903871829105498</v>
      </c>
      <c r="BA1495" s="63">
        <v>0.20226969292389901</v>
      </c>
      <c r="BB1495" s="79">
        <v>91.4</v>
      </c>
      <c r="BC1495" s="79"/>
      <c r="BD1495" s="79"/>
      <c r="BE1495" s="79"/>
      <c r="BF1495" s="79"/>
      <c r="BG1495" s="79"/>
      <c r="BH1495" s="79"/>
      <c r="BI1495" s="79"/>
      <c r="BJ1495" s="3">
        <v>17.100000000000001</v>
      </c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29" t="s">
        <v>334</v>
      </c>
      <c r="CJ1495" s="18" t="s">
        <v>548</v>
      </c>
      <c r="CK1495" s="30"/>
    </row>
    <row r="1496" spans="1:89" x14ac:dyDescent="0.25">
      <c r="A1496" s="18" t="s">
        <v>548</v>
      </c>
      <c r="B1496" s="29" t="s">
        <v>333</v>
      </c>
      <c r="C1496" s="29" t="s">
        <v>335</v>
      </c>
      <c r="D1496" s="6">
        <v>1</v>
      </c>
      <c r="E1496" s="6">
        <v>0</v>
      </c>
      <c r="F1496" s="6">
        <v>1</v>
      </c>
      <c r="N1496" s="115">
        <v>4.6948356807511703E-3</v>
      </c>
      <c r="O1496" s="115">
        <v>5.6818181818181802E-3</v>
      </c>
      <c r="P1496" s="116" t="s">
        <v>83</v>
      </c>
      <c r="Q1496" s="115">
        <v>0</v>
      </c>
      <c r="R1496" s="115">
        <v>0</v>
      </c>
      <c r="S1496" s="115">
        <v>0</v>
      </c>
      <c r="T1496" s="115">
        <v>0</v>
      </c>
      <c r="U1496" s="115">
        <v>1.9607843137254902E-2</v>
      </c>
      <c r="V1496" s="115">
        <v>0</v>
      </c>
      <c r="W1496" s="6">
        <v>207</v>
      </c>
      <c r="X1496" s="40">
        <f t="shared" si="102"/>
        <v>171</v>
      </c>
      <c r="Y1496" s="40">
        <f t="shared" si="103"/>
        <v>207</v>
      </c>
      <c r="Z1496" s="59">
        <v>0.44927536231884058</v>
      </c>
      <c r="AA1496" s="59">
        <v>0.55072463768115942</v>
      </c>
      <c r="AB1496" s="61">
        <v>0</v>
      </c>
      <c r="AC1496" s="61">
        <v>0</v>
      </c>
      <c r="AD1496" s="61">
        <v>0.99516908212560384</v>
      </c>
      <c r="AE1496" s="61">
        <v>0</v>
      </c>
      <c r="AF1496" s="61">
        <v>0</v>
      </c>
      <c r="AG1496" s="61">
        <v>4.830917874396135E-3</v>
      </c>
      <c r="AH1496" s="61">
        <v>0</v>
      </c>
      <c r="AI1496" s="61">
        <v>0.99516908212560384</v>
      </c>
      <c r="AJ1496" s="59">
        <v>0.76811594202898548</v>
      </c>
      <c r="AK1496" s="59">
        <v>0</v>
      </c>
      <c r="AL1496" s="4">
        <v>0</v>
      </c>
      <c r="AM1496" s="4">
        <v>36</v>
      </c>
      <c r="AN1496" s="4">
        <v>4</v>
      </c>
      <c r="AO1496" s="4">
        <v>47</v>
      </c>
      <c r="AP1496" s="4">
        <v>37</v>
      </c>
      <c r="AQ1496" s="4">
        <v>48</v>
      </c>
      <c r="AR1496" s="4">
        <v>35</v>
      </c>
      <c r="AS1496" s="59">
        <v>7.8431372549019607E-2</v>
      </c>
      <c r="AT1496" s="3">
        <v>8</v>
      </c>
      <c r="AU1496" s="3">
        <v>6</v>
      </c>
      <c r="AV1496" s="49">
        <v>95.121951219512198</v>
      </c>
      <c r="AW1496" s="49">
        <v>4.4715447154471493</v>
      </c>
      <c r="AX1496" s="49">
        <v>0.40650406504065001</v>
      </c>
      <c r="AY1496" s="67">
        <v>0</v>
      </c>
      <c r="AZ1496" s="63">
        <v>8.9201877934272297E-2</v>
      </c>
      <c r="BA1496" s="63">
        <v>0.154929577464789</v>
      </c>
      <c r="BB1496" s="80">
        <v>94.6</v>
      </c>
      <c r="BC1496" s="80"/>
      <c r="BD1496" s="80"/>
      <c r="BE1496" s="80"/>
      <c r="BF1496" s="80"/>
      <c r="BG1496" s="80"/>
      <c r="BH1496" s="80"/>
      <c r="BI1496" s="80"/>
      <c r="BJ1496" s="3">
        <v>16.600000000000001</v>
      </c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29" t="s">
        <v>335</v>
      </c>
      <c r="CJ1496" s="18" t="s">
        <v>548</v>
      </c>
      <c r="CK1496" s="30"/>
    </row>
    <row r="1497" spans="1:89" x14ac:dyDescent="0.25">
      <c r="A1497" s="18" t="s">
        <v>548</v>
      </c>
      <c r="B1497" s="29" t="s">
        <v>336</v>
      </c>
      <c r="C1497" s="29" t="s">
        <v>337</v>
      </c>
      <c r="D1497" s="6">
        <v>0</v>
      </c>
      <c r="E1497" s="40" t="s">
        <v>83</v>
      </c>
      <c r="F1497" s="6">
        <v>0</v>
      </c>
      <c r="N1497" s="115">
        <v>0</v>
      </c>
      <c r="O1497" s="115">
        <v>0</v>
      </c>
      <c r="P1497" s="116" t="s">
        <v>83</v>
      </c>
      <c r="Q1497" s="116" t="s">
        <v>83</v>
      </c>
      <c r="R1497" s="115">
        <v>0</v>
      </c>
      <c r="S1497" s="115">
        <v>0</v>
      </c>
      <c r="T1497" s="115">
        <v>0</v>
      </c>
      <c r="U1497" s="115">
        <v>0</v>
      </c>
      <c r="V1497" s="115">
        <v>0</v>
      </c>
      <c r="W1497" s="6">
        <v>689</v>
      </c>
      <c r="X1497" s="40">
        <f t="shared" si="102"/>
        <v>689</v>
      </c>
      <c r="Y1497" s="40">
        <f t="shared" si="103"/>
        <v>689</v>
      </c>
      <c r="Z1497" s="59">
        <v>0.53120464441219162</v>
      </c>
      <c r="AA1497" s="59">
        <v>0.46879535558780844</v>
      </c>
      <c r="AB1497" s="61">
        <v>2.9027576197387518E-3</v>
      </c>
      <c r="AC1497" s="61">
        <v>1.0159651669085631E-2</v>
      </c>
      <c r="AD1497" s="61">
        <v>0.41799709724238027</v>
      </c>
      <c r="AE1497" s="61">
        <v>1.1611030478955007E-2</v>
      </c>
      <c r="AF1497" s="61">
        <v>0</v>
      </c>
      <c r="AG1497" s="61">
        <v>0.55152394775036284</v>
      </c>
      <c r="AH1497" s="61">
        <v>5.8055152394775036E-3</v>
      </c>
      <c r="AI1497" s="61">
        <v>0.44847605224963716</v>
      </c>
      <c r="AJ1497" s="59">
        <v>0.65892597968069666</v>
      </c>
      <c r="AK1497" s="59">
        <v>5.8055152394775036E-3</v>
      </c>
      <c r="AL1497" s="4">
        <v>0</v>
      </c>
      <c r="AM1497" s="4">
        <v>0</v>
      </c>
      <c r="AN1497" s="4">
        <v>22</v>
      </c>
      <c r="AO1497" s="4">
        <v>200</v>
      </c>
      <c r="AP1497" s="4">
        <v>159</v>
      </c>
      <c r="AQ1497" s="4">
        <v>157</v>
      </c>
      <c r="AR1497" s="4">
        <v>151</v>
      </c>
      <c r="AS1497" s="59">
        <v>9.90990990990991E-2</v>
      </c>
      <c r="AT1497" s="3">
        <v>9</v>
      </c>
      <c r="AU1497" s="3">
        <v>6</v>
      </c>
      <c r="AV1497" s="49">
        <v>72.340425531914903</v>
      </c>
      <c r="AW1497" s="49">
        <v>14.361702127659601</v>
      </c>
      <c r="AX1497" s="49">
        <v>13.297872340425501</v>
      </c>
      <c r="AY1497" s="67">
        <v>0</v>
      </c>
      <c r="AZ1497" s="63">
        <v>0.244475138121547</v>
      </c>
      <c r="BA1497" s="63">
        <v>0.175414364640884</v>
      </c>
      <c r="BB1497" s="79">
        <v>92.6</v>
      </c>
      <c r="BC1497" s="79"/>
      <c r="BD1497" s="79"/>
      <c r="BE1497" s="79"/>
      <c r="BF1497" s="79"/>
      <c r="BG1497" s="79"/>
      <c r="BH1497" s="79"/>
      <c r="BI1497" s="79"/>
      <c r="BJ1497" s="3">
        <v>18.2</v>
      </c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29" t="s">
        <v>337</v>
      </c>
      <c r="CJ1497" s="18" t="s">
        <v>548</v>
      </c>
      <c r="CK1497" s="30"/>
    </row>
    <row r="1498" spans="1:89" x14ac:dyDescent="0.25">
      <c r="A1498" s="18" t="s">
        <v>548</v>
      </c>
      <c r="B1498" s="29" t="s">
        <v>336</v>
      </c>
      <c r="C1498" s="29" t="s">
        <v>338</v>
      </c>
      <c r="D1498" s="6">
        <v>37</v>
      </c>
      <c r="E1498" s="40" t="s">
        <v>83</v>
      </c>
      <c r="F1498" s="6">
        <v>37</v>
      </c>
      <c r="N1498" s="115">
        <v>4.2189281641961202E-2</v>
      </c>
      <c r="O1498" s="115">
        <v>4.2189281641961202E-2</v>
      </c>
      <c r="P1498" s="116" t="s">
        <v>83</v>
      </c>
      <c r="Q1498" s="116" t="s">
        <v>83</v>
      </c>
      <c r="R1498" s="115">
        <v>2.0833333333333301E-2</v>
      </c>
      <c r="S1498" s="115">
        <v>0.13450292397660801</v>
      </c>
      <c r="T1498" s="115">
        <v>2.21238938053097E-2</v>
      </c>
      <c r="U1498" s="115">
        <v>0</v>
      </c>
      <c r="V1498" s="115">
        <v>3.20855614973262E-2</v>
      </c>
      <c r="W1498" s="6">
        <v>781</v>
      </c>
      <c r="X1498" s="40">
        <f t="shared" si="102"/>
        <v>781</v>
      </c>
      <c r="Y1498" s="40">
        <f t="shared" si="103"/>
        <v>781</v>
      </c>
      <c r="Z1498" s="59">
        <v>0.50576184379001277</v>
      </c>
      <c r="AA1498" s="59">
        <v>0.49423815620998718</v>
      </c>
      <c r="AB1498" s="61">
        <v>1.2804097311139564E-3</v>
      </c>
      <c r="AC1498" s="61">
        <v>7.6824583866837385E-3</v>
      </c>
      <c r="AD1498" s="61">
        <v>0.82970550576184376</v>
      </c>
      <c r="AE1498" s="61">
        <v>2.176696542893726E-2</v>
      </c>
      <c r="AF1498" s="61">
        <v>0</v>
      </c>
      <c r="AG1498" s="61">
        <v>0.13572343149807939</v>
      </c>
      <c r="AH1498" s="61">
        <v>3.8412291933418692E-3</v>
      </c>
      <c r="AI1498" s="61">
        <v>0.86427656850192058</v>
      </c>
      <c r="AJ1498" s="59">
        <v>0.78617157490396927</v>
      </c>
      <c r="AK1498" s="59">
        <v>1.5364916773367477E-2</v>
      </c>
      <c r="AL1498" s="4">
        <v>0</v>
      </c>
      <c r="AM1498" s="4">
        <v>0</v>
      </c>
      <c r="AN1498" s="4">
        <v>119</v>
      </c>
      <c r="AO1498" s="4">
        <v>144</v>
      </c>
      <c r="AP1498" s="4">
        <v>205</v>
      </c>
      <c r="AQ1498" s="4">
        <v>140</v>
      </c>
      <c r="AR1498" s="4">
        <v>173</v>
      </c>
      <c r="AS1498" s="59">
        <v>0.45247148288973382</v>
      </c>
      <c r="AT1498" s="3">
        <v>9</v>
      </c>
      <c r="AU1498" s="3">
        <v>6</v>
      </c>
      <c r="AV1498" s="49">
        <v>74.2222222222222</v>
      </c>
      <c r="AW1498" s="49">
        <v>17.3333333333333</v>
      </c>
      <c r="AX1498" s="49">
        <v>8.4444444444444411</v>
      </c>
      <c r="AY1498" s="67">
        <v>0</v>
      </c>
      <c r="AZ1498" s="63">
        <v>0.173913043478261</v>
      </c>
      <c r="BA1498" s="63">
        <v>0.14218566392479401</v>
      </c>
      <c r="BB1498" s="80">
        <v>89.9</v>
      </c>
      <c r="BC1498" s="80"/>
      <c r="BD1498" s="80"/>
      <c r="BE1498" s="80"/>
      <c r="BF1498" s="80"/>
      <c r="BG1498" s="80"/>
      <c r="BH1498" s="80"/>
      <c r="BI1498" s="80"/>
      <c r="BJ1498" s="3">
        <v>17.899999999999999</v>
      </c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29" t="s">
        <v>338</v>
      </c>
      <c r="CJ1498" s="18" t="s">
        <v>548</v>
      </c>
      <c r="CK1498" s="30"/>
    </row>
    <row r="1499" spans="1:89" x14ac:dyDescent="0.25">
      <c r="A1499" s="18" t="s">
        <v>548</v>
      </c>
      <c r="B1499" s="29" t="s">
        <v>336</v>
      </c>
      <c r="C1499" s="29" t="s">
        <v>339</v>
      </c>
      <c r="D1499" s="6">
        <v>16</v>
      </c>
      <c r="E1499" s="6">
        <v>1</v>
      </c>
      <c r="F1499" s="6">
        <v>15</v>
      </c>
      <c r="N1499" s="115">
        <v>5.5363321799308002E-2</v>
      </c>
      <c r="O1499" s="115">
        <v>7.4999999999999997E-2</v>
      </c>
      <c r="P1499" s="115">
        <v>0</v>
      </c>
      <c r="Q1499" s="115">
        <v>2.3809523809523801E-2</v>
      </c>
      <c r="R1499" s="115">
        <v>3.2258064516128997E-2</v>
      </c>
      <c r="S1499" s="115">
        <v>8.9285714285714302E-2</v>
      </c>
      <c r="T1499" s="115">
        <v>9.7560975609756101E-2</v>
      </c>
      <c r="U1499" s="115">
        <v>0.1</v>
      </c>
      <c r="V1499" s="115">
        <v>3.125E-2</v>
      </c>
      <c r="W1499" s="6">
        <v>326</v>
      </c>
      <c r="X1499" s="40">
        <f t="shared" si="102"/>
        <v>182</v>
      </c>
      <c r="Y1499" s="40">
        <f t="shared" si="103"/>
        <v>265</v>
      </c>
      <c r="Z1499" s="59">
        <v>0.47546012269938648</v>
      </c>
      <c r="AA1499" s="59">
        <v>0.52453987730061347</v>
      </c>
      <c r="AB1499" s="61">
        <v>0</v>
      </c>
      <c r="AC1499" s="61">
        <v>0</v>
      </c>
      <c r="AD1499" s="61">
        <v>0.72699386503067487</v>
      </c>
      <c r="AE1499" s="61">
        <v>1.2269938650306749E-2</v>
      </c>
      <c r="AF1499" s="61">
        <v>0</v>
      </c>
      <c r="AG1499" s="61">
        <v>0.2607361963190184</v>
      </c>
      <c r="AH1499" s="61">
        <v>0</v>
      </c>
      <c r="AI1499" s="61">
        <v>0.73926380368098155</v>
      </c>
      <c r="AJ1499" s="59">
        <v>0.84969325153374231</v>
      </c>
      <c r="AK1499" s="59">
        <v>0</v>
      </c>
      <c r="AL1499" s="4">
        <v>45</v>
      </c>
      <c r="AM1499" s="4">
        <v>38</v>
      </c>
      <c r="AN1499" s="4">
        <v>30</v>
      </c>
      <c r="AO1499" s="4">
        <v>46</v>
      </c>
      <c r="AP1499" s="4">
        <v>38</v>
      </c>
      <c r="AQ1499" s="4">
        <v>37</v>
      </c>
      <c r="AR1499" s="4">
        <v>31</v>
      </c>
      <c r="AS1499" s="59">
        <v>0.39473684210526316</v>
      </c>
      <c r="AT1499" s="3">
        <v>6</v>
      </c>
      <c r="AU1499" s="3">
        <v>6</v>
      </c>
      <c r="AV1499" s="49">
        <v>83.613445378151297</v>
      </c>
      <c r="AW1499" s="49">
        <v>12.605042016806699</v>
      </c>
      <c r="AX1499" s="49">
        <v>3.7815126050420202</v>
      </c>
      <c r="AY1499" s="67">
        <v>0</v>
      </c>
      <c r="AZ1499" s="63">
        <v>4.6242774566474E-2</v>
      </c>
      <c r="BA1499" s="63">
        <v>0.15895953757225401</v>
      </c>
      <c r="BB1499" s="79">
        <v>94</v>
      </c>
      <c r="BC1499" s="79"/>
      <c r="BD1499" s="79"/>
      <c r="BE1499" s="79"/>
      <c r="BF1499" s="79"/>
      <c r="BG1499" s="79"/>
      <c r="BH1499" s="79"/>
      <c r="BI1499" s="79"/>
      <c r="BJ1499" s="3">
        <v>15.7</v>
      </c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29" t="s">
        <v>339</v>
      </c>
      <c r="CJ1499" s="18" t="s">
        <v>548</v>
      </c>
      <c r="CK1499" s="30"/>
    </row>
    <row r="1500" spans="1:89" x14ac:dyDescent="0.25">
      <c r="A1500" s="18" t="s">
        <v>548</v>
      </c>
      <c r="B1500" s="29" t="s">
        <v>336</v>
      </c>
      <c r="C1500" s="29" t="s">
        <v>340</v>
      </c>
      <c r="D1500" s="6">
        <v>25</v>
      </c>
      <c r="E1500" s="40" t="s">
        <v>83</v>
      </c>
      <c r="F1500" s="6">
        <v>25</v>
      </c>
      <c r="N1500" s="115">
        <v>2.8409090909090901E-2</v>
      </c>
      <c r="O1500" s="115">
        <v>2.8409090909090901E-2</v>
      </c>
      <c r="P1500" s="116" t="s">
        <v>83</v>
      </c>
      <c r="Q1500" s="116" t="s">
        <v>83</v>
      </c>
      <c r="R1500" s="115">
        <v>9.0909090909090898E-2</v>
      </c>
      <c r="S1500" s="115">
        <v>4.2253521126760597E-2</v>
      </c>
      <c r="T1500" s="115">
        <v>3.25581395348837E-2</v>
      </c>
      <c r="U1500" s="115">
        <v>1.0928961748633901E-2</v>
      </c>
      <c r="V1500" s="115">
        <v>1.60427807486631E-2</v>
      </c>
      <c r="W1500" s="6">
        <v>796</v>
      </c>
      <c r="X1500" s="40">
        <f t="shared" si="102"/>
        <v>796</v>
      </c>
      <c r="Y1500" s="40">
        <f t="shared" si="103"/>
        <v>796</v>
      </c>
      <c r="Z1500" s="59">
        <v>0.46482412060301509</v>
      </c>
      <c r="AA1500" s="59">
        <v>0.53517587939698497</v>
      </c>
      <c r="AB1500" s="61">
        <v>3.7688442211055275E-3</v>
      </c>
      <c r="AC1500" s="61">
        <v>1.2562814070351759E-3</v>
      </c>
      <c r="AD1500" s="61">
        <v>0.38567839195979897</v>
      </c>
      <c r="AE1500" s="61">
        <v>3.1407035175879394E-2</v>
      </c>
      <c r="AF1500" s="61">
        <v>0</v>
      </c>
      <c r="AG1500" s="61">
        <v>0.57160804020100497</v>
      </c>
      <c r="AH1500" s="61">
        <v>6.2814070351758797E-3</v>
      </c>
      <c r="AI1500" s="61">
        <v>0.42839195979899497</v>
      </c>
      <c r="AJ1500" s="59">
        <v>0.5540201005025126</v>
      </c>
      <c r="AK1500" s="59">
        <v>2.0100502512562814E-2</v>
      </c>
      <c r="AL1500" s="4">
        <v>0</v>
      </c>
      <c r="AM1500" s="4">
        <v>0</v>
      </c>
      <c r="AN1500" s="4">
        <v>11</v>
      </c>
      <c r="AO1500" s="4">
        <v>243</v>
      </c>
      <c r="AP1500" s="4">
        <v>204</v>
      </c>
      <c r="AQ1500" s="4">
        <v>167</v>
      </c>
      <c r="AR1500" s="4">
        <v>171</v>
      </c>
      <c r="AS1500" s="59">
        <v>4.3307086614173228E-2</v>
      </c>
      <c r="AT1500" s="3">
        <v>9</v>
      </c>
      <c r="AU1500" s="3">
        <v>6</v>
      </c>
      <c r="AV1500" s="49">
        <v>77.642276422764198</v>
      </c>
      <c r="AW1500" s="49">
        <v>15.650406504065002</v>
      </c>
      <c r="AX1500" s="49">
        <v>6.7073170731707297</v>
      </c>
      <c r="AY1500" s="67">
        <v>0</v>
      </c>
      <c r="AZ1500" s="63">
        <v>0.25086705202312098</v>
      </c>
      <c r="BA1500" s="63">
        <v>6.9364161849711E-3</v>
      </c>
      <c r="BB1500" s="80">
        <v>92.6</v>
      </c>
      <c r="BC1500" s="80"/>
      <c r="BD1500" s="80"/>
      <c r="BE1500" s="80"/>
      <c r="BF1500" s="80"/>
      <c r="BG1500" s="80"/>
      <c r="BH1500" s="80"/>
      <c r="BI1500" s="80"/>
      <c r="BJ1500" s="3">
        <v>18.8</v>
      </c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29" t="s">
        <v>340</v>
      </c>
      <c r="CJ1500" s="18" t="s">
        <v>548</v>
      </c>
      <c r="CK1500" s="30"/>
    </row>
    <row r="1501" spans="1:89" x14ac:dyDescent="0.25">
      <c r="A1501" s="18" t="s">
        <v>548</v>
      </c>
      <c r="B1501" s="29" t="s">
        <v>336</v>
      </c>
      <c r="C1501" s="29" t="s">
        <v>341</v>
      </c>
      <c r="D1501" s="6">
        <v>2</v>
      </c>
      <c r="E1501" s="40" t="s">
        <v>83</v>
      </c>
      <c r="F1501" s="6">
        <v>2</v>
      </c>
      <c r="N1501" s="115">
        <v>2.9850746268656699E-3</v>
      </c>
      <c r="O1501" s="115">
        <v>2.9850746268656699E-3</v>
      </c>
      <c r="P1501" s="116" t="s">
        <v>83</v>
      </c>
      <c r="Q1501" s="116" t="s">
        <v>83</v>
      </c>
      <c r="R1501" s="115">
        <v>0</v>
      </c>
      <c r="S1501" s="115">
        <v>4.20168067226891E-3</v>
      </c>
      <c r="T1501" s="115">
        <v>0</v>
      </c>
      <c r="U1501" s="115">
        <v>6.4935064935064896E-3</v>
      </c>
      <c r="V1501" s="115">
        <v>0</v>
      </c>
      <c r="W1501" s="6">
        <v>630</v>
      </c>
      <c r="X1501" s="40">
        <f t="shared" si="102"/>
        <v>630</v>
      </c>
      <c r="Y1501" s="40">
        <f t="shared" si="103"/>
        <v>630</v>
      </c>
      <c r="Z1501" s="59">
        <v>0.46984126984126984</v>
      </c>
      <c r="AA1501" s="59">
        <v>0.53015873015873016</v>
      </c>
      <c r="AB1501" s="61">
        <v>4.7619047619047623E-3</v>
      </c>
      <c r="AC1501" s="61">
        <v>1.5873015873015873E-3</v>
      </c>
      <c r="AD1501" s="61">
        <v>0.71111111111111114</v>
      </c>
      <c r="AE1501" s="61">
        <v>1.2698412698412698E-2</v>
      </c>
      <c r="AF1501" s="61">
        <v>0</v>
      </c>
      <c r="AG1501" s="61">
        <v>0.2634920634920635</v>
      </c>
      <c r="AH1501" s="61">
        <v>6.3492063492063492E-3</v>
      </c>
      <c r="AI1501" s="61">
        <v>0.73650793650793656</v>
      </c>
      <c r="AJ1501" s="59">
        <v>0.69206349206349205</v>
      </c>
      <c r="AK1501" s="59">
        <v>3.1746031746031746E-3</v>
      </c>
      <c r="AL1501" s="4">
        <v>0</v>
      </c>
      <c r="AM1501" s="4">
        <v>0</v>
      </c>
      <c r="AN1501" s="4">
        <v>63</v>
      </c>
      <c r="AO1501" s="4">
        <v>169</v>
      </c>
      <c r="AP1501" s="4">
        <v>130</v>
      </c>
      <c r="AQ1501" s="4">
        <v>147</v>
      </c>
      <c r="AR1501" s="4">
        <v>121</v>
      </c>
      <c r="AS1501" s="59">
        <v>0.27155172413793105</v>
      </c>
      <c r="AT1501" s="3">
        <v>9</v>
      </c>
      <c r="AU1501" s="3">
        <v>6</v>
      </c>
      <c r="AV1501" s="49">
        <v>69.491525423728788</v>
      </c>
      <c r="AW1501" s="49">
        <v>16.6666666666667</v>
      </c>
      <c r="AX1501" s="49">
        <v>13.841807909604501</v>
      </c>
      <c r="AY1501" s="67">
        <v>0</v>
      </c>
      <c r="AZ1501" s="63">
        <v>0.17313432835820899</v>
      </c>
      <c r="BA1501" s="63">
        <v>7.4626865671641798E-2</v>
      </c>
      <c r="BB1501" s="79">
        <v>91.6</v>
      </c>
      <c r="BC1501" s="79"/>
      <c r="BD1501" s="79"/>
      <c r="BE1501" s="79"/>
      <c r="BF1501" s="79"/>
      <c r="BG1501" s="79"/>
      <c r="BH1501" s="79"/>
      <c r="BI1501" s="79"/>
      <c r="BJ1501" s="3">
        <v>17.399999999999999</v>
      </c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29" t="s">
        <v>341</v>
      </c>
      <c r="CJ1501" s="18" t="s">
        <v>548</v>
      </c>
      <c r="CK1501" s="30"/>
    </row>
    <row r="1502" spans="1:89" x14ac:dyDescent="0.25">
      <c r="A1502" s="18" t="s">
        <v>548</v>
      </c>
      <c r="B1502" s="29" t="s">
        <v>336</v>
      </c>
      <c r="C1502" s="29" t="s">
        <v>342</v>
      </c>
      <c r="D1502" s="6">
        <v>15</v>
      </c>
      <c r="E1502" s="40" t="s">
        <v>83</v>
      </c>
      <c r="F1502" s="6">
        <v>15</v>
      </c>
      <c r="N1502" s="115">
        <v>3.2467532467532499E-2</v>
      </c>
      <c r="O1502" s="115">
        <v>3.2467532467532499E-2</v>
      </c>
      <c r="P1502" s="116" t="s">
        <v>83</v>
      </c>
      <c r="Q1502" s="116" t="s">
        <v>83</v>
      </c>
      <c r="R1502" s="115">
        <v>0</v>
      </c>
      <c r="S1502" s="115">
        <v>7.4999999999999997E-2</v>
      </c>
      <c r="T1502" s="115">
        <v>1.9047619047619001E-2</v>
      </c>
      <c r="U1502" s="115">
        <v>2.27272727272727E-2</v>
      </c>
      <c r="V1502" s="115">
        <v>2.0833333333333301E-2</v>
      </c>
      <c r="W1502" s="6">
        <v>420</v>
      </c>
      <c r="X1502" s="40">
        <f t="shared" si="102"/>
        <v>420</v>
      </c>
      <c r="Y1502" s="40">
        <f t="shared" si="103"/>
        <v>420</v>
      </c>
      <c r="Z1502" s="59">
        <v>0.42142857142857143</v>
      </c>
      <c r="AA1502" s="59">
        <v>0.57857142857142863</v>
      </c>
      <c r="AB1502" s="61">
        <v>4.7619047619047623E-3</v>
      </c>
      <c r="AC1502" s="61">
        <v>0</v>
      </c>
      <c r="AD1502" s="61">
        <v>0.36904761904761907</v>
      </c>
      <c r="AE1502" s="61">
        <v>0</v>
      </c>
      <c r="AF1502" s="61">
        <v>0</v>
      </c>
      <c r="AG1502" s="61">
        <v>0.62380952380952381</v>
      </c>
      <c r="AH1502" s="61">
        <v>2.3809523809523812E-3</v>
      </c>
      <c r="AI1502" s="61">
        <v>0.37619047619047619</v>
      </c>
      <c r="AJ1502" s="59">
        <v>0.58809523809523812</v>
      </c>
      <c r="AK1502" s="59">
        <v>0</v>
      </c>
      <c r="AL1502" s="4">
        <v>0</v>
      </c>
      <c r="AM1502" s="4">
        <v>0</v>
      </c>
      <c r="AN1502" s="4">
        <v>46</v>
      </c>
      <c r="AO1502" s="4">
        <v>103</v>
      </c>
      <c r="AP1502" s="4">
        <v>96</v>
      </c>
      <c r="AQ1502" s="4">
        <v>84</v>
      </c>
      <c r="AR1502" s="4">
        <v>91</v>
      </c>
      <c r="AS1502" s="59">
        <v>0.3087248322147651</v>
      </c>
      <c r="AT1502" s="3">
        <v>9</v>
      </c>
      <c r="AU1502" s="3">
        <v>6</v>
      </c>
      <c r="AV1502" s="49">
        <v>84.246575342465803</v>
      </c>
      <c r="AW1502" s="49">
        <v>14.041095890411</v>
      </c>
      <c r="AX1502" s="49">
        <v>1.7123287671232901</v>
      </c>
      <c r="AY1502" s="67">
        <v>0</v>
      </c>
      <c r="AZ1502" s="63">
        <v>0.14977973568281899</v>
      </c>
      <c r="BA1502" s="63">
        <v>0.13436123348017601</v>
      </c>
      <c r="BB1502" s="80">
        <v>90.6</v>
      </c>
      <c r="BC1502" s="80"/>
      <c r="BD1502" s="80"/>
      <c r="BE1502" s="80"/>
      <c r="BF1502" s="80"/>
      <c r="BG1502" s="80"/>
      <c r="BH1502" s="80"/>
      <c r="BI1502" s="80"/>
      <c r="BJ1502" s="3">
        <v>17.8</v>
      </c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29" t="s">
        <v>342</v>
      </c>
      <c r="CJ1502" s="18" t="s">
        <v>548</v>
      </c>
      <c r="CK1502" s="30"/>
    </row>
    <row r="1503" spans="1:89" x14ac:dyDescent="0.25">
      <c r="A1503" s="18" t="s">
        <v>548</v>
      </c>
      <c r="B1503" s="29" t="s">
        <v>336</v>
      </c>
      <c r="C1503" s="29" t="s">
        <v>343</v>
      </c>
      <c r="D1503" s="6">
        <v>0</v>
      </c>
      <c r="E1503" s="6">
        <v>0</v>
      </c>
      <c r="F1503" s="6">
        <v>0</v>
      </c>
      <c r="N1503" s="115">
        <v>0</v>
      </c>
      <c r="O1503" s="115">
        <v>0</v>
      </c>
      <c r="P1503" s="115">
        <v>0</v>
      </c>
      <c r="Q1503" s="115">
        <v>0</v>
      </c>
      <c r="R1503" s="116" t="s">
        <v>83</v>
      </c>
      <c r="S1503" s="115">
        <v>0</v>
      </c>
      <c r="T1503" s="115">
        <v>0</v>
      </c>
      <c r="U1503" s="115">
        <v>0</v>
      </c>
      <c r="V1503" s="115">
        <v>0</v>
      </c>
      <c r="W1503" s="6">
        <v>308</v>
      </c>
      <c r="X1503" s="40">
        <f t="shared" si="102"/>
        <v>189</v>
      </c>
      <c r="Y1503" s="40">
        <f t="shared" si="103"/>
        <v>308</v>
      </c>
      <c r="Z1503" s="59">
        <v>0.68181818181818177</v>
      </c>
      <c r="AA1503" s="59">
        <v>0.31818181818181818</v>
      </c>
      <c r="AB1503" s="61">
        <v>0</v>
      </c>
      <c r="AC1503" s="61">
        <v>1.6233766233766232E-2</v>
      </c>
      <c r="AD1503" s="61">
        <v>0.55844155844155841</v>
      </c>
      <c r="AE1503" s="61">
        <v>2.2727272727272728E-2</v>
      </c>
      <c r="AF1503" s="61">
        <v>0</v>
      </c>
      <c r="AG1503" s="61">
        <v>0.40259740259740262</v>
      </c>
      <c r="AH1503" s="61">
        <v>0</v>
      </c>
      <c r="AI1503" s="61">
        <v>0.59740259740259738</v>
      </c>
      <c r="AJ1503" s="59">
        <v>0.5941558441558441</v>
      </c>
      <c r="AK1503" s="59">
        <v>1.2987012987012988E-2</v>
      </c>
      <c r="AL1503" s="4">
        <v>58</v>
      </c>
      <c r="AM1503" s="4">
        <v>61</v>
      </c>
      <c r="AN1503" s="4">
        <v>0</v>
      </c>
      <c r="AO1503" s="4">
        <v>55</v>
      </c>
      <c r="AP1503" s="4">
        <v>57</v>
      </c>
      <c r="AQ1503" s="4">
        <v>42</v>
      </c>
      <c r="AR1503" s="4">
        <v>35</v>
      </c>
      <c r="AS1503" s="59">
        <v>0</v>
      </c>
      <c r="AT1503" s="3">
        <v>7</v>
      </c>
      <c r="AU1503" s="3">
        <v>7</v>
      </c>
      <c r="AV1503" s="49">
        <v>87.815126050420204</v>
      </c>
      <c r="AW1503" s="49">
        <v>10.084033613445401</v>
      </c>
      <c r="AX1503" s="49">
        <v>2.1008403361344503</v>
      </c>
      <c r="AY1503" s="67">
        <v>0</v>
      </c>
      <c r="AZ1503" s="63">
        <v>3.8585209003215402E-2</v>
      </c>
      <c r="BA1503" s="63">
        <v>9.6463022508038593E-3</v>
      </c>
      <c r="BB1503" s="79">
        <v>95.5</v>
      </c>
      <c r="BC1503" s="79"/>
      <c r="BD1503" s="79"/>
      <c r="BE1503" s="79"/>
      <c r="BF1503" s="79"/>
      <c r="BG1503" s="79"/>
      <c r="BH1503" s="79"/>
      <c r="BI1503" s="79"/>
      <c r="BJ1503" s="3">
        <v>18.899999999999999</v>
      </c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29" t="s">
        <v>343</v>
      </c>
      <c r="CJ1503" s="18" t="s">
        <v>548</v>
      </c>
      <c r="CK1503" s="30"/>
    </row>
    <row r="1504" spans="1:89" x14ac:dyDescent="0.25">
      <c r="A1504" s="18" t="s">
        <v>548</v>
      </c>
      <c r="B1504" s="29" t="s">
        <v>344</v>
      </c>
      <c r="C1504" s="29" t="s">
        <v>345</v>
      </c>
      <c r="D1504" s="6">
        <v>29</v>
      </c>
      <c r="E1504" s="40">
        <v>1</v>
      </c>
      <c r="F1504" s="6">
        <v>28</v>
      </c>
      <c r="N1504" s="115">
        <v>3.3997655334114897E-2</v>
      </c>
      <c r="O1504" s="115">
        <v>3.2863849765258198E-2</v>
      </c>
      <c r="P1504" s="116" t="s">
        <v>83</v>
      </c>
      <c r="Q1504" s="115">
        <v>1</v>
      </c>
      <c r="R1504" s="115">
        <v>0</v>
      </c>
      <c r="S1504" s="115">
        <v>3.4042553191489397E-2</v>
      </c>
      <c r="T1504" s="115">
        <v>2.7932960893854698E-2</v>
      </c>
      <c r="U1504" s="115">
        <v>1.8348623853211E-2</v>
      </c>
      <c r="V1504" s="115">
        <v>5.3398058252427202E-2</v>
      </c>
      <c r="W1504" s="6">
        <v>799</v>
      </c>
      <c r="X1504" s="40">
        <f t="shared" si="102"/>
        <v>799</v>
      </c>
      <c r="Y1504" s="40">
        <f t="shared" si="103"/>
        <v>799</v>
      </c>
      <c r="Z1504" s="59">
        <v>0.47058823529411764</v>
      </c>
      <c r="AA1504" s="59">
        <v>0.52941176470588236</v>
      </c>
      <c r="AB1504" s="61">
        <v>3.7546933667083854E-3</v>
      </c>
      <c r="AC1504" s="61">
        <v>3.7546933667083854E-3</v>
      </c>
      <c r="AD1504" s="61">
        <v>0.47183979974968709</v>
      </c>
      <c r="AE1504" s="61">
        <v>2.2528160200250311E-2</v>
      </c>
      <c r="AF1504" s="61">
        <v>0</v>
      </c>
      <c r="AG1504" s="61">
        <v>0.48060075093867333</v>
      </c>
      <c r="AH1504" s="61">
        <v>1.7521902377972465E-2</v>
      </c>
      <c r="AI1504" s="61">
        <v>0.51939924906132662</v>
      </c>
      <c r="AJ1504" s="59">
        <v>0.62953692115143933</v>
      </c>
      <c r="AK1504" s="59">
        <v>8.7609511889862324E-3</v>
      </c>
      <c r="AL1504" s="4">
        <v>0</v>
      </c>
      <c r="AM1504" s="4">
        <v>0</v>
      </c>
      <c r="AN1504" s="4">
        <v>15</v>
      </c>
      <c r="AO1504" s="4">
        <v>219</v>
      </c>
      <c r="AP1504" s="4">
        <v>165</v>
      </c>
      <c r="AQ1504" s="4">
        <v>224</v>
      </c>
      <c r="AR1504" s="4">
        <v>176</v>
      </c>
      <c r="AS1504" s="59">
        <v>6.4102564102564097E-2</v>
      </c>
      <c r="AT1504" s="3">
        <v>8</v>
      </c>
      <c r="AU1504" s="3">
        <v>6</v>
      </c>
      <c r="AV1504" s="49">
        <v>65.2173913043478</v>
      </c>
      <c r="AW1504" s="49">
        <v>11.441647597253999</v>
      </c>
      <c r="AX1504" s="49">
        <v>20.366132723112099</v>
      </c>
      <c r="AY1504" s="67">
        <v>2.97482837528604</v>
      </c>
      <c r="AZ1504" s="63">
        <v>0.18311533888228301</v>
      </c>
      <c r="BA1504" s="63">
        <v>0.17003567181926299</v>
      </c>
      <c r="BB1504" s="80">
        <v>91.7</v>
      </c>
      <c r="BC1504" s="80"/>
      <c r="BD1504" s="80"/>
      <c r="BE1504" s="80"/>
      <c r="BF1504" s="80"/>
      <c r="BG1504" s="80"/>
      <c r="BH1504" s="80"/>
      <c r="BI1504" s="80"/>
      <c r="BJ1504" s="3">
        <v>17.100000000000001</v>
      </c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29" t="s">
        <v>345</v>
      </c>
      <c r="CJ1504" s="18" t="s">
        <v>548</v>
      </c>
      <c r="CK1504" s="30"/>
    </row>
    <row r="1505" spans="1:99" x14ac:dyDescent="0.25">
      <c r="A1505" s="18" t="s">
        <v>548</v>
      </c>
      <c r="B1505" s="29" t="s">
        <v>344</v>
      </c>
      <c r="C1505" s="29" t="s">
        <v>346</v>
      </c>
      <c r="D1505" s="6">
        <v>43</v>
      </c>
      <c r="E1505" s="40" t="s">
        <v>83</v>
      </c>
      <c r="F1505" s="6">
        <v>43</v>
      </c>
      <c r="N1505" s="119">
        <v>5.3217821782178203E-2</v>
      </c>
      <c r="O1505" s="119">
        <v>5.3217821782178203E-2</v>
      </c>
      <c r="P1505" s="116" t="s">
        <v>83</v>
      </c>
      <c r="Q1505" s="116" t="s">
        <v>83</v>
      </c>
      <c r="R1505" s="116" t="s">
        <v>83</v>
      </c>
      <c r="S1505" s="119">
        <v>3.10880829015544E-2</v>
      </c>
      <c r="T1505" s="119">
        <v>8.3333333333333301E-2</v>
      </c>
      <c r="U1505" s="119">
        <v>6.15384615384615E-2</v>
      </c>
      <c r="V1505" s="119">
        <v>3.6649214659685903E-2</v>
      </c>
      <c r="W1505" s="6">
        <v>745</v>
      </c>
      <c r="X1505" s="40">
        <f t="shared" si="102"/>
        <v>745</v>
      </c>
      <c r="Y1505" s="40">
        <f t="shared" si="103"/>
        <v>745</v>
      </c>
      <c r="Z1505" s="59">
        <v>0.4778523489932886</v>
      </c>
      <c r="AA1505" s="59">
        <v>0.52214765100671146</v>
      </c>
      <c r="AB1505" s="61">
        <v>9.3959731543624154E-3</v>
      </c>
      <c r="AC1505" s="61">
        <v>1.4765100671140939E-2</v>
      </c>
      <c r="AD1505" s="61">
        <v>0.30469798657718122</v>
      </c>
      <c r="AE1505" s="61">
        <v>3.6241610738255034E-2</v>
      </c>
      <c r="AF1505" s="61">
        <v>0</v>
      </c>
      <c r="AG1505" s="61">
        <v>0.62147651006711413</v>
      </c>
      <c r="AH1505" s="61">
        <v>1.3422818791946308E-2</v>
      </c>
      <c r="AI1505" s="61">
        <v>0.37852348993288593</v>
      </c>
      <c r="AJ1505" s="59">
        <v>0.57986577181208054</v>
      </c>
      <c r="AK1505" s="59">
        <v>2.5503355704697986E-2</v>
      </c>
      <c r="AL1505" s="4">
        <v>0</v>
      </c>
      <c r="AM1505" s="4">
        <v>0</v>
      </c>
      <c r="AN1505" s="4">
        <v>0</v>
      </c>
      <c r="AO1505" s="4">
        <v>181</v>
      </c>
      <c r="AP1505" s="4">
        <v>196</v>
      </c>
      <c r="AQ1505" s="4">
        <v>195</v>
      </c>
      <c r="AR1505" s="4">
        <v>173</v>
      </c>
      <c r="AS1505" s="59">
        <v>0</v>
      </c>
      <c r="AT1505" s="3">
        <v>9</v>
      </c>
      <c r="AU1505" s="3">
        <v>6</v>
      </c>
      <c r="AV1505" s="49">
        <v>58.357771260997104</v>
      </c>
      <c r="AW1505" s="49">
        <v>17.595307917888601</v>
      </c>
      <c r="AX1505" s="49">
        <v>21.407624633431098</v>
      </c>
      <c r="AY1505" s="67">
        <v>2.6392961876832799</v>
      </c>
      <c r="AZ1505" s="63">
        <v>0.18181818181818199</v>
      </c>
      <c r="BA1505" s="63">
        <v>0.12752525252525301</v>
      </c>
      <c r="BB1505" s="79">
        <v>91.4</v>
      </c>
      <c r="BC1505" s="79"/>
      <c r="BD1505" s="79"/>
      <c r="BE1505" s="79"/>
      <c r="BF1505" s="79"/>
      <c r="BG1505" s="79"/>
      <c r="BH1505" s="79"/>
      <c r="BI1505" s="79"/>
      <c r="BJ1505" s="3">
        <v>17.8</v>
      </c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29" t="s">
        <v>346</v>
      </c>
      <c r="CJ1505" s="18" t="s">
        <v>548</v>
      </c>
      <c r="CK1505" s="30"/>
    </row>
    <row r="1506" spans="1:99" x14ac:dyDescent="0.25">
      <c r="A1506" s="18" t="s">
        <v>548</v>
      </c>
      <c r="B1506" s="29" t="s">
        <v>344</v>
      </c>
      <c r="C1506" s="29" t="s">
        <v>347</v>
      </c>
      <c r="D1506" s="6">
        <v>34</v>
      </c>
      <c r="E1506" s="40">
        <v>2</v>
      </c>
      <c r="F1506" s="6">
        <v>32</v>
      </c>
      <c r="N1506" s="119">
        <v>5.0221565731166901E-2</v>
      </c>
      <c r="O1506" s="119">
        <v>4.7407407407407398E-2</v>
      </c>
      <c r="P1506" s="116" t="s">
        <v>83</v>
      </c>
      <c r="Q1506" s="119">
        <v>1</v>
      </c>
      <c r="R1506" s="115">
        <v>0</v>
      </c>
      <c r="S1506" s="119">
        <v>5.5248618784530398E-2</v>
      </c>
      <c r="T1506" s="119">
        <v>7.1856287425149698E-2</v>
      </c>
      <c r="U1506" s="119">
        <v>3.77358490566038E-2</v>
      </c>
      <c r="V1506" s="119">
        <v>2.5806451612903201E-2</v>
      </c>
      <c r="W1506" s="6">
        <v>618</v>
      </c>
      <c r="X1506" s="40">
        <f t="shared" si="102"/>
        <v>618</v>
      </c>
      <c r="Y1506" s="40">
        <f t="shared" si="103"/>
        <v>618</v>
      </c>
      <c r="Z1506" s="59">
        <v>0.52427184466019416</v>
      </c>
      <c r="AA1506" s="59">
        <v>0.47572815533980584</v>
      </c>
      <c r="AB1506" s="61">
        <v>0</v>
      </c>
      <c r="AC1506" s="61">
        <v>1.6181229773462782E-2</v>
      </c>
      <c r="AD1506" s="61">
        <v>0.55987055016181231</v>
      </c>
      <c r="AE1506" s="61">
        <v>1.7799352750809062E-2</v>
      </c>
      <c r="AF1506" s="61">
        <v>0</v>
      </c>
      <c r="AG1506" s="61">
        <v>0.3818770226537217</v>
      </c>
      <c r="AH1506" s="61">
        <v>2.4271844660194174E-2</v>
      </c>
      <c r="AI1506" s="61">
        <v>0.6181229773462783</v>
      </c>
      <c r="AJ1506" s="59">
        <v>0.69741100323624594</v>
      </c>
      <c r="AK1506" s="59">
        <v>6.4724919093851136E-3</v>
      </c>
      <c r="AL1506" s="4">
        <v>0</v>
      </c>
      <c r="AM1506" s="4">
        <v>0</v>
      </c>
      <c r="AN1506" s="4">
        <v>14</v>
      </c>
      <c r="AO1506" s="4">
        <v>163</v>
      </c>
      <c r="AP1506" s="4">
        <v>146</v>
      </c>
      <c r="AQ1506" s="4">
        <v>152</v>
      </c>
      <c r="AR1506" s="4">
        <v>143</v>
      </c>
      <c r="AS1506" s="59">
        <v>7.909604519774012E-2</v>
      </c>
      <c r="AT1506" s="3">
        <v>8</v>
      </c>
      <c r="AU1506" s="3">
        <v>6</v>
      </c>
      <c r="AV1506" s="49">
        <v>64.077669902912604</v>
      </c>
      <c r="AW1506" s="49">
        <v>12.944983818770201</v>
      </c>
      <c r="AX1506" s="49">
        <v>22.977346278317199</v>
      </c>
      <c r="AY1506" s="67">
        <v>0</v>
      </c>
      <c r="AZ1506" s="63">
        <v>0.13210445468509999</v>
      </c>
      <c r="BA1506" s="63">
        <v>0.14900153609830999</v>
      </c>
      <c r="BB1506" s="80">
        <v>91.3</v>
      </c>
      <c r="BC1506" s="80"/>
      <c r="BD1506" s="80"/>
      <c r="BE1506" s="80"/>
      <c r="BF1506" s="80"/>
      <c r="BG1506" s="80"/>
      <c r="BH1506" s="80"/>
      <c r="BI1506" s="80"/>
      <c r="BJ1506" s="3">
        <v>16.600000000000001</v>
      </c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29" t="s">
        <v>347</v>
      </c>
      <c r="CJ1506" s="18" t="s">
        <v>548</v>
      </c>
      <c r="CK1506" s="30"/>
    </row>
    <row r="1507" spans="1:99" x14ac:dyDescent="0.25">
      <c r="A1507" s="18" t="s">
        <v>548</v>
      </c>
      <c r="B1507" s="29" t="s">
        <v>348</v>
      </c>
      <c r="C1507" s="29" t="s">
        <v>349</v>
      </c>
      <c r="D1507" s="6">
        <v>3</v>
      </c>
      <c r="E1507" s="40" t="s">
        <v>83</v>
      </c>
      <c r="F1507" s="6">
        <v>3</v>
      </c>
      <c r="N1507" s="119">
        <v>5.5147058823529398E-3</v>
      </c>
      <c r="O1507" s="119">
        <v>5.5147058823529398E-3</v>
      </c>
      <c r="P1507" s="116" t="s">
        <v>83</v>
      </c>
      <c r="Q1507" s="116" t="s">
        <v>83</v>
      </c>
      <c r="R1507" s="115">
        <v>0</v>
      </c>
      <c r="S1507" s="115">
        <v>0</v>
      </c>
      <c r="T1507" s="119">
        <v>7.7519379844961196E-3</v>
      </c>
      <c r="U1507" s="115">
        <v>0</v>
      </c>
      <c r="V1507" s="119">
        <v>1.4492753623188401E-2</v>
      </c>
      <c r="W1507" s="6">
        <v>519</v>
      </c>
      <c r="X1507" s="40">
        <f t="shared" si="102"/>
        <v>519</v>
      </c>
      <c r="Y1507" s="40">
        <f t="shared" si="103"/>
        <v>519</v>
      </c>
      <c r="Z1507" s="59">
        <v>0.48747591522157996</v>
      </c>
      <c r="AA1507" s="59">
        <v>0.51252408477842004</v>
      </c>
      <c r="AB1507" s="61">
        <v>7.7071290944123313E-3</v>
      </c>
      <c r="AC1507" s="61">
        <v>9.6339113680154135E-3</v>
      </c>
      <c r="AD1507" s="61">
        <v>0.10789980732177264</v>
      </c>
      <c r="AE1507" s="61">
        <v>7.1290944123314062E-2</v>
      </c>
      <c r="AF1507" s="61">
        <v>0</v>
      </c>
      <c r="AG1507" s="61">
        <v>0.78420038535645475</v>
      </c>
      <c r="AH1507" s="61">
        <v>1.9267822736030827E-2</v>
      </c>
      <c r="AI1507" s="61">
        <v>0.21579961464354527</v>
      </c>
      <c r="AJ1507" s="59">
        <v>0.55105973025048172</v>
      </c>
      <c r="AK1507" s="59">
        <v>2.5048169556840076E-2</v>
      </c>
      <c r="AL1507" s="4">
        <v>0</v>
      </c>
      <c r="AM1507" s="4">
        <v>0</v>
      </c>
      <c r="AN1507" s="4">
        <v>19</v>
      </c>
      <c r="AO1507" s="4">
        <v>115</v>
      </c>
      <c r="AP1507" s="4">
        <v>122</v>
      </c>
      <c r="AQ1507" s="4">
        <v>128</v>
      </c>
      <c r="AR1507" s="4">
        <v>135</v>
      </c>
      <c r="AS1507" s="59">
        <v>0.1417910447761194</v>
      </c>
      <c r="AT1507" s="3">
        <v>9</v>
      </c>
      <c r="AU1507" s="3">
        <v>6</v>
      </c>
      <c r="AV1507" s="49">
        <v>60.483870967741908</v>
      </c>
      <c r="AW1507" s="49">
        <v>28.2258064516129</v>
      </c>
      <c r="AX1507" s="49">
        <v>9.67741935483871</v>
      </c>
      <c r="AY1507" s="67">
        <v>1.6129032258064497</v>
      </c>
      <c r="AZ1507" s="63">
        <v>8.8560885608856096E-2</v>
      </c>
      <c r="BA1507" s="63">
        <v>5.5350553505535104E-3</v>
      </c>
      <c r="BB1507" s="79">
        <v>92.6</v>
      </c>
      <c r="BC1507" s="79"/>
      <c r="BD1507" s="79"/>
      <c r="BE1507" s="79"/>
      <c r="BF1507" s="79"/>
      <c r="BG1507" s="79"/>
      <c r="BH1507" s="79"/>
      <c r="BI1507" s="79"/>
      <c r="BJ1507" s="3">
        <v>21</v>
      </c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29" t="s">
        <v>349</v>
      </c>
      <c r="CJ1507" s="18" t="s">
        <v>548</v>
      </c>
      <c r="CK1507" s="30"/>
    </row>
    <row r="1508" spans="1:99" x14ac:dyDescent="0.25">
      <c r="A1508" s="18" t="s">
        <v>548</v>
      </c>
      <c r="B1508" s="29" t="s">
        <v>348</v>
      </c>
      <c r="C1508" s="29" t="s">
        <v>350</v>
      </c>
      <c r="D1508" s="6">
        <v>0</v>
      </c>
      <c r="E1508" s="6">
        <v>0</v>
      </c>
      <c r="F1508" s="6">
        <v>0</v>
      </c>
      <c r="N1508" s="115">
        <v>0</v>
      </c>
      <c r="O1508" s="115">
        <v>0</v>
      </c>
      <c r="P1508" s="115">
        <v>0</v>
      </c>
      <c r="Q1508" s="115">
        <v>0</v>
      </c>
      <c r="R1508" s="115">
        <v>0</v>
      </c>
      <c r="S1508" s="115">
        <v>0</v>
      </c>
      <c r="T1508" s="115">
        <v>0</v>
      </c>
      <c r="U1508" s="115">
        <v>0</v>
      </c>
      <c r="V1508" s="115">
        <v>0</v>
      </c>
      <c r="W1508" s="6">
        <v>570</v>
      </c>
      <c r="X1508" s="40">
        <f t="shared" si="102"/>
        <v>187</v>
      </c>
      <c r="Y1508" s="40">
        <f t="shared" si="103"/>
        <v>274</v>
      </c>
      <c r="Z1508" s="59">
        <v>0.48596491228070177</v>
      </c>
      <c r="AA1508" s="59">
        <v>0.51403508771929829</v>
      </c>
      <c r="AB1508" s="61">
        <v>1.2280701754385965E-2</v>
      </c>
      <c r="AC1508" s="61">
        <v>0</v>
      </c>
      <c r="AD1508" s="61">
        <v>0.27719298245614032</v>
      </c>
      <c r="AE1508" s="61">
        <v>4.0350877192982457E-2</v>
      </c>
      <c r="AF1508" s="61">
        <v>0</v>
      </c>
      <c r="AG1508" s="61">
        <v>0.57894736842105265</v>
      </c>
      <c r="AH1508" s="61">
        <v>9.1228070175438603E-2</v>
      </c>
      <c r="AI1508" s="61">
        <v>0.42105263157894735</v>
      </c>
      <c r="AJ1508" s="59">
        <v>0.70877192982456139</v>
      </c>
      <c r="AK1508" s="59">
        <v>1.7543859649122807E-3</v>
      </c>
      <c r="AL1508" s="4">
        <v>43</v>
      </c>
      <c r="AM1508" s="4">
        <v>44</v>
      </c>
      <c r="AN1508" s="4">
        <v>12</v>
      </c>
      <c r="AO1508" s="4">
        <v>40</v>
      </c>
      <c r="AP1508" s="4">
        <v>56</v>
      </c>
      <c r="AQ1508" s="4">
        <v>35</v>
      </c>
      <c r="AR1508" s="4">
        <v>44</v>
      </c>
      <c r="AS1508" s="59">
        <v>0.23076923076923078</v>
      </c>
      <c r="AT1508" s="3">
        <v>1</v>
      </c>
      <c r="AU1508" s="3">
        <v>6</v>
      </c>
      <c r="AV1508" s="49">
        <v>68.918918918918905</v>
      </c>
      <c r="AW1508" s="49">
        <v>25.675675675675702</v>
      </c>
      <c r="AX1508" s="49">
        <v>5.4054054054054097</v>
      </c>
      <c r="AY1508" s="67">
        <v>0</v>
      </c>
      <c r="AZ1508" s="63">
        <v>9.5779220779220797E-2</v>
      </c>
      <c r="BA1508" s="63">
        <v>1.46103896103896E-2</v>
      </c>
      <c r="BB1508" s="80">
        <v>94</v>
      </c>
      <c r="BC1508" s="80"/>
      <c r="BD1508" s="80"/>
      <c r="BE1508" s="80"/>
      <c r="BF1508" s="80"/>
      <c r="BG1508" s="80"/>
      <c r="BH1508" s="80"/>
      <c r="BI1508" s="80"/>
      <c r="BJ1508" s="3">
        <v>17.899999999999999</v>
      </c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29" t="s">
        <v>350</v>
      </c>
      <c r="CJ1508" s="18" t="s">
        <v>548</v>
      </c>
      <c r="CK1508" s="30"/>
    </row>
    <row r="1509" spans="1:99" x14ac:dyDescent="0.25">
      <c r="A1509" s="18" t="s">
        <v>548</v>
      </c>
      <c r="B1509" s="29" t="s">
        <v>348</v>
      </c>
      <c r="C1509" s="29" t="s">
        <v>351</v>
      </c>
      <c r="D1509" s="6">
        <v>11</v>
      </c>
      <c r="E1509" s="40" t="s">
        <v>83</v>
      </c>
      <c r="F1509" s="6">
        <v>11</v>
      </c>
      <c r="N1509" s="119">
        <v>3.06406685236769E-2</v>
      </c>
      <c r="O1509" s="119">
        <v>3.06406685236769E-2</v>
      </c>
      <c r="P1509" s="116" t="s">
        <v>83</v>
      </c>
      <c r="Q1509" s="116" t="s">
        <v>83</v>
      </c>
      <c r="R1509" s="115">
        <v>0</v>
      </c>
      <c r="S1509" s="119">
        <v>3.125E-2</v>
      </c>
      <c r="T1509" s="119">
        <v>4.3956043956044001E-2</v>
      </c>
      <c r="U1509" s="119">
        <v>3.65853658536585E-2</v>
      </c>
      <c r="V1509" s="119">
        <v>1.26582278481013E-2</v>
      </c>
      <c r="W1509" s="6">
        <v>327</v>
      </c>
      <c r="X1509" s="40">
        <f t="shared" si="102"/>
        <v>327</v>
      </c>
      <c r="Y1509" s="40">
        <f t="shared" si="103"/>
        <v>327</v>
      </c>
      <c r="Z1509" s="59">
        <v>0.49235474006116209</v>
      </c>
      <c r="AA1509" s="59">
        <v>0.50764525993883791</v>
      </c>
      <c r="AB1509" s="61">
        <v>3.0581039755351682E-3</v>
      </c>
      <c r="AC1509" s="61">
        <v>6.1162079510703364E-3</v>
      </c>
      <c r="AD1509" s="61">
        <v>0.75535168195718649</v>
      </c>
      <c r="AE1509" s="61">
        <v>5.5045871559633031E-2</v>
      </c>
      <c r="AF1509" s="61">
        <v>0</v>
      </c>
      <c r="AG1509" s="61">
        <v>0.1620795107033639</v>
      </c>
      <c r="AH1509" s="61">
        <v>1.834862385321101E-2</v>
      </c>
      <c r="AI1509" s="61">
        <v>0.8379204892966361</v>
      </c>
      <c r="AJ1509" s="59">
        <v>0.86850152905198774</v>
      </c>
      <c r="AK1509" s="59">
        <v>3.9755351681957186E-2</v>
      </c>
      <c r="AL1509" s="4">
        <v>0</v>
      </c>
      <c r="AM1509" s="4">
        <v>0</v>
      </c>
      <c r="AN1509" s="4">
        <v>27</v>
      </c>
      <c r="AO1509" s="4">
        <v>66</v>
      </c>
      <c r="AP1509" s="4">
        <v>85</v>
      </c>
      <c r="AQ1509" s="4">
        <v>78</v>
      </c>
      <c r="AR1509" s="4">
        <v>71</v>
      </c>
      <c r="AS1509" s="59">
        <v>0.29032258064516131</v>
      </c>
      <c r="AT1509" s="3">
        <v>9</v>
      </c>
      <c r="AU1509" s="3">
        <v>6</v>
      </c>
      <c r="AV1509" s="49">
        <v>76.804123711340196</v>
      </c>
      <c r="AW1509" s="49">
        <v>18.556701030927801</v>
      </c>
      <c r="AX1509" s="49">
        <v>4.63917525773196</v>
      </c>
      <c r="AY1509" s="67">
        <v>0</v>
      </c>
      <c r="AZ1509" s="63">
        <v>0.436974789915966</v>
      </c>
      <c r="BA1509" s="63">
        <v>2.2408963585434202E-2</v>
      </c>
      <c r="BB1509" s="79">
        <v>89.7</v>
      </c>
      <c r="BC1509" s="79"/>
      <c r="BD1509" s="79"/>
      <c r="BE1509" s="79"/>
      <c r="BF1509" s="79"/>
      <c r="BG1509" s="79"/>
      <c r="BH1509" s="79"/>
      <c r="BI1509" s="79"/>
      <c r="BJ1509" s="3">
        <v>17.399999999999999</v>
      </c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29" t="s">
        <v>351</v>
      </c>
      <c r="CJ1509" s="18" t="s">
        <v>548</v>
      </c>
      <c r="CK1509" s="30"/>
    </row>
    <row r="1510" spans="1:99" x14ac:dyDescent="0.25">
      <c r="A1510" s="18" t="s">
        <v>548</v>
      </c>
      <c r="B1510" s="29" t="s">
        <v>348</v>
      </c>
      <c r="C1510" s="29" t="s">
        <v>352</v>
      </c>
      <c r="D1510" s="6">
        <v>1</v>
      </c>
      <c r="E1510" s="40" t="s">
        <v>83</v>
      </c>
      <c r="F1510" s="6">
        <v>1</v>
      </c>
      <c r="N1510" s="119">
        <v>1.2610340479192899E-3</v>
      </c>
      <c r="O1510" s="119">
        <v>1.2610340479192899E-3</v>
      </c>
      <c r="P1510" s="116" t="s">
        <v>83</v>
      </c>
      <c r="Q1510" s="116" t="s">
        <v>83</v>
      </c>
      <c r="R1510" s="115">
        <v>0</v>
      </c>
      <c r="S1510" s="115">
        <v>0</v>
      </c>
      <c r="T1510" s="115">
        <v>0</v>
      </c>
      <c r="U1510" s="115">
        <v>0</v>
      </c>
      <c r="V1510" s="119">
        <v>5.6818181818181802E-3</v>
      </c>
      <c r="W1510" s="6">
        <v>731</v>
      </c>
      <c r="X1510" s="40">
        <f t="shared" si="102"/>
        <v>731</v>
      </c>
      <c r="Y1510" s="40">
        <f t="shared" si="103"/>
        <v>731</v>
      </c>
      <c r="Z1510" s="59">
        <v>0.49247606019151846</v>
      </c>
      <c r="AA1510" s="59">
        <v>0.50752393980848154</v>
      </c>
      <c r="AB1510" s="61">
        <v>2.7359781121751026E-3</v>
      </c>
      <c r="AC1510" s="61">
        <v>2.0519835841313269E-2</v>
      </c>
      <c r="AD1510" s="61">
        <v>0.22161422708618331</v>
      </c>
      <c r="AE1510" s="61">
        <v>0.25444596443228457</v>
      </c>
      <c r="AF1510" s="61">
        <v>0</v>
      </c>
      <c r="AG1510" s="61">
        <v>0.48016415868673051</v>
      </c>
      <c r="AH1510" s="61">
        <v>2.0519835841313269E-2</v>
      </c>
      <c r="AI1510" s="61">
        <v>0.51983584131326954</v>
      </c>
      <c r="AJ1510" s="59">
        <v>0.78659370725034194</v>
      </c>
      <c r="AK1510" s="59">
        <v>0.10807113543091655</v>
      </c>
      <c r="AL1510" s="4">
        <v>0</v>
      </c>
      <c r="AM1510" s="4">
        <v>0</v>
      </c>
      <c r="AN1510" s="4">
        <v>43</v>
      </c>
      <c r="AO1510" s="4">
        <v>177</v>
      </c>
      <c r="AP1510" s="4">
        <v>161</v>
      </c>
      <c r="AQ1510" s="4">
        <v>182</v>
      </c>
      <c r="AR1510" s="4">
        <v>168</v>
      </c>
      <c r="AS1510" s="59">
        <v>0.19545454545454546</v>
      </c>
      <c r="AT1510" s="3">
        <v>9</v>
      </c>
      <c r="AU1510" s="3">
        <v>6</v>
      </c>
      <c r="AV1510" s="49">
        <v>75.242718446601899</v>
      </c>
      <c r="AW1510" s="49">
        <v>17.475728155339802</v>
      </c>
      <c r="AX1510" s="49">
        <v>7.0388349514563107</v>
      </c>
      <c r="AY1510" s="67">
        <v>0.24271844660194197</v>
      </c>
      <c r="AZ1510" s="63">
        <v>0.20833333333333301</v>
      </c>
      <c r="BA1510" s="63">
        <v>1.2626262626262599E-3</v>
      </c>
      <c r="BB1510" s="80">
        <v>93.3</v>
      </c>
      <c r="BC1510" s="80"/>
      <c r="BD1510" s="80"/>
      <c r="BE1510" s="80"/>
      <c r="BF1510" s="80"/>
      <c r="BG1510" s="80"/>
      <c r="BH1510" s="80"/>
      <c r="BI1510" s="80"/>
      <c r="BJ1510" s="3">
        <v>17.8</v>
      </c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29" t="s">
        <v>352</v>
      </c>
      <c r="CJ1510" s="18" t="s">
        <v>548</v>
      </c>
      <c r="CK1510" s="30"/>
    </row>
    <row r="1511" spans="1:99" x14ac:dyDescent="0.25">
      <c r="A1511" s="18" t="s">
        <v>548</v>
      </c>
      <c r="B1511" s="29" t="s">
        <v>348</v>
      </c>
      <c r="C1511" s="29" t="s">
        <v>353</v>
      </c>
      <c r="D1511" s="6">
        <v>1</v>
      </c>
      <c r="E1511" s="40" t="s">
        <v>83</v>
      </c>
      <c r="F1511" s="6">
        <v>1</v>
      </c>
      <c r="N1511" s="119">
        <v>2.0040080160320601E-3</v>
      </c>
      <c r="O1511" s="119">
        <v>2.0040080160320601E-3</v>
      </c>
      <c r="P1511" s="116" t="s">
        <v>83</v>
      </c>
      <c r="Q1511" s="116" t="s">
        <v>83</v>
      </c>
      <c r="R1511" s="115">
        <v>0</v>
      </c>
      <c r="S1511" s="115">
        <v>0</v>
      </c>
      <c r="T1511" s="115">
        <v>0</v>
      </c>
      <c r="U1511" s="115">
        <v>0</v>
      </c>
      <c r="V1511" s="119">
        <v>9.3457943925233603E-3</v>
      </c>
      <c r="W1511" s="6">
        <v>458</v>
      </c>
      <c r="X1511" s="40">
        <f t="shared" si="102"/>
        <v>458</v>
      </c>
      <c r="Y1511" s="40">
        <f t="shared" si="103"/>
        <v>458</v>
      </c>
      <c r="Z1511" s="59">
        <v>0.5</v>
      </c>
      <c r="AA1511" s="59">
        <v>0.5</v>
      </c>
      <c r="AB1511" s="61">
        <v>6.5502183406113534E-3</v>
      </c>
      <c r="AC1511" s="61">
        <v>2.1834061135371178E-3</v>
      </c>
      <c r="AD1511" s="61">
        <v>0.47816593886462883</v>
      </c>
      <c r="AE1511" s="61">
        <v>3.9301310043668124E-2</v>
      </c>
      <c r="AF1511" s="61">
        <v>2.1834061135371178E-3</v>
      </c>
      <c r="AG1511" s="61">
        <v>0.44978165938864628</v>
      </c>
      <c r="AH1511" s="61">
        <v>2.1834061135371178E-2</v>
      </c>
      <c r="AI1511" s="61">
        <v>0.55021834061135366</v>
      </c>
      <c r="AJ1511" s="59">
        <v>0.74672489082969429</v>
      </c>
      <c r="AK1511" s="59">
        <v>1.7467248908296942E-2</v>
      </c>
      <c r="AL1511" s="4">
        <v>0</v>
      </c>
      <c r="AM1511" s="4">
        <v>0</v>
      </c>
      <c r="AN1511" s="4">
        <v>30</v>
      </c>
      <c r="AO1511" s="4">
        <v>100</v>
      </c>
      <c r="AP1511" s="4">
        <v>108</v>
      </c>
      <c r="AQ1511" s="4">
        <v>120</v>
      </c>
      <c r="AR1511" s="4">
        <v>100</v>
      </c>
      <c r="AS1511" s="59">
        <v>0.23076923076923078</v>
      </c>
      <c r="AT1511" s="3">
        <v>9</v>
      </c>
      <c r="AU1511" s="3">
        <v>6</v>
      </c>
      <c r="AV1511" s="49">
        <v>60.829493087557594</v>
      </c>
      <c r="AW1511" s="49">
        <v>23.502304147465399</v>
      </c>
      <c r="AX1511" s="49">
        <v>14.746543778801799</v>
      </c>
      <c r="AY1511" s="67">
        <v>0.92165898617511499</v>
      </c>
      <c r="AZ1511" s="63">
        <v>0.220440881763527</v>
      </c>
      <c r="BA1511" s="63">
        <v>0</v>
      </c>
      <c r="BB1511" s="79">
        <v>92.1</v>
      </c>
      <c r="BC1511" s="79"/>
      <c r="BD1511" s="79"/>
      <c r="BE1511" s="79"/>
      <c r="BF1511" s="79"/>
      <c r="BG1511" s="79"/>
      <c r="BH1511" s="79"/>
      <c r="BI1511" s="79"/>
      <c r="BJ1511" s="3">
        <v>18.600000000000001</v>
      </c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29" t="s">
        <v>353</v>
      </c>
      <c r="CJ1511" s="18" t="s">
        <v>548</v>
      </c>
      <c r="CK1511" s="30"/>
    </row>
    <row r="1512" spans="1:99" x14ac:dyDescent="0.25">
      <c r="A1512" s="18" t="s">
        <v>548</v>
      </c>
      <c r="B1512" s="29" t="s">
        <v>348</v>
      </c>
      <c r="C1512" s="29" t="s">
        <v>354</v>
      </c>
      <c r="D1512" s="6">
        <v>0</v>
      </c>
      <c r="E1512" s="40" t="s">
        <v>83</v>
      </c>
      <c r="F1512" s="6">
        <v>0</v>
      </c>
      <c r="N1512" s="115">
        <v>0</v>
      </c>
      <c r="O1512" s="115">
        <v>0</v>
      </c>
      <c r="P1512" s="116" t="s">
        <v>83</v>
      </c>
      <c r="Q1512" s="116" t="s">
        <v>83</v>
      </c>
      <c r="R1512" s="115">
        <v>0</v>
      </c>
      <c r="S1512" s="115">
        <v>0</v>
      </c>
      <c r="T1512" s="115">
        <v>0</v>
      </c>
      <c r="U1512" s="115">
        <v>0</v>
      </c>
      <c r="V1512" s="115">
        <v>0</v>
      </c>
      <c r="W1512" s="6">
        <v>347</v>
      </c>
      <c r="X1512" s="40">
        <f t="shared" si="102"/>
        <v>347</v>
      </c>
      <c r="Y1512" s="40">
        <f t="shared" si="103"/>
        <v>347</v>
      </c>
      <c r="Z1512" s="59">
        <v>0.50144092219020175</v>
      </c>
      <c r="AA1512" s="59">
        <v>0.49855907780979825</v>
      </c>
      <c r="AB1512" s="61">
        <v>3.1700288184438041E-2</v>
      </c>
      <c r="AC1512" s="61">
        <v>5.763688760806916E-3</v>
      </c>
      <c r="AD1512" s="61">
        <v>0.73198847262247835</v>
      </c>
      <c r="AE1512" s="61">
        <v>8.6455331412103754E-3</v>
      </c>
      <c r="AF1512" s="61">
        <v>0</v>
      </c>
      <c r="AG1512" s="61">
        <v>0.1729106628242075</v>
      </c>
      <c r="AH1512" s="61">
        <v>4.8991354466858789E-2</v>
      </c>
      <c r="AI1512" s="61">
        <v>0.82708933717579247</v>
      </c>
      <c r="AJ1512" s="59">
        <v>0.82132564841498557</v>
      </c>
      <c r="AK1512" s="59">
        <v>0</v>
      </c>
      <c r="AL1512" s="4">
        <v>0</v>
      </c>
      <c r="AM1512" s="4">
        <v>0</v>
      </c>
      <c r="AN1512" s="4">
        <v>20</v>
      </c>
      <c r="AO1512" s="4">
        <v>65</v>
      </c>
      <c r="AP1512" s="4">
        <v>81</v>
      </c>
      <c r="AQ1512" s="4">
        <v>98</v>
      </c>
      <c r="AR1512" s="4">
        <v>83</v>
      </c>
      <c r="AS1512" s="59">
        <v>0.23529411764705882</v>
      </c>
      <c r="AT1512" s="3">
        <v>9</v>
      </c>
      <c r="AU1512" s="3">
        <v>6</v>
      </c>
      <c r="AV1512" s="49">
        <v>70.224719101123597</v>
      </c>
      <c r="AW1512" s="49">
        <v>17.977528089887603</v>
      </c>
      <c r="AX1512" s="49">
        <v>11.7977528089888</v>
      </c>
      <c r="AY1512" s="67">
        <v>0</v>
      </c>
      <c r="AZ1512" s="63">
        <v>0.286885245901639</v>
      </c>
      <c r="BA1512" s="63">
        <v>2.7322404371584699E-3</v>
      </c>
      <c r="BB1512" s="80">
        <v>92.4</v>
      </c>
      <c r="BC1512" s="80"/>
      <c r="BD1512" s="80"/>
      <c r="BE1512" s="80"/>
      <c r="BF1512" s="80"/>
      <c r="BG1512" s="80"/>
      <c r="BH1512" s="80"/>
      <c r="BI1512" s="80"/>
      <c r="BJ1512" s="3">
        <v>16</v>
      </c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29" t="s">
        <v>354</v>
      </c>
      <c r="CJ1512" s="18" t="s">
        <v>548</v>
      </c>
      <c r="CK1512" s="30"/>
    </row>
    <row r="1513" spans="1:99" s="1" customFormat="1" ht="21" customHeight="1" x14ac:dyDescent="0.25">
      <c r="A1513" s="21" t="s">
        <v>0</v>
      </c>
      <c r="B1513" s="22" t="s">
        <v>1</v>
      </c>
      <c r="C1513" s="22" t="s">
        <v>2</v>
      </c>
      <c r="D1513" s="9" t="s">
        <v>3</v>
      </c>
      <c r="E1513" s="9" t="s">
        <v>4</v>
      </c>
      <c r="F1513" s="9" t="s">
        <v>5</v>
      </c>
      <c r="G1513" s="167"/>
      <c r="H1513" s="168"/>
      <c r="I1513" s="168"/>
      <c r="J1513" s="168"/>
      <c r="K1513" s="168"/>
      <c r="L1513" s="168"/>
      <c r="M1513" s="168"/>
      <c r="N1513" s="120" t="s">
        <v>6</v>
      </c>
      <c r="O1513" s="120" t="s">
        <v>7</v>
      </c>
      <c r="P1513" s="120" t="s">
        <v>8</v>
      </c>
      <c r="Q1513" s="120" t="s">
        <v>9</v>
      </c>
      <c r="R1513" s="120" t="s">
        <v>10</v>
      </c>
      <c r="S1513" s="120" t="s">
        <v>11</v>
      </c>
      <c r="T1513" s="120" t="s">
        <v>12</v>
      </c>
      <c r="U1513" s="120" t="s">
        <v>13</v>
      </c>
      <c r="V1513" s="120" t="s">
        <v>14</v>
      </c>
      <c r="W1513" s="41" t="s">
        <v>15</v>
      </c>
      <c r="X1513" s="41" t="s">
        <v>16</v>
      </c>
      <c r="Y1513" s="41" t="s">
        <v>17</v>
      </c>
      <c r="Z1513" s="107" t="s">
        <v>18</v>
      </c>
      <c r="AA1513" s="107" t="s">
        <v>19</v>
      </c>
      <c r="AB1513" s="95" t="s">
        <v>20</v>
      </c>
      <c r="AC1513" s="95" t="s">
        <v>21</v>
      </c>
      <c r="AD1513" s="95" t="s">
        <v>22</v>
      </c>
      <c r="AE1513" s="95" t="s">
        <v>23</v>
      </c>
      <c r="AF1513" s="95" t="s">
        <v>24</v>
      </c>
      <c r="AG1513" s="95" t="s">
        <v>25</v>
      </c>
      <c r="AH1513" s="95" t="s">
        <v>26</v>
      </c>
      <c r="AI1513" s="95" t="s">
        <v>27</v>
      </c>
      <c r="AJ1513" s="95" t="s">
        <v>28</v>
      </c>
      <c r="AK1513" s="107" t="s">
        <v>29</v>
      </c>
      <c r="AL1513" s="42" t="s">
        <v>30</v>
      </c>
      <c r="AM1513" s="42" t="s">
        <v>31</v>
      </c>
      <c r="AN1513" s="42" t="s">
        <v>32</v>
      </c>
      <c r="AO1513" s="42" t="s">
        <v>33</v>
      </c>
      <c r="AP1513" s="42" t="s">
        <v>34</v>
      </c>
      <c r="AQ1513" s="42" t="s">
        <v>35</v>
      </c>
      <c r="AR1513" s="42" t="s">
        <v>36</v>
      </c>
      <c r="AS1513" s="100" t="s">
        <v>37</v>
      </c>
      <c r="AT1513" s="41" t="s">
        <v>38</v>
      </c>
      <c r="AU1513" s="23" t="s">
        <v>39</v>
      </c>
      <c r="AV1513" s="51" t="s">
        <v>40</v>
      </c>
      <c r="AW1513" s="51" t="s">
        <v>41</v>
      </c>
      <c r="AX1513" s="51" t="s">
        <v>42</v>
      </c>
      <c r="AY1513" s="66" t="s">
        <v>43</v>
      </c>
      <c r="AZ1513" s="58" t="s">
        <v>44</v>
      </c>
      <c r="BA1513" s="58" t="s">
        <v>45</v>
      </c>
      <c r="BB1513" s="75" t="s">
        <v>46</v>
      </c>
      <c r="BC1513" s="75" t="s">
        <v>47</v>
      </c>
      <c r="BD1513" s="89" t="s">
        <v>48</v>
      </c>
      <c r="BE1513" s="89" t="s">
        <v>49</v>
      </c>
      <c r="BF1513" s="89" t="s">
        <v>50</v>
      </c>
      <c r="BG1513" s="89" t="s">
        <v>51</v>
      </c>
      <c r="BH1513" s="89" t="s">
        <v>52</v>
      </c>
      <c r="BI1513" s="89" t="s">
        <v>53</v>
      </c>
      <c r="BJ1513" s="86" t="s">
        <v>54</v>
      </c>
      <c r="BK1513" s="123" t="s">
        <v>55</v>
      </c>
      <c r="BL1513" s="123" t="s">
        <v>56</v>
      </c>
      <c r="BM1513" s="123" t="s">
        <v>57</v>
      </c>
      <c r="BN1513" s="123" t="s">
        <v>58</v>
      </c>
      <c r="BO1513" s="131" t="s">
        <v>59</v>
      </c>
      <c r="BP1513" s="131" t="s">
        <v>60</v>
      </c>
      <c r="BQ1513" s="131" t="s">
        <v>61</v>
      </c>
      <c r="BR1513" s="131" t="s">
        <v>62</v>
      </c>
      <c r="BS1513" s="131" t="s">
        <v>63</v>
      </c>
      <c r="BT1513" s="131" t="s">
        <v>64</v>
      </c>
      <c r="BU1513" s="131" t="s">
        <v>65</v>
      </c>
      <c r="BV1513" s="132" t="s">
        <v>66</v>
      </c>
      <c r="BW1513" s="132" t="s">
        <v>67</v>
      </c>
      <c r="BX1513" s="132" t="s">
        <v>68</v>
      </c>
      <c r="BY1513" s="132" t="s">
        <v>69</v>
      </c>
      <c r="BZ1513" s="132" t="s">
        <v>70</v>
      </c>
      <c r="CA1513" s="132" t="s">
        <v>71</v>
      </c>
      <c r="CB1513" s="132" t="s">
        <v>72</v>
      </c>
      <c r="CC1513" s="123" t="s">
        <v>73</v>
      </c>
      <c r="CD1513" s="123" t="s">
        <v>74</v>
      </c>
      <c r="CE1513" s="123" t="s">
        <v>75</v>
      </c>
      <c r="CF1513" s="123" t="s">
        <v>76</v>
      </c>
      <c r="CG1513" s="123" t="s">
        <v>77</v>
      </c>
      <c r="CH1513" s="123" t="s">
        <v>78</v>
      </c>
      <c r="CI1513" s="22" t="s">
        <v>2</v>
      </c>
      <c r="CJ1513" s="21" t="s">
        <v>0</v>
      </c>
      <c r="CK1513" s="24" t="s">
        <v>79</v>
      </c>
      <c r="CL1513"/>
      <c r="CM1513"/>
      <c r="CN1513"/>
      <c r="CO1513"/>
      <c r="CP1513"/>
      <c r="CQ1513"/>
      <c r="CR1513"/>
      <c r="CS1513"/>
      <c r="CT1513"/>
      <c r="CU1513"/>
    </row>
    <row r="1514" spans="1:99" x14ac:dyDescent="0.25">
      <c r="A1514" s="18" t="s">
        <v>548</v>
      </c>
      <c r="B1514" s="29" t="s">
        <v>355</v>
      </c>
      <c r="C1514" s="29" t="s">
        <v>356</v>
      </c>
      <c r="D1514" s="6">
        <v>64</v>
      </c>
      <c r="E1514" s="40" t="s">
        <v>83</v>
      </c>
      <c r="F1514" s="6">
        <v>64</v>
      </c>
      <c r="N1514" s="119">
        <v>3.83693045563549E-2</v>
      </c>
      <c r="O1514" s="119">
        <v>3.83693045563549E-2</v>
      </c>
      <c r="P1514" s="116" t="s">
        <v>83</v>
      </c>
      <c r="Q1514" s="116" t="s">
        <v>83</v>
      </c>
      <c r="R1514" s="115">
        <v>0</v>
      </c>
      <c r="S1514" s="119">
        <v>2.7310924369747899E-2</v>
      </c>
      <c r="T1514" s="119">
        <v>2.5345622119815701E-2</v>
      </c>
      <c r="U1514" s="119">
        <v>5.7356608478803001E-2</v>
      </c>
      <c r="V1514" s="119">
        <v>4.8710601719197701E-2</v>
      </c>
      <c r="W1514" s="6">
        <v>1552</v>
      </c>
      <c r="X1514" s="40">
        <f t="shared" ref="X1514:X1568" si="104">SUM(AN1514:AR1514)</f>
        <v>1552</v>
      </c>
      <c r="Y1514" s="40">
        <f t="shared" ref="Y1514:Y1568" si="105">SUM(AL1514:AR1514)</f>
        <v>1552</v>
      </c>
      <c r="Z1514" s="59">
        <v>0.50386597938144329</v>
      </c>
      <c r="AA1514" s="59">
        <v>0.49613402061855671</v>
      </c>
      <c r="AB1514" s="61">
        <v>3.2216494845360823E-3</v>
      </c>
      <c r="AC1514" s="61">
        <v>1.095360824742268E-2</v>
      </c>
      <c r="AD1514" s="61">
        <v>0.17332474226804123</v>
      </c>
      <c r="AE1514" s="61">
        <v>5.9278350515463915E-2</v>
      </c>
      <c r="AF1514" s="61">
        <v>0</v>
      </c>
      <c r="AG1514" s="61">
        <v>0.74291237113402064</v>
      </c>
      <c r="AH1514" s="61">
        <v>1.0309278350515464E-2</v>
      </c>
      <c r="AI1514" s="61">
        <v>0.25708762886597936</v>
      </c>
      <c r="AJ1514" s="59">
        <v>0.56378865979381443</v>
      </c>
      <c r="AK1514" s="59">
        <v>2.0618556701030927E-2</v>
      </c>
      <c r="AL1514" s="4">
        <v>0</v>
      </c>
      <c r="AM1514" s="4">
        <v>0</v>
      </c>
      <c r="AN1514" s="4">
        <v>6</v>
      </c>
      <c r="AO1514" s="4">
        <v>429</v>
      </c>
      <c r="AP1514" s="4">
        <v>404</v>
      </c>
      <c r="AQ1514" s="4">
        <v>374</v>
      </c>
      <c r="AR1514" s="4">
        <v>339</v>
      </c>
      <c r="AS1514" s="59">
        <v>1.3793103448275862E-2</v>
      </c>
      <c r="AT1514" s="3">
        <v>9</v>
      </c>
      <c r="AU1514" s="3">
        <v>6</v>
      </c>
      <c r="AV1514" s="49">
        <v>60.801256873527102</v>
      </c>
      <c r="AW1514" s="49">
        <v>15.475255302435201</v>
      </c>
      <c r="AX1514" s="49">
        <v>21.1311861743912</v>
      </c>
      <c r="AY1514" s="67">
        <v>2.5923016496465001</v>
      </c>
      <c r="AZ1514" s="63">
        <v>0.179518072289157</v>
      </c>
      <c r="BA1514" s="63">
        <v>9.2771084337349402E-2</v>
      </c>
      <c r="BB1514" s="79">
        <v>93.1</v>
      </c>
      <c r="BC1514" s="79"/>
      <c r="BD1514" s="79"/>
      <c r="BE1514" s="79"/>
      <c r="BF1514" s="79"/>
      <c r="BG1514" s="79"/>
      <c r="BH1514" s="79"/>
      <c r="BI1514" s="79"/>
      <c r="BJ1514" s="3">
        <v>20.100000000000001</v>
      </c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29" t="s">
        <v>356</v>
      </c>
      <c r="CJ1514" s="18" t="s">
        <v>548</v>
      </c>
      <c r="CK1514" s="30"/>
    </row>
    <row r="1515" spans="1:99" x14ac:dyDescent="0.25">
      <c r="A1515" s="18" t="s">
        <v>548</v>
      </c>
      <c r="B1515" s="29" t="s">
        <v>355</v>
      </c>
      <c r="C1515" s="29" t="s">
        <v>357</v>
      </c>
      <c r="D1515" s="6">
        <v>31</v>
      </c>
      <c r="E1515" s="40" t="s">
        <v>83</v>
      </c>
      <c r="F1515" s="6">
        <v>31</v>
      </c>
      <c r="N1515" s="119">
        <v>1.52859960552268E-2</v>
      </c>
      <c r="O1515" s="119">
        <v>1.52859960552268E-2</v>
      </c>
      <c r="P1515" s="116" t="s">
        <v>83</v>
      </c>
      <c r="Q1515" s="116" t="s">
        <v>83</v>
      </c>
      <c r="R1515" s="115">
        <v>0</v>
      </c>
      <c r="S1515" s="119">
        <v>9.5238095238095195E-3</v>
      </c>
      <c r="T1515" s="119">
        <v>1.7699115044247801E-2</v>
      </c>
      <c r="U1515" s="119">
        <v>2.7426160337552699E-2</v>
      </c>
      <c r="V1515" s="119">
        <v>6.4655172413793103E-3</v>
      </c>
      <c r="W1515" s="6">
        <v>1948</v>
      </c>
      <c r="X1515" s="40">
        <f t="shared" si="104"/>
        <v>1948</v>
      </c>
      <c r="Y1515" s="40">
        <f t="shared" si="105"/>
        <v>1948</v>
      </c>
      <c r="Z1515" s="59">
        <v>0.53028747433264889</v>
      </c>
      <c r="AA1515" s="59">
        <v>0.46971252566735111</v>
      </c>
      <c r="AB1515" s="61">
        <v>5.1334702258726897E-3</v>
      </c>
      <c r="AC1515" s="61">
        <v>1.5400410677618069E-2</v>
      </c>
      <c r="AD1515" s="61">
        <v>6.5708418891170434E-2</v>
      </c>
      <c r="AE1515" s="61">
        <v>4.9281314168377825E-2</v>
      </c>
      <c r="AF1515" s="61">
        <v>1.026694045174538E-3</v>
      </c>
      <c r="AG1515" s="61">
        <v>0.84958932238193019</v>
      </c>
      <c r="AH1515" s="61">
        <v>1.3860369609856264E-2</v>
      </c>
      <c r="AI1515" s="61">
        <v>0.15041067761806981</v>
      </c>
      <c r="AJ1515" s="59">
        <v>0.25359342915811089</v>
      </c>
      <c r="AK1515" s="59">
        <v>1.0266940451745379E-2</v>
      </c>
      <c r="AL1515" s="4">
        <v>0</v>
      </c>
      <c r="AM1515" s="4">
        <v>0</v>
      </c>
      <c r="AN1515" s="4">
        <v>1</v>
      </c>
      <c r="AO1515" s="4">
        <v>501</v>
      </c>
      <c r="AP1515" s="4">
        <v>527</v>
      </c>
      <c r="AQ1515" s="4">
        <v>464</v>
      </c>
      <c r="AR1515" s="4">
        <v>455</v>
      </c>
      <c r="AS1515" s="59">
        <v>1.9920318725099601E-3</v>
      </c>
      <c r="AT1515" s="3">
        <v>9</v>
      </c>
      <c r="AU1515" s="3">
        <v>6</v>
      </c>
      <c r="AV1515" s="49">
        <v>68.297331639136004</v>
      </c>
      <c r="AW1515" s="49">
        <v>22.363405336721701</v>
      </c>
      <c r="AX1515" s="49">
        <v>8.1321473951715397</v>
      </c>
      <c r="AY1515" s="67">
        <v>1.2071156289707801</v>
      </c>
      <c r="AZ1515" s="63">
        <v>4.3069306930693101E-2</v>
      </c>
      <c r="BA1515" s="63">
        <v>5.3465346534653499E-2</v>
      </c>
      <c r="BB1515" s="80">
        <v>95</v>
      </c>
      <c r="BC1515" s="80"/>
      <c r="BD1515" s="80"/>
      <c r="BE1515" s="80"/>
      <c r="BF1515" s="80"/>
      <c r="BG1515" s="80"/>
      <c r="BH1515" s="80"/>
      <c r="BI1515" s="80"/>
      <c r="BJ1515" s="3">
        <v>22.9</v>
      </c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29" t="s">
        <v>357</v>
      </c>
      <c r="CJ1515" s="18" t="s">
        <v>548</v>
      </c>
      <c r="CK1515" s="30"/>
    </row>
    <row r="1516" spans="1:99" x14ac:dyDescent="0.25">
      <c r="A1516" s="18" t="s">
        <v>548</v>
      </c>
      <c r="B1516" s="29" t="s">
        <v>355</v>
      </c>
      <c r="C1516" s="29" t="s">
        <v>358</v>
      </c>
      <c r="D1516" s="6">
        <v>23</v>
      </c>
      <c r="E1516" s="40" t="s">
        <v>83</v>
      </c>
      <c r="F1516" s="6">
        <v>23</v>
      </c>
      <c r="N1516" s="119">
        <v>3.0789825970548901E-2</v>
      </c>
      <c r="O1516" s="119">
        <v>3.0789825970548901E-2</v>
      </c>
      <c r="P1516" s="116" t="s">
        <v>83</v>
      </c>
      <c r="Q1516" s="116" t="s">
        <v>83</v>
      </c>
      <c r="R1516" s="119">
        <v>0.133333333333333</v>
      </c>
      <c r="S1516" s="119">
        <v>1.21951219512195E-2</v>
      </c>
      <c r="T1516" s="119">
        <v>2.5000000000000001E-2</v>
      </c>
      <c r="U1516" s="119">
        <v>1.5075376884422099E-2</v>
      </c>
      <c r="V1516" s="119">
        <v>6.5088757396449703E-2</v>
      </c>
      <c r="W1516" s="6">
        <v>699</v>
      </c>
      <c r="X1516" s="40">
        <f t="shared" si="104"/>
        <v>699</v>
      </c>
      <c r="Y1516" s="40">
        <f t="shared" si="105"/>
        <v>699</v>
      </c>
      <c r="Z1516" s="59">
        <v>0.51788268955650929</v>
      </c>
      <c r="AA1516" s="59">
        <v>0.48211731044349071</v>
      </c>
      <c r="AB1516" s="61">
        <v>1.4306151645207439E-3</v>
      </c>
      <c r="AC1516" s="61">
        <v>0</v>
      </c>
      <c r="AD1516" s="61">
        <v>0.10157367668097282</v>
      </c>
      <c r="AE1516" s="61">
        <v>4.5779685264663805E-2</v>
      </c>
      <c r="AF1516" s="61">
        <v>1.4306151645207439E-3</v>
      </c>
      <c r="AG1516" s="61">
        <v>0.83690987124463523</v>
      </c>
      <c r="AH1516" s="61">
        <v>1.2875536480686695E-2</v>
      </c>
      <c r="AI1516" s="61">
        <v>0.1630901287553648</v>
      </c>
      <c r="AJ1516" s="59">
        <v>0.66952789699570814</v>
      </c>
      <c r="AK1516" s="59">
        <v>1.4306151645207439E-2</v>
      </c>
      <c r="AL1516" s="4">
        <v>0</v>
      </c>
      <c r="AM1516" s="4">
        <v>0</v>
      </c>
      <c r="AN1516" s="4">
        <v>14</v>
      </c>
      <c r="AO1516" s="4">
        <v>154</v>
      </c>
      <c r="AP1516" s="4">
        <v>185</v>
      </c>
      <c r="AQ1516" s="4">
        <v>184</v>
      </c>
      <c r="AR1516" s="4">
        <v>162</v>
      </c>
      <c r="AS1516" s="59">
        <v>8.3333333333333329E-2</v>
      </c>
      <c r="AT1516" s="3">
        <v>9</v>
      </c>
      <c r="AU1516" s="3">
        <v>6</v>
      </c>
      <c r="AV1516" s="49">
        <v>81.313131313131308</v>
      </c>
      <c r="AW1516" s="49">
        <v>15.656565656565698</v>
      </c>
      <c r="AX1516" s="49">
        <v>2.9040404040404</v>
      </c>
      <c r="AY1516" s="67">
        <v>0.12626262626262599</v>
      </c>
      <c r="AZ1516" s="63">
        <v>6.6126855600539797E-2</v>
      </c>
      <c r="BA1516" s="63">
        <v>0.13495276653171401</v>
      </c>
      <c r="BB1516" s="79">
        <v>92.4</v>
      </c>
      <c r="BC1516" s="79"/>
      <c r="BD1516" s="79"/>
      <c r="BE1516" s="79"/>
      <c r="BF1516" s="79"/>
      <c r="BG1516" s="79"/>
      <c r="BH1516" s="79"/>
      <c r="BI1516" s="79"/>
      <c r="BJ1516" s="3">
        <v>19.399999999999999</v>
      </c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29" t="s">
        <v>358</v>
      </c>
      <c r="CJ1516" s="18" t="s">
        <v>548</v>
      </c>
      <c r="CK1516" s="30"/>
    </row>
    <row r="1517" spans="1:99" x14ac:dyDescent="0.25">
      <c r="A1517" s="18" t="s">
        <v>548</v>
      </c>
      <c r="B1517" s="29" t="s">
        <v>355</v>
      </c>
      <c r="C1517" s="29" t="s">
        <v>359</v>
      </c>
      <c r="D1517" s="6">
        <v>50</v>
      </c>
      <c r="E1517" s="40" t="s">
        <v>83</v>
      </c>
      <c r="F1517" s="6">
        <v>50</v>
      </c>
      <c r="N1517" s="119">
        <v>4.7892720306513398E-2</v>
      </c>
      <c r="O1517" s="119">
        <v>4.7892720306513398E-2</v>
      </c>
      <c r="P1517" s="116" t="s">
        <v>83</v>
      </c>
      <c r="Q1517" s="116" t="s">
        <v>83</v>
      </c>
      <c r="R1517" s="119">
        <v>0.38461538461538503</v>
      </c>
      <c r="S1517" s="119">
        <v>3.9513677811550199E-2</v>
      </c>
      <c r="T1517" s="119">
        <v>2.9045643153527E-2</v>
      </c>
      <c r="U1517" s="119">
        <v>6.22222222222222E-2</v>
      </c>
      <c r="V1517" s="119">
        <v>4.6610169491525397E-2</v>
      </c>
      <c r="W1517" s="6">
        <v>935</v>
      </c>
      <c r="X1517" s="40">
        <f t="shared" si="104"/>
        <v>935</v>
      </c>
      <c r="Y1517" s="40">
        <f t="shared" si="105"/>
        <v>935</v>
      </c>
      <c r="Z1517" s="59">
        <v>0.46951871657754013</v>
      </c>
      <c r="AA1517" s="59">
        <v>0.53048128342245993</v>
      </c>
      <c r="AB1517" s="61">
        <v>3.2085561497326204E-3</v>
      </c>
      <c r="AC1517" s="61">
        <v>2.5668449197860963E-2</v>
      </c>
      <c r="AD1517" s="61">
        <v>0.6</v>
      </c>
      <c r="AE1517" s="61">
        <v>5.4545454545454543E-2</v>
      </c>
      <c r="AF1517" s="61">
        <v>1.0695187165775401E-3</v>
      </c>
      <c r="AG1517" s="61">
        <v>0.29625668449197862</v>
      </c>
      <c r="AH1517" s="61">
        <v>1.9251336898395723E-2</v>
      </c>
      <c r="AI1517" s="61">
        <v>0.70374331550802138</v>
      </c>
      <c r="AJ1517" s="59">
        <v>0.7358288770053476</v>
      </c>
      <c r="AK1517" s="59">
        <v>2.4598930481283421E-2</v>
      </c>
      <c r="AL1517" s="4">
        <v>0</v>
      </c>
      <c r="AM1517" s="4">
        <v>0</v>
      </c>
      <c r="AN1517" s="4">
        <v>9</v>
      </c>
      <c r="AO1517" s="4">
        <v>286</v>
      </c>
      <c r="AP1517" s="4">
        <v>212</v>
      </c>
      <c r="AQ1517" s="4">
        <v>208</v>
      </c>
      <c r="AR1517" s="4">
        <v>220</v>
      </c>
      <c r="AS1517" s="59">
        <v>3.0508474576271188E-2</v>
      </c>
      <c r="AT1517" s="3">
        <v>9</v>
      </c>
      <c r="AU1517" s="3">
        <v>6</v>
      </c>
      <c r="AV1517" s="49">
        <v>67.604049493813307</v>
      </c>
      <c r="AW1517" s="49">
        <v>19.235095613048401</v>
      </c>
      <c r="AX1517" s="49">
        <v>12.148481439819999</v>
      </c>
      <c r="AY1517" s="67">
        <v>1.0123734533183402</v>
      </c>
      <c r="AZ1517" s="63">
        <v>0.223722275795564</v>
      </c>
      <c r="BA1517" s="63">
        <v>0.16682738669238201</v>
      </c>
      <c r="BB1517" s="80">
        <v>92.8</v>
      </c>
      <c r="BC1517" s="80"/>
      <c r="BD1517" s="80"/>
      <c r="BE1517" s="80"/>
      <c r="BF1517" s="80"/>
      <c r="BG1517" s="80"/>
      <c r="BH1517" s="80"/>
      <c r="BI1517" s="80"/>
      <c r="BJ1517" s="3">
        <v>18.7</v>
      </c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29" t="s">
        <v>359</v>
      </c>
      <c r="CJ1517" s="18" t="s">
        <v>548</v>
      </c>
      <c r="CK1517" s="30"/>
    </row>
    <row r="1518" spans="1:99" x14ac:dyDescent="0.25">
      <c r="A1518" s="18" t="s">
        <v>548</v>
      </c>
      <c r="B1518" s="29" t="s">
        <v>355</v>
      </c>
      <c r="C1518" s="29" t="s">
        <v>360</v>
      </c>
      <c r="D1518" s="6">
        <v>35</v>
      </c>
      <c r="E1518" s="40" t="s">
        <v>83</v>
      </c>
      <c r="F1518" s="6">
        <v>35</v>
      </c>
      <c r="N1518" s="119">
        <v>1.9574944071588399E-2</v>
      </c>
      <c r="O1518" s="119">
        <v>1.9574944071588399E-2</v>
      </c>
      <c r="P1518" s="116" t="s">
        <v>83</v>
      </c>
      <c r="Q1518" s="116" t="s">
        <v>83</v>
      </c>
      <c r="R1518" s="119">
        <v>0.2</v>
      </c>
      <c r="S1518" s="119">
        <v>2.0661157024793399E-2</v>
      </c>
      <c r="T1518" s="119">
        <v>2.3715415019762799E-2</v>
      </c>
      <c r="U1518" s="119">
        <v>1.40515222482436E-2</v>
      </c>
      <c r="V1518" s="119">
        <v>1.63934426229508E-2</v>
      </c>
      <c r="W1518" s="6">
        <v>1703</v>
      </c>
      <c r="X1518" s="40">
        <f t="shared" si="104"/>
        <v>1703</v>
      </c>
      <c r="Y1518" s="40">
        <f t="shared" si="105"/>
        <v>1703</v>
      </c>
      <c r="Z1518" s="59">
        <v>0.47974163241338813</v>
      </c>
      <c r="AA1518" s="59">
        <v>0.52025836758661181</v>
      </c>
      <c r="AB1518" s="61">
        <v>2.935995302407516E-3</v>
      </c>
      <c r="AC1518" s="61">
        <v>1.0569583088667059E-2</v>
      </c>
      <c r="AD1518" s="61">
        <v>0.3440986494421609</v>
      </c>
      <c r="AE1518" s="61">
        <v>5.8719906048150326E-2</v>
      </c>
      <c r="AF1518" s="61">
        <v>5.8719906048150322E-4</v>
      </c>
      <c r="AG1518" s="61">
        <v>0.56312389900176163</v>
      </c>
      <c r="AH1518" s="61">
        <v>1.996476805637111E-2</v>
      </c>
      <c r="AI1518" s="61">
        <v>0.43687610099823843</v>
      </c>
      <c r="AJ1518" s="59">
        <v>0.59189665296535521</v>
      </c>
      <c r="AK1518" s="59">
        <v>1.4679976512037582E-2</v>
      </c>
      <c r="AL1518" s="4">
        <v>0</v>
      </c>
      <c r="AM1518" s="4">
        <v>0</v>
      </c>
      <c r="AN1518" s="4">
        <v>17</v>
      </c>
      <c r="AO1518" s="4">
        <v>435</v>
      </c>
      <c r="AP1518" s="4">
        <v>480</v>
      </c>
      <c r="AQ1518" s="4">
        <v>410</v>
      </c>
      <c r="AR1518" s="4">
        <v>361</v>
      </c>
      <c r="AS1518" s="59">
        <v>3.7610619469026552E-2</v>
      </c>
      <c r="AT1518" s="3">
        <v>9</v>
      </c>
      <c r="AU1518" s="3">
        <v>6</v>
      </c>
      <c r="AV1518" s="49">
        <v>59.097127222982202</v>
      </c>
      <c r="AW1518" s="49">
        <v>31.258549931600498</v>
      </c>
      <c r="AX1518" s="49">
        <v>8.9603283173734596</v>
      </c>
      <c r="AY1518" s="67">
        <v>0.68399452804377603</v>
      </c>
      <c r="AZ1518" s="63">
        <v>9.9774520856820703E-2</v>
      </c>
      <c r="BA1518" s="63">
        <v>0.11217587373168</v>
      </c>
      <c r="BB1518" s="79">
        <v>92.8</v>
      </c>
      <c r="BC1518" s="79"/>
      <c r="BD1518" s="79"/>
      <c r="BE1518" s="79"/>
      <c r="BF1518" s="79"/>
      <c r="BG1518" s="79"/>
      <c r="BH1518" s="79"/>
      <c r="BI1518" s="79"/>
      <c r="BJ1518" s="3">
        <v>19.5</v>
      </c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29" t="s">
        <v>360</v>
      </c>
      <c r="CJ1518" s="18" t="s">
        <v>548</v>
      </c>
      <c r="CK1518" s="30"/>
    </row>
    <row r="1519" spans="1:99" x14ac:dyDescent="0.25">
      <c r="A1519" s="18" t="s">
        <v>548</v>
      </c>
      <c r="B1519" s="29" t="s">
        <v>355</v>
      </c>
      <c r="C1519" s="29" t="s">
        <v>361</v>
      </c>
      <c r="D1519" s="6">
        <v>52</v>
      </c>
      <c r="E1519" s="40" t="s">
        <v>83</v>
      </c>
      <c r="F1519" s="6">
        <v>52</v>
      </c>
      <c r="N1519" s="119">
        <v>3.1746031746031703E-2</v>
      </c>
      <c r="O1519" s="119">
        <v>3.1746031746031703E-2</v>
      </c>
      <c r="P1519" s="116" t="s">
        <v>83</v>
      </c>
      <c r="Q1519" s="116" t="s">
        <v>83</v>
      </c>
      <c r="R1519" s="119">
        <v>0.2</v>
      </c>
      <c r="S1519" s="119">
        <v>4.5929018789144099E-2</v>
      </c>
      <c r="T1519" s="119">
        <v>2.9484029484029499E-2</v>
      </c>
      <c r="U1519" s="119">
        <v>2.47252747252747E-2</v>
      </c>
      <c r="V1519" s="119">
        <v>2.0887728459529999E-2</v>
      </c>
      <c r="W1519" s="6">
        <v>1554</v>
      </c>
      <c r="X1519" s="40">
        <f t="shared" si="104"/>
        <v>1554</v>
      </c>
      <c r="Y1519" s="40">
        <f t="shared" si="105"/>
        <v>1554</v>
      </c>
      <c r="Z1519" s="59">
        <v>0.51093951093951095</v>
      </c>
      <c r="AA1519" s="59">
        <v>0.48906048906048905</v>
      </c>
      <c r="AB1519" s="61">
        <v>2.5740025740025739E-3</v>
      </c>
      <c r="AC1519" s="61">
        <v>3.0888030888030889E-2</v>
      </c>
      <c r="AD1519" s="61">
        <v>0.1981981981981982</v>
      </c>
      <c r="AE1519" s="61">
        <v>4.8906048906048903E-2</v>
      </c>
      <c r="AF1519" s="61">
        <v>3.2175032175032173E-3</v>
      </c>
      <c r="AG1519" s="61">
        <v>0.7142857142857143</v>
      </c>
      <c r="AH1519" s="61">
        <v>1.9305019305019305E-3</v>
      </c>
      <c r="AI1519" s="61">
        <v>0.2857142857142857</v>
      </c>
      <c r="AJ1519" s="59">
        <v>0.40283140283140284</v>
      </c>
      <c r="AK1519" s="59">
        <v>1.5444015444015444E-2</v>
      </c>
      <c r="AL1519" s="4">
        <v>0</v>
      </c>
      <c r="AM1519" s="4">
        <v>0</v>
      </c>
      <c r="AN1519" s="4">
        <v>11</v>
      </c>
      <c r="AO1519" s="4">
        <v>432</v>
      </c>
      <c r="AP1519" s="4">
        <v>385</v>
      </c>
      <c r="AQ1519" s="4">
        <v>351</v>
      </c>
      <c r="AR1519" s="4">
        <v>375</v>
      </c>
      <c r="AS1519" s="59">
        <v>2.4830699774266364E-2</v>
      </c>
      <c r="AT1519" s="3">
        <v>9</v>
      </c>
      <c r="AU1519" s="3">
        <v>6</v>
      </c>
      <c r="AV1519" s="49">
        <v>56.170212765957494</v>
      </c>
      <c r="AW1519" s="49">
        <v>33.0496453900709</v>
      </c>
      <c r="AX1519" s="49">
        <v>9.858156028368791</v>
      </c>
      <c r="AY1519" s="67">
        <v>0.92198581560283699</v>
      </c>
      <c r="AZ1519" s="63">
        <v>5.9442724458204303E-2</v>
      </c>
      <c r="BA1519" s="63">
        <v>8.8544891640866902E-2</v>
      </c>
      <c r="BB1519" s="80">
        <v>95.2</v>
      </c>
      <c r="BC1519" s="80"/>
      <c r="BD1519" s="80"/>
      <c r="BE1519" s="80"/>
      <c r="BF1519" s="80"/>
      <c r="BG1519" s="80"/>
      <c r="BH1519" s="80"/>
      <c r="BI1519" s="80"/>
      <c r="BJ1519" s="3">
        <v>22.1</v>
      </c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29" t="s">
        <v>361</v>
      </c>
      <c r="CJ1519" s="18" t="s">
        <v>548</v>
      </c>
      <c r="CK1519" s="30"/>
    </row>
    <row r="1520" spans="1:99" x14ac:dyDescent="0.25">
      <c r="A1520" s="18" t="s">
        <v>548</v>
      </c>
      <c r="B1520" s="29" t="s">
        <v>355</v>
      </c>
      <c r="C1520" s="29" t="s">
        <v>362</v>
      </c>
      <c r="D1520" s="6">
        <v>22</v>
      </c>
      <c r="E1520" s="40" t="s">
        <v>83</v>
      </c>
      <c r="F1520" s="6">
        <v>22</v>
      </c>
      <c r="N1520" s="119">
        <v>1.23804164321891E-2</v>
      </c>
      <c r="O1520" s="119">
        <v>1.23804164321891E-2</v>
      </c>
      <c r="P1520" s="116" t="s">
        <v>83</v>
      </c>
      <c r="Q1520" s="116" t="s">
        <v>83</v>
      </c>
      <c r="R1520" s="115">
        <v>0</v>
      </c>
      <c r="S1520" s="119">
        <v>6.41025641025641E-3</v>
      </c>
      <c r="T1520" s="119">
        <v>1.7021276595744698E-2</v>
      </c>
      <c r="U1520" s="119">
        <v>7.1770334928229701E-3</v>
      </c>
      <c r="V1520" s="119">
        <v>1.9184652278177498E-2</v>
      </c>
      <c r="W1520" s="6">
        <v>1703</v>
      </c>
      <c r="X1520" s="40">
        <f t="shared" si="104"/>
        <v>1703</v>
      </c>
      <c r="Y1520" s="40">
        <f t="shared" si="105"/>
        <v>1703</v>
      </c>
      <c r="Z1520" s="59">
        <v>0.51027598355842629</v>
      </c>
      <c r="AA1520" s="59">
        <v>0.48972401644157371</v>
      </c>
      <c r="AB1520" s="61">
        <v>2.935995302407516E-3</v>
      </c>
      <c r="AC1520" s="61">
        <v>1.5854374633000587E-2</v>
      </c>
      <c r="AD1520" s="61">
        <v>9.7475044039929543E-2</v>
      </c>
      <c r="AE1520" s="61">
        <v>6.5179095713446863E-2</v>
      </c>
      <c r="AF1520" s="61">
        <v>1.1743981209630064E-3</v>
      </c>
      <c r="AG1520" s="61">
        <v>0.80798590722254848</v>
      </c>
      <c r="AH1520" s="61">
        <v>9.3951849677040514E-3</v>
      </c>
      <c r="AI1520" s="61">
        <v>0.19201409277745154</v>
      </c>
      <c r="AJ1520" s="59">
        <v>0.33881385789782736</v>
      </c>
      <c r="AK1520" s="59">
        <v>1.6441573693482089E-2</v>
      </c>
      <c r="AL1520" s="4">
        <v>0</v>
      </c>
      <c r="AM1520" s="4">
        <v>0</v>
      </c>
      <c r="AN1520" s="4">
        <v>5</v>
      </c>
      <c r="AO1520" s="4">
        <v>433</v>
      </c>
      <c r="AP1520" s="4">
        <v>453</v>
      </c>
      <c r="AQ1520" s="4">
        <v>412</v>
      </c>
      <c r="AR1520" s="4">
        <v>400</v>
      </c>
      <c r="AS1520" s="59">
        <v>1.1415525114155251E-2</v>
      </c>
      <c r="AT1520" s="3">
        <v>9</v>
      </c>
      <c r="AU1520" s="3">
        <v>6</v>
      </c>
      <c r="AV1520" s="49">
        <v>59.180887372013601</v>
      </c>
      <c r="AW1520" s="49">
        <v>22.525597269624601</v>
      </c>
      <c r="AX1520" s="49">
        <v>16.655290102389099</v>
      </c>
      <c r="AY1520" s="67">
        <v>1.6382252559727002</v>
      </c>
      <c r="AZ1520" s="63">
        <v>8.0608793686583996E-2</v>
      </c>
      <c r="BA1520" s="63">
        <v>9.1319052987598695E-2</v>
      </c>
      <c r="BB1520" s="79">
        <v>94.6</v>
      </c>
      <c r="BC1520" s="79"/>
      <c r="BD1520" s="79"/>
      <c r="BE1520" s="79"/>
      <c r="BF1520" s="79"/>
      <c r="BG1520" s="79"/>
      <c r="BH1520" s="79"/>
      <c r="BI1520" s="79"/>
      <c r="BJ1520" s="3">
        <v>22.2</v>
      </c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29" t="s">
        <v>362</v>
      </c>
      <c r="CJ1520" s="18" t="s">
        <v>548</v>
      </c>
      <c r="CK1520" s="30"/>
    </row>
    <row r="1521" spans="1:89" x14ac:dyDescent="0.25">
      <c r="A1521" s="18" t="s">
        <v>548</v>
      </c>
      <c r="B1521" s="29" t="s">
        <v>355</v>
      </c>
      <c r="C1521" s="29" t="s">
        <v>363</v>
      </c>
      <c r="D1521" s="6">
        <v>17</v>
      </c>
      <c r="E1521" s="40" t="s">
        <v>83</v>
      </c>
      <c r="F1521" s="6">
        <v>17</v>
      </c>
      <c r="N1521" s="119">
        <v>1.55963302752294E-2</v>
      </c>
      <c r="O1521" s="119">
        <v>1.55963302752294E-2</v>
      </c>
      <c r="P1521" s="116" t="s">
        <v>83</v>
      </c>
      <c r="Q1521" s="116" t="s">
        <v>83</v>
      </c>
      <c r="R1521" s="116" t="s">
        <v>83</v>
      </c>
      <c r="S1521" s="119">
        <v>6.7114093959731499E-3</v>
      </c>
      <c r="T1521" s="119">
        <v>1.67785234899329E-2</v>
      </c>
      <c r="U1521" s="119">
        <v>2.54545454545455E-2</v>
      </c>
      <c r="V1521" s="119">
        <v>1.3698630136986301E-2</v>
      </c>
      <c r="W1521" s="6">
        <v>1045</v>
      </c>
      <c r="X1521" s="40">
        <f t="shared" si="104"/>
        <v>1045</v>
      </c>
      <c r="Y1521" s="40">
        <f t="shared" si="105"/>
        <v>1045</v>
      </c>
      <c r="Z1521" s="59">
        <v>0.49090909090909091</v>
      </c>
      <c r="AA1521" s="59">
        <v>0.50909090909090904</v>
      </c>
      <c r="AB1521" s="61">
        <v>3.8277511961722489E-3</v>
      </c>
      <c r="AC1521" s="61">
        <v>9.5693779904306216E-3</v>
      </c>
      <c r="AD1521" s="61">
        <v>0.15693779904306221</v>
      </c>
      <c r="AE1521" s="61">
        <v>6.2200956937799042E-2</v>
      </c>
      <c r="AF1521" s="61">
        <v>1.9138755980861245E-3</v>
      </c>
      <c r="AG1521" s="61">
        <v>0.75311004784688995</v>
      </c>
      <c r="AH1521" s="61">
        <v>1.2440191387559809E-2</v>
      </c>
      <c r="AI1521" s="61">
        <v>0.24688995215311005</v>
      </c>
      <c r="AJ1521" s="59">
        <v>0.39043062200956935</v>
      </c>
      <c r="AK1521" s="59">
        <v>1.3397129186602871E-2</v>
      </c>
      <c r="AL1521" s="4">
        <v>0</v>
      </c>
      <c r="AM1521" s="4">
        <v>0</v>
      </c>
      <c r="AN1521" s="4">
        <v>0</v>
      </c>
      <c r="AO1521" s="4">
        <v>285</v>
      </c>
      <c r="AP1521" s="4">
        <v>284</v>
      </c>
      <c r="AQ1521" s="4">
        <v>266</v>
      </c>
      <c r="AR1521" s="4">
        <v>210</v>
      </c>
      <c r="AS1521" s="59">
        <v>0</v>
      </c>
      <c r="AT1521" s="3">
        <v>9</v>
      </c>
      <c r="AU1521" s="3">
        <v>6</v>
      </c>
      <c r="AV1521" s="49">
        <v>68.796296296296305</v>
      </c>
      <c r="AW1521" s="49">
        <v>13.425925925925899</v>
      </c>
      <c r="AX1521" s="49">
        <v>16.018518518518498</v>
      </c>
      <c r="AY1521" s="67">
        <v>1.75925925925926</v>
      </c>
      <c r="AZ1521" s="63">
        <v>8.19521178637201E-2</v>
      </c>
      <c r="BA1521" s="63">
        <v>9.4843462246777199E-2</v>
      </c>
      <c r="BB1521" s="80">
        <v>94.1</v>
      </c>
      <c r="BC1521" s="80"/>
      <c r="BD1521" s="80"/>
      <c r="BE1521" s="80"/>
      <c r="BF1521" s="80"/>
      <c r="BG1521" s="80"/>
      <c r="BH1521" s="80"/>
      <c r="BI1521" s="80"/>
      <c r="BJ1521" s="3">
        <v>22.5</v>
      </c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29" t="s">
        <v>363</v>
      </c>
      <c r="CJ1521" s="18" t="s">
        <v>548</v>
      </c>
      <c r="CK1521" s="30"/>
    </row>
    <row r="1522" spans="1:89" x14ac:dyDescent="0.25">
      <c r="A1522" s="18" t="s">
        <v>548</v>
      </c>
      <c r="B1522" s="29" t="s">
        <v>364</v>
      </c>
      <c r="C1522" s="29" t="s">
        <v>496</v>
      </c>
      <c r="D1522" s="6">
        <v>9</v>
      </c>
      <c r="E1522" s="40" t="s">
        <v>83</v>
      </c>
      <c r="F1522" s="6">
        <v>9</v>
      </c>
      <c r="N1522" s="119">
        <v>1.9565217391304301E-2</v>
      </c>
      <c r="O1522" s="119">
        <v>1.9565217391304301E-2</v>
      </c>
      <c r="P1522" s="116" t="s">
        <v>83</v>
      </c>
      <c r="Q1522" s="116" t="s">
        <v>83</v>
      </c>
      <c r="R1522" s="116" t="s">
        <v>83</v>
      </c>
      <c r="S1522" s="119">
        <v>1.35135135135135E-2</v>
      </c>
      <c r="T1522" s="119">
        <v>4.4642857142857102E-2</v>
      </c>
      <c r="U1522" s="119">
        <v>9.5238095238095195E-3</v>
      </c>
      <c r="V1522" s="119">
        <v>1.0638297872340399E-2</v>
      </c>
      <c r="W1522" s="6">
        <v>415</v>
      </c>
      <c r="X1522" s="40">
        <f t="shared" si="104"/>
        <v>415</v>
      </c>
      <c r="Y1522" s="40">
        <f t="shared" si="105"/>
        <v>415</v>
      </c>
      <c r="Z1522" s="59">
        <v>0.47710843373493977</v>
      </c>
      <c r="AA1522" s="59">
        <v>0.52289156626506028</v>
      </c>
      <c r="AB1522" s="61">
        <v>0</v>
      </c>
      <c r="AC1522" s="61">
        <v>1.2048192771084338E-2</v>
      </c>
      <c r="AD1522" s="61">
        <v>0.76144578313253009</v>
      </c>
      <c r="AE1522" s="61">
        <v>1.4457831325301205E-2</v>
      </c>
      <c r="AF1522" s="61">
        <v>0</v>
      </c>
      <c r="AG1522" s="61">
        <v>0.16867469879518071</v>
      </c>
      <c r="AH1522" s="61">
        <v>4.3373493975903614E-2</v>
      </c>
      <c r="AI1522" s="61">
        <v>0.83132530120481929</v>
      </c>
      <c r="AJ1522" s="59">
        <v>0.85542168674698793</v>
      </c>
      <c r="AK1522" s="59">
        <v>4.8192771084337354E-3</v>
      </c>
      <c r="AL1522" s="4">
        <v>0</v>
      </c>
      <c r="AM1522" s="4">
        <v>0</v>
      </c>
      <c r="AN1522" s="4">
        <v>0</v>
      </c>
      <c r="AO1522" s="4">
        <v>134</v>
      </c>
      <c r="AP1522" s="4">
        <v>95</v>
      </c>
      <c r="AQ1522" s="4">
        <v>101</v>
      </c>
      <c r="AR1522" s="4">
        <v>85</v>
      </c>
      <c r="AS1522" s="59">
        <v>0</v>
      </c>
      <c r="AT1522" s="3">
        <v>9</v>
      </c>
      <c r="AU1522" s="3">
        <v>6</v>
      </c>
      <c r="AV1522" s="49">
        <v>78.318584070796504</v>
      </c>
      <c r="AW1522" s="49">
        <v>15.929203539823</v>
      </c>
      <c r="AX1522" s="49">
        <v>5.7522123893805306</v>
      </c>
      <c r="AY1522" s="67">
        <v>0</v>
      </c>
      <c r="AZ1522" s="63">
        <v>0.29385964912280699</v>
      </c>
      <c r="BA1522" s="63">
        <v>0.300438596491228</v>
      </c>
      <c r="BB1522" s="79">
        <v>90.6</v>
      </c>
      <c r="BC1522" s="79"/>
      <c r="BD1522" s="79"/>
      <c r="BE1522" s="79"/>
      <c r="BF1522" s="79"/>
      <c r="BG1522" s="79"/>
      <c r="BH1522" s="79"/>
      <c r="BI1522" s="79"/>
      <c r="BJ1522" s="3">
        <v>16.100000000000001</v>
      </c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29" t="s">
        <v>496</v>
      </c>
      <c r="CJ1522" s="18" t="s">
        <v>548</v>
      </c>
      <c r="CK1522" s="30"/>
    </row>
    <row r="1523" spans="1:89" x14ac:dyDescent="0.25">
      <c r="A1523" s="18" t="s">
        <v>548</v>
      </c>
      <c r="B1523" s="29" t="s">
        <v>364</v>
      </c>
      <c r="C1523" s="29" t="s">
        <v>366</v>
      </c>
      <c r="D1523" s="6">
        <v>59</v>
      </c>
      <c r="E1523" s="40" t="s">
        <v>83</v>
      </c>
      <c r="F1523" s="6">
        <v>59</v>
      </c>
      <c r="N1523" s="119">
        <v>3.7153652392947101E-2</v>
      </c>
      <c r="O1523" s="119">
        <v>3.7153652392947101E-2</v>
      </c>
      <c r="P1523" s="116" t="s">
        <v>83</v>
      </c>
      <c r="Q1523" s="116" t="s">
        <v>83</v>
      </c>
      <c r="R1523" s="116" t="s">
        <v>83</v>
      </c>
      <c r="S1523" s="119">
        <v>3.2454361054766699E-2</v>
      </c>
      <c r="T1523" s="119">
        <v>3.31632653061225E-2</v>
      </c>
      <c r="U1523" s="119">
        <v>3.4210526315789497E-2</v>
      </c>
      <c r="V1523" s="119">
        <v>5.2795031055900603E-2</v>
      </c>
      <c r="W1523" s="6">
        <v>1436</v>
      </c>
      <c r="X1523" s="40">
        <f t="shared" si="104"/>
        <v>1436</v>
      </c>
      <c r="Y1523" s="40">
        <f t="shared" si="105"/>
        <v>1436</v>
      </c>
      <c r="Z1523" s="59">
        <v>0.51671309192200554</v>
      </c>
      <c r="AA1523" s="59">
        <v>0.4832869080779944</v>
      </c>
      <c r="AB1523" s="61">
        <v>0</v>
      </c>
      <c r="AC1523" s="61">
        <v>9.7493036211699167E-3</v>
      </c>
      <c r="AD1523" s="61">
        <v>0.5473537604456824</v>
      </c>
      <c r="AE1523" s="61">
        <v>6.7548746518105843E-2</v>
      </c>
      <c r="AF1523" s="61">
        <v>6.9637883008356546E-4</v>
      </c>
      <c r="AG1523" s="61">
        <v>0.32381615598885793</v>
      </c>
      <c r="AH1523" s="61">
        <v>5.0835654596100281E-2</v>
      </c>
      <c r="AI1523" s="61">
        <v>0.67618384401114207</v>
      </c>
      <c r="AJ1523" s="59">
        <v>0.6866295264623955</v>
      </c>
      <c r="AK1523" s="59">
        <v>1.9498607242339833E-2</v>
      </c>
      <c r="AL1523" s="4">
        <v>0</v>
      </c>
      <c r="AM1523" s="4">
        <v>0</v>
      </c>
      <c r="AN1523" s="4">
        <v>0</v>
      </c>
      <c r="AO1523" s="4">
        <v>435</v>
      </c>
      <c r="AP1523" s="4">
        <v>358</v>
      </c>
      <c r="AQ1523" s="4">
        <v>359</v>
      </c>
      <c r="AR1523" s="4">
        <v>284</v>
      </c>
      <c r="AS1523" s="59">
        <v>0</v>
      </c>
      <c r="AT1523" s="3">
        <v>9</v>
      </c>
      <c r="AU1523" s="3">
        <v>6</v>
      </c>
      <c r="AV1523" s="49">
        <v>51.8867924528302</v>
      </c>
      <c r="AW1523" s="49">
        <v>27.987421383647799</v>
      </c>
      <c r="AX1523" s="49">
        <v>19.654088050314499</v>
      </c>
      <c r="AY1523" s="67">
        <v>0.47169811320754695</v>
      </c>
      <c r="AZ1523" s="63">
        <v>0.295176848874598</v>
      </c>
      <c r="BA1523" s="63">
        <v>0.256591639871383</v>
      </c>
      <c r="BB1523" s="80">
        <v>90.3</v>
      </c>
      <c r="BC1523" s="80"/>
      <c r="BD1523" s="80"/>
      <c r="BE1523" s="80"/>
      <c r="BF1523" s="80"/>
      <c r="BG1523" s="80"/>
      <c r="BH1523" s="80"/>
      <c r="BI1523" s="80"/>
      <c r="BJ1523" s="3">
        <v>18.8</v>
      </c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29" t="s">
        <v>366</v>
      </c>
      <c r="CJ1523" s="18" t="s">
        <v>548</v>
      </c>
      <c r="CK1523" s="30"/>
    </row>
    <row r="1524" spans="1:89" x14ac:dyDescent="0.25">
      <c r="A1524" s="18" t="s">
        <v>548</v>
      </c>
      <c r="B1524" s="29" t="s">
        <v>364</v>
      </c>
      <c r="C1524" s="29" t="s">
        <v>497</v>
      </c>
      <c r="D1524" s="6">
        <v>9</v>
      </c>
      <c r="E1524" s="40" t="s">
        <v>83</v>
      </c>
      <c r="F1524" s="6">
        <v>9</v>
      </c>
      <c r="N1524" s="119">
        <v>2.34986945169713E-2</v>
      </c>
      <c r="O1524" s="119">
        <v>2.34986945169713E-2</v>
      </c>
      <c r="P1524" s="116" t="s">
        <v>83</v>
      </c>
      <c r="Q1524" s="116" t="s">
        <v>83</v>
      </c>
      <c r="R1524" s="116" t="s">
        <v>83</v>
      </c>
      <c r="S1524" s="119">
        <v>8.6956521739130401E-3</v>
      </c>
      <c r="T1524" s="119">
        <v>2.1505376344085999E-2</v>
      </c>
      <c r="U1524" s="119">
        <v>1.1494252873563199E-2</v>
      </c>
      <c r="V1524" s="119">
        <v>5.6818181818181802E-2</v>
      </c>
      <c r="W1524" s="6">
        <v>330</v>
      </c>
      <c r="X1524" s="40">
        <f t="shared" si="104"/>
        <v>330</v>
      </c>
      <c r="Y1524" s="40">
        <f t="shared" si="105"/>
        <v>330</v>
      </c>
      <c r="Z1524" s="59">
        <v>0.43333333333333335</v>
      </c>
      <c r="AA1524" s="59">
        <v>0.56666666666666665</v>
      </c>
      <c r="AB1524" s="61">
        <v>0</v>
      </c>
      <c r="AC1524" s="61">
        <v>0</v>
      </c>
      <c r="AD1524" s="61">
        <v>0.53939393939393943</v>
      </c>
      <c r="AE1524" s="61">
        <v>0.1393939393939394</v>
      </c>
      <c r="AF1524" s="61">
        <v>0</v>
      </c>
      <c r="AG1524" s="61">
        <v>0.27575757575757576</v>
      </c>
      <c r="AH1524" s="61">
        <v>4.5454545454545456E-2</v>
      </c>
      <c r="AI1524" s="61">
        <v>0.72424242424242424</v>
      </c>
      <c r="AJ1524" s="59">
        <v>0.8545454545454545</v>
      </c>
      <c r="AK1524" s="59">
        <v>3.3333333333333333E-2</v>
      </c>
      <c r="AL1524" s="4">
        <v>0</v>
      </c>
      <c r="AM1524" s="4">
        <v>0</v>
      </c>
      <c r="AN1524" s="4">
        <v>0</v>
      </c>
      <c r="AO1524" s="4">
        <v>93</v>
      </c>
      <c r="AP1524" s="4">
        <v>80</v>
      </c>
      <c r="AQ1524" s="4">
        <v>82</v>
      </c>
      <c r="AR1524" s="4">
        <v>75</v>
      </c>
      <c r="AS1524" s="59">
        <v>0</v>
      </c>
      <c r="AT1524" s="3">
        <v>9</v>
      </c>
      <c r="AU1524" s="3">
        <v>6</v>
      </c>
      <c r="AV1524" s="49">
        <v>87.980769230769198</v>
      </c>
      <c r="AW1524" s="49">
        <v>10.5769230769231</v>
      </c>
      <c r="AX1524" s="49">
        <v>0.9615384615384619</v>
      </c>
      <c r="AY1524" s="67">
        <v>0.48076923076923095</v>
      </c>
      <c r="AZ1524" s="63">
        <v>0.59366754617414297</v>
      </c>
      <c r="BA1524" s="63">
        <v>0.24010554089709801</v>
      </c>
      <c r="BB1524" s="79">
        <v>90.1</v>
      </c>
      <c r="BC1524" s="79"/>
      <c r="BD1524" s="79"/>
      <c r="BE1524" s="79"/>
      <c r="BF1524" s="79"/>
      <c r="BG1524" s="79"/>
      <c r="BH1524" s="79"/>
      <c r="BI1524" s="79"/>
      <c r="BJ1524" s="3">
        <v>15.3</v>
      </c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29" t="s">
        <v>497</v>
      </c>
      <c r="CJ1524" s="18" t="s">
        <v>548</v>
      </c>
      <c r="CK1524" s="30"/>
    </row>
    <row r="1525" spans="1:89" x14ac:dyDescent="0.25">
      <c r="A1525" s="18" t="s">
        <v>548</v>
      </c>
      <c r="B1525" s="29" t="s">
        <v>364</v>
      </c>
      <c r="C1525" s="29" t="s">
        <v>368</v>
      </c>
      <c r="D1525" s="6">
        <v>2</v>
      </c>
      <c r="E1525" s="6">
        <v>0</v>
      </c>
      <c r="F1525" s="6">
        <v>2</v>
      </c>
      <c r="N1525" s="119">
        <v>6.4516129032258099E-3</v>
      </c>
      <c r="O1525" s="119">
        <v>1.04712041884817E-2</v>
      </c>
      <c r="P1525" s="115">
        <v>0</v>
      </c>
      <c r="Q1525" s="115">
        <v>0</v>
      </c>
      <c r="R1525" s="116" t="s">
        <v>83</v>
      </c>
      <c r="S1525" s="115">
        <v>0</v>
      </c>
      <c r="T1525" s="119">
        <v>1.9230769230769201E-2</v>
      </c>
      <c r="U1525" s="119">
        <v>2.0833333333333301E-2</v>
      </c>
      <c r="V1525" s="115">
        <v>0</v>
      </c>
      <c r="W1525" s="6">
        <v>282</v>
      </c>
      <c r="X1525" s="40">
        <f t="shared" si="104"/>
        <v>169</v>
      </c>
      <c r="Y1525" s="40">
        <f t="shared" si="105"/>
        <v>282</v>
      </c>
      <c r="Z1525" s="59">
        <v>0.49645390070921985</v>
      </c>
      <c r="AA1525" s="59">
        <v>0.50354609929078009</v>
      </c>
      <c r="AB1525" s="61">
        <v>0</v>
      </c>
      <c r="AC1525" s="61">
        <v>0</v>
      </c>
      <c r="AD1525" s="61">
        <v>0.93971631205673756</v>
      </c>
      <c r="AE1525" s="61">
        <v>0</v>
      </c>
      <c r="AF1525" s="61">
        <v>0</v>
      </c>
      <c r="AG1525" s="61">
        <v>4.2553191489361701E-2</v>
      </c>
      <c r="AH1525" s="61">
        <v>1.7730496453900711E-2</v>
      </c>
      <c r="AI1525" s="61">
        <v>0.95744680851063835</v>
      </c>
      <c r="AJ1525" s="59">
        <v>0.85106382978723405</v>
      </c>
      <c r="AK1525" s="59">
        <v>0</v>
      </c>
      <c r="AL1525" s="4">
        <v>67</v>
      </c>
      <c r="AM1525" s="4">
        <v>46</v>
      </c>
      <c r="AN1525" s="4">
        <v>0</v>
      </c>
      <c r="AO1525" s="4">
        <v>35</v>
      </c>
      <c r="AP1525" s="4">
        <v>50</v>
      </c>
      <c r="AQ1525" s="4">
        <v>45</v>
      </c>
      <c r="AR1525" s="4">
        <v>39</v>
      </c>
      <c r="AS1525" s="59">
        <v>0</v>
      </c>
      <c r="AT1525" s="3">
        <v>7</v>
      </c>
      <c r="AU1525" s="3">
        <v>6</v>
      </c>
      <c r="AV1525" s="49">
        <v>91.162790697674396</v>
      </c>
      <c r="AW1525" s="49">
        <v>6.9767441860465098</v>
      </c>
      <c r="AX1525" s="49">
        <v>1.8604651162790702</v>
      </c>
      <c r="AY1525" s="67">
        <v>0</v>
      </c>
      <c r="AZ1525" s="63">
        <v>0.238709677419355</v>
      </c>
      <c r="BA1525" s="63">
        <v>0.33870967741935498</v>
      </c>
      <c r="BB1525" s="80">
        <v>91.2</v>
      </c>
      <c r="BC1525" s="80"/>
      <c r="BD1525" s="80"/>
      <c r="BE1525" s="80"/>
      <c r="BF1525" s="80"/>
      <c r="BG1525" s="80"/>
      <c r="BH1525" s="80"/>
      <c r="BI1525" s="80"/>
      <c r="BJ1525" s="3">
        <v>15.7</v>
      </c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29" t="s">
        <v>368</v>
      </c>
      <c r="CJ1525" s="18" t="s">
        <v>548</v>
      </c>
      <c r="CK1525" s="30"/>
    </row>
    <row r="1526" spans="1:89" x14ac:dyDescent="0.25">
      <c r="A1526" s="18" t="s">
        <v>548</v>
      </c>
      <c r="B1526" s="29" t="s">
        <v>364</v>
      </c>
      <c r="C1526" s="29" t="s">
        <v>369</v>
      </c>
      <c r="D1526" s="6">
        <v>19</v>
      </c>
      <c r="E1526" s="40" t="s">
        <v>83</v>
      </c>
      <c r="F1526" s="6">
        <v>19</v>
      </c>
      <c r="N1526" s="119">
        <v>2.6988636363636399E-2</v>
      </c>
      <c r="O1526" s="119">
        <v>2.6988636363636399E-2</v>
      </c>
      <c r="P1526" s="116" t="s">
        <v>83</v>
      </c>
      <c r="Q1526" s="116" t="s">
        <v>83</v>
      </c>
      <c r="R1526" s="115">
        <v>0</v>
      </c>
      <c r="S1526" s="119">
        <v>1.1428571428571401E-2</v>
      </c>
      <c r="T1526" s="119">
        <v>1.85185185185185E-2</v>
      </c>
      <c r="U1526" s="119">
        <v>3.6144578313252997E-2</v>
      </c>
      <c r="V1526" s="119">
        <v>4.7904191616766498E-2</v>
      </c>
      <c r="W1526" s="6">
        <v>656</v>
      </c>
      <c r="X1526" s="40">
        <f t="shared" si="104"/>
        <v>656</v>
      </c>
      <c r="Y1526" s="40">
        <f t="shared" si="105"/>
        <v>656</v>
      </c>
      <c r="Z1526" s="59">
        <v>0.49695121951219512</v>
      </c>
      <c r="AA1526" s="59">
        <v>0.50304878048780488</v>
      </c>
      <c r="AB1526" s="61">
        <v>1.5243902439024391E-3</v>
      </c>
      <c r="AC1526" s="61">
        <v>1.5243902439024391E-3</v>
      </c>
      <c r="AD1526" s="61">
        <v>0.31859756097560976</v>
      </c>
      <c r="AE1526" s="61">
        <v>2.4390243902439025E-2</v>
      </c>
      <c r="AF1526" s="61">
        <v>1.5243902439024391E-3</v>
      </c>
      <c r="AG1526" s="61">
        <v>0.60060975609756095</v>
      </c>
      <c r="AH1526" s="61">
        <v>5.1829268292682924E-2</v>
      </c>
      <c r="AI1526" s="61">
        <v>0.39939024390243905</v>
      </c>
      <c r="AJ1526" s="59">
        <v>0.59756097560975607</v>
      </c>
      <c r="AK1526" s="59">
        <v>9.1463414634146336E-3</v>
      </c>
      <c r="AL1526" s="4">
        <v>0</v>
      </c>
      <c r="AM1526" s="4">
        <v>0</v>
      </c>
      <c r="AN1526" s="4">
        <v>34</v>
      </c>
      <c r="AO1526" s="4">
        <v>160</v>
      </c>
      <c r="AP1526" s="4">
        <v>165</v>
      </c>
      <c r="AQ1526" s="4">
        <v>147</v>
      </c>
      <c r="AR1526" s="4">
        <v>150</v>
      </c>
      <c r="AS1526" s="59">
        <v>0.17525773195876287</v>
      </c>
      <c r="AT1526" s="3">
        <v>9</v>
      </c>
      <c r="AU1526" s="3">
        <v>6</v>
      </c>
      <c r="AV1526" s="49">
        <v>66.9398907103825</v>
      </c>
      <c r="AW1526" s="49">
        <v>16.9398907103825</v>
      </c>
      <c r="AX1526" s="49">
        <v>15.846994535519098</v>
      </c>
      <c r="AY1526" s="67">
        <v>0.27322404371584702</v>
      </c>
      <c r="AZ1526" s="63">
        <v>4.44126074498567E-2</v>
      </c>
      <c r="BA1526" s="63">
        <v>0.100286532951289</v>
      </c>
      <c r="BB1526" s="79">
        <v>92</v>
      </c>
      <c r="BC1526" s="79"/>
      <c r="BD1526" s="79"/>
      <c r="BE1526" s="79"/>
      <c r="BF1526" s="79"/>
      <c r="BG1526" s="79"/>
      <c r="BH1526" s="79"/>
      <c r="BI1526" s="79"/>
      <c r="BJ1526" s="3">
        <v>17.899999999999999</v>
      </c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29" t="s">
        <v>369</v>
      </c>
      <c r="CJ1526" s="18" t="s">
        <v>548</v>
      </c>
      <c r="CK1526" s="30"/>
    </row>
    <row r="1527" spans="1:89" x14ac:dyDescent="0.25">
      <c r="A1527" s="18" t="s">
        <v>548</v>
      </c>
      <c r="B1527" s="29" t="s">
        <v>364</v>
      </c>
      <c r="C1527" s="29" t="s">
        <v>370</v>
      </c>
      <c r="D1527" s="6">
        <v>57</v>
      </c>
      <c r="E1527" s="40" t="s">
        <v>83</v>
      </c>
      <c r="F1527" s="6">
        <v>57</v>
      </c>
      <c r="N1527" s="119">
        <v>2.80511811023622E-2</v>
      </c>
      <c r="O1527" s="119">
        <v>2.80511811023622E-2</v>
      </c>
      <c r="P1527" s="116" t="s">
        <v>83</v>
      </c>
      <c r="Q1527" s="116" t="s">
        <v>83</v>
      </c>
      <c r="R1527" s="116" t="s">
        <v>83</v>
      </c>
      <c r="S1527" s="119">
        <v>1.5625E-2</v>
      </c>
      <c r="T1527" s="119">
        <v>4.8016701461377903E-2</v>
      </c>
      <c r="U1527" s="119">
        <v>3.8775510204081598E-2</v>
      </c>
      <c r="V1527" s="119">
        <v>1.1820330969267099E-2</v>
      </c>
      <c r="W1527" s="6">
        <v>1874</v>
      </c>
      <c r="X1527" s="40">
        <f t="shared" si="104"/>
        <v>1874</v>
      </c>
      <c r="Y1527" s="40">
        <f t="shared" si="105"/>
        <v>1874</v>
      </c>
      <c r="Z1527" s="59">
        <v>0.47812166488794022</v>
      </c>
      <c r="AA1527" s="59">
        <v>0.52187833511205972</v>
      </c>
      <c r="AB1527" s="61">
        <v>0</v>
      </c>
      <c r="AC1527" s="61">
        <v>8.0042689434364992E-3</v>
      </c>
      <c r="AD1527" s="61">
        <v>0.27641408751334046</v>
      </c>
      <c r="AE1527" s="61">
        <v>3.9487726787620067E-2</v>
      </c>
      <c r="AF1527" s="61">
        <v>5.3361792956243333E-4</v>
      </c>
      <c r="AG1527" s="61">
        <v>0.62806830309498396</v>
      </c>
      <c r="AH1527" s="61">
        <v>4.7491995731056565E-2</v>
      </c>
      <c r="AI1527" s="61">
        <v>0.37193169690501598</v>
      </c>
      <c r="AJ1527" s="59">
        <v>0.52241195304162225</v>
      </c>
      <c r="AK1527" s="59">
        <v>1.3340448239060833E-2</v>
      </c>
      <c r="AL1527" s="4">
        <v>0</v>
      </c>
      <c r="AM1527" s="4">
        <v>0</v>
      </c>
      <c r="AN1527" s="4">
        <v>0</v>
      </c>
      <c r="AO1527" s="4">
        <v>590</v>
      </c>
      <c r="AP1527" s="4">
        <v>423</v>
      </c>
      <c r="AQ1527" s="4">
        <v>469</v>
      </c>
      <c r="AR1527" s="4">
        <v>392</v>
      </c>
      <c r="AS1527" s="59">
        <v>0</v>
      </c>
      <c r="AT1527" s="3">
        <v>9</v>
      </c>
      <c r="AU1527" s="3">
        <v>6</v>
      </c>
      <c r="AV1527" s="49">
        <v>47.994056463595804</v>
      </c>
      <c r="AW1527" s="49">
        <v>25.111441307577998</v>
      </c>
      <c r="AX1527" s="49">
        <v>24.368499257057898</v>
      </c>
      <c r="AY1527" s="67">
        <v>2.5260029717682002</v>
      </c>
      <c r="AZ1527" s="63">
        <v>0.18678589170392401</v>
      </c>
      <c r="BA1527" s="63">
        <v>0.12121212121212099</v>
      </c>
      <c r="BB1527" s="80">
        <v>91.1</v>
      </c>
      <c r="BC1527" s="80"/>
      <c r="BD1527" s="80"/>
      <c r="BE1527" s="80"/>
      <c r="BF1527" s="80"/>
      <c r="BG1527" s="80"/>
      <c r="BH1527" s="80"/>
      <c r="BI1527" s="80"/>
      <c r="BJ1527" s="3">
        <v>19.8</v>
      </c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29" t="s">
        <v>370</v>
      </c>
      <c r="CJ1527" s="18" t="s">
        <v>548</v>
      </c>
      <c r="CK1527" s="30"/>
    </row>
    <row r="1528" spans="1:89" x14ac:dyDescent="0.25">
      <c r="A1528" s="18" t="s">
        <v>548</v>
      </c>
      <c r="B1528" s="29" t="s">
        <v>364</v>
      </c>
      <c r="C1528" s="29" t="s">
        <v>371</v>
      </c>
      <c r="D1528" s="6">
        <v>4</v>
      </c>
      <c r="E1528" s="40" t="s">
        <v>83</v>
      </c>
      <c r="F1528" s="6">
        <v>4</v>
      </c>
      <c r="N1528" s="119">
        <v>8.6956521739130401E-3</v>
      </c>
      <c r="O1528" s="119">
        <v>8.6956521739130401E-3</v>
      </c>
      <c r="P1528" s="116" t="s">
        <v>83</v>
      </c>
      <c r="Q1528" s="116" t="s">
        <v>83</v>
      </c>
      <c r="R1528" s="116" t="s">
        <v>83</v>
      </c>
      <c r="S1528" s="115">
        <v>0</v>
      </c>
      <c r="T1528" s="119">
        <v>8.1967213114754103E-3</v>
      </c>
      <c r="U1528" s="119">
        <v>9.6153846153846194E-3</v>
      </c>
      <c r="V1528" s="119">
        <v>1.86915887850467E-2</v>
      </c>
      <c r="W1528" s="6">
        <v>438</v>
      </c>
      <c r="X1528" s="40">
        <f t="shared" si="104"/>
        <v>438</v>
      </c>
      <c r="Y1528" s="40">
        <f t="shared" si="105"/>
        <v>438</v>
      </c>
      <c r="Z1528" s="59">
        <v>0.48858447488584472</v>
      </c>
      <c r="AA1528" s="59">
        <v>0.51141552511415522</v>
      </c>
      <c r="AB1528" s="61">
        <v>2.2831050228310501E-3</v>
      </c>
      <c r="AC1528" s="61">
        <v>9.1324200913242004E-3</v>
      </c>
      <c r="AD1528" s="61">
        <v>0.39726027397260272</v>
      </c>
      <c r="AE1528" s="61">
        <v>1.5981735159817351E-2</v>
      </c>
      <c r="AF1528" s="61">
        <v>0</v>
      </c>
      <c r="AG1528" s="61">
        <v>0.54109589041095896</v>
      </c>
      <c r="AH1528" s="61">
        <v>3.4246575342465752E-2</v>
      </c>
      <c r="AI1528" s="61">
        <v>0.4589041095890411</v>
      </c>
      <c r="AJ1528" s="59">
        <v>0.68721461187214616</v>
      </c>
      <c r="AK1528" s="59">
        <v>4.5662100456621002E-3</v>
      </c>
      <c r="AL1528" s="4">
        <v>0</v>
      </c>
      <c r="AM1528" s="4">
        <v>0</v>
      </c>
      <c r="AN1528" s="4">
        <v>0</v>
      </c>
      <c r="AO1528" s="4">
        <v>118</v>
      </c>
      <c r="AP1528" s="4">
        <v>114</v>
      </c>
      <c r="AQ1528" s="4">
        <v>108</v>
      </c>
      <c r="AR1528" s="4">
        <v>98</v>
      </c>
      <c r="AS1528" s="59">
        <v>0</v>
      </c>
      <c r="AT1528" s="3">
        <v>9</v>
      </c>
      <c r="AU1528" s="3">
        <v>6</v>
      </c>
      <c r="AV1528" s="49">
        <v>80.408163265306101</v>
      </c>
      <c r="AW1528" s="49">
        <v>18.367346938775501</v>
      </c>
      <c r="AX1528" s="49">
        <v>1.22448979591837</v>
      </c>
      <c r="AY1528" s="67">
        <v>0</v>
      </c>
      <c r="AZ1528" s="63">
        <v>0.25272331154684102</v>
      </c>
      <c r="BA1528" s="63">
        <v>0.14379084967320299</v>
      </c>
      <c r="BB1528" s="79">
        <v>90.1</v>
      </c>
      <c r="BC1528" s="79"/>
      <c r="BD1528" s="79"/>
      <c r="BE1528" s="79"/>
      <c r="BF1528" s="79"/>
      <c r="BG1528" s="79"/>
      <c r="BH1528" s="79"/>
      <c r="BI1528" s="79"/>
      <c r="BJ1528" s="3">
        <v>16.600000000000001</v>
      </c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29" t="s">
        <v>371</v>
      </c>
      <c r="CJ1528" s="18" t="s">
        <v>548</v>
      </c>
      <c r="CK1528" s="30"/>
    </row>
    <row r="1529" spans="1:89" x14ac:dyDescent="0.25">
      <c r="A1529" s="18" t="s">
        <v>548</v>
      </c>
      <c r="B1529" s="29" t="s">
        <v>372</v>
      </c>
      <c r="C1529" s="29" t="s">
        <v>373</v>
      </c>
      <c r="D1529" s="6">
        <v>9</v>
      </c>
      <c r="E1529" s="6">
        <v>0</v>
      </c>
      <c r="F1529" s="6">
        <v>9</v>
      </c>
      <c r="N1529" s="119">
        <v>3.8297872340425497E-2</v>
      </c>
      <c r="O1529" s="119">
        <v>5.0279329608938501E-2</v>
      </c>
      <c r="P1529" s="115">
        <v>0</v>
      </c>
      <c r="Q1529" s="115">
        <v>0</v>
      </c>
      <c r="R1529" s="116" t="s">
        <v>83</v>
      </c>
      <c r="S1529" s="119">
        <v>3.7037037037037E-2</v>
      </c>
      <c r="T1529" s="119">
        <v>5.7142857142857099E-2</v>
      </c>
      <c r="U1529" s="119">
        <v>0.102040816326531</v>
      </c>
      <c r="V1529" s="115">
        <v>0</v>
      </c>
      <c r="W1529" s="6">
        <v>245</v>
      </c>
      <c r="X1529" s="40">
        <f t="shared" si="104"/>
        <v>160</v>
      </c>
      <c r="Y1529" s="40">
        <f t="shared" si="105"/>
        <v>213</v>
      </c>
      <c r="Z1529" s="59">
        <v>0.46938775510204084</v>
      </c>
      <c r="AA1529" s="59">
        <v>0.53061224489795922</v>
      </c>
      <c r="AB1529" s="61">
        <v>0</v>
      </c>
      <c r="AC1529" s="61">
        <v>0</v>
      </c>
      <c r="AD1529" s="61">
        <v>0.88163265306122451</v>
      </c>
      <c r="AE1529" s="61">
        <v>4.0816326530612249E-3</v>
      </c>
      <c r="AF1529" s="61">
        <v>0</v>
      </c>
      <c r="AG1529" s="61">
        <v>9.3877551020408165E-2</v>
      </c>
      <c r="AH1529" s="61">
        <v>2.0408163265306121E-2</v>
      </c>
      <c r="AI1529" s="61">
        <v>0.90612244897959182</v>
      </c>
      <c r="AJ1529" s="59">
        <v>0.90612244897959182</v>
      </c>
      <c r="AK1529" s="59">
        <v>4.0816326530612249E-3</v>
      </c>
      <c r="AL1529" s="4">
        <v>20</v>
      </c>
      <c r="AM1529" s="4">
        <v>33</v>
      </c>
      <c r="AN1529" s="4">
        <v>0</v>
      </c>
      <c r="AO1529" s="4">
        <v>44</v>
      </c>
      <c r="AP1529" s="4">
        <v>33</v>
      </c>
      <c r="AQ1529" s="4">
        <v>44</v>
      </c>
      <c r="AR1529" s="4">
        <v>39</v>
      </c>
      <c r="AS1529" s="59">
        <v>0</v>
      </c>
      <c r="AT1529" s="3">
        <v>6</v>
      </c>
      <c r="AU1529" s="3">
        <v>6</v>
      </c>
      <c r="AV1529" s="49">
        <v>70.873786407767</v>
      </c>
      <c r="AW1529" s="49">
        <v>22.330097087378601</v>
      </c>
      <c r="AX1529" s="49">
        <v>6.7961165048543704</v>
      </c>
      <c r="AY1529" s="67">
        <v>0</v>
      </c>
      <c r="AZ1529" s="63">
        <v>0.30597014925373101</v>
      </c>
      <c r="BA1529" s="63">
        <v>4.85074626865672E-2</v>
      </c>
      <c r="BB1529" s="80">
        <v>93.2</v>
      </c>
      <c r="BC1529" s="80"/>
      <c r="BD1529" s="80"/>
      <c r="BE1529" s="80"/>
      <c r="BF1529" s="80"/>
      <c r="BG1529" s="80"/>
      <c r="BH1529" s="80"/>
      <c r="BI1529" s="80"/>
      <c r="BJ1529" s="3">
        <v>15</v>
      </c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29" t="s">
        <v>373</v>
      </c>
      <c r="CJ1529" s="18" t="s">
        <v>548</v>
      </c>
      <c r="CK1529" s="30"/>
    </row>
    <row r="1530" spans="1:89" x14ac:dyDescent="0.25">
      <c r="A1530" s="18" t="s">
        <v>548</v>
      </c>
      <c r="B1530" s="29" t="s">
        <v>374</v>
      </c>
      <c r="C1530" s="29" t="s">
        <v>375</v>
      </c>
      <c r="D1530" s="6">
        <v>4</v>
      </c>
      <c r="E1530" s="40" t="s">
        <v>83</v>
      </c>
      <c r="F1530" s="6">
        <v>4</v>
      </c>
      <c r="N1530" s="119">
        <v>2.5641025641025602E-3</v>
      </c>
      <c r="O1530" s="119">
        <v>2.5641025641025602E-3</v>
      </c>
      <c r="P1530" s="116" t="s">
        <v>83</v>
      </c>
      <c r="Q1530" s="116" t="s">
        <v>83</v>
      </c>
      <c r="R1530" s="119">
        <v>0</v>
      </c>
      <c r="S1530" s="119">
        <v>2.5706940874036001E-3</v>
      </c>
      <c r="T1530" s="119">
        <v>0</v>
      </c>
      <c r="U1530" s="119">
        <v>0</v>
      </c>
      <c r="V1530" s="119">
        <v>8.3565459610027894E-3</v>
      </c>
      <c r="W1530" s="6">
        <v>1456</v>
      </c>
      <c r="X1530" s="40">
        <f t="shared" si="104"/>
        <v>1456</v>
      </c>
      <c r="Y1530" s="40">
        <f t="shared" si="105"/>
        <v>1456</v>
      </c>
      <c r="Z1530" s="59">
        <v>0.51098901098901095</v>
      </c>
      <c r="AA1530" s="59">
        <v>0.48901098901098899</v>
      </c>
      <c r="AB1530" s="61">
        <v>3.9835164835164832E-2</v>
      </c>
      <c r="AC1530" s="61">
        <v>9.6153846153846159E-3</v>
      </c>
      <c r="AD1530" s="61">
        <v>0.32554945054945056</v>
      </c>
      <c r="AE1530" s="61">
        <v>5.7692307692307696E-2</v>
      </c>
      <c r="AF1530" s="61">
        <v>0</v>
      </c>
      <c r="AG1530" s="61">
        <v>0.53502747252747251</v>
      </c>
      <c r="AH1530" s="61">
        <v>3.2280219780219783E-2</v>
      </c>
      <c r="AI1530" s="61">
        <v>0.46497252747252749</v>
      </c>
      <c r="AJ1530" s="59">
        <v>0.7005494505494505</v>
      </c>
      <c r="AK1530" s="59">
        <v>1.5796703296703296E-2</v>
      </c>
      <c r="AL1530" s="4">
        <v>0</v>
      </c>
      <c r="AM1530" s="4">
        <v>0</v>
      </c>
      <c r="AN1530" s="4">
        <v>50</v>
      </c>
      <c r="AO1530" s="4">
        <v>348</v>
      </c>
      <c r="AP1530" s="4">
        <v>363</v>
      </c>
      <c r="AQ1530" s="4">
        <v>350</v>
      </c>
      <c r="AR1530" s="4">
        <v>345</v>
      </c>
      <c r="AS1530" s="59">
        <v>0.12562814070351758</v>
      </c>
      <c r="AT1530" s="3">
        <v>9</v>
      </c>
      <c r="AU1530" s="3">
        <v>6</v>
      </c>
      <c r="AV1530" s="49">
        <v>55.363321799307997</v>
      </c>
      <c r="AW1530" s="49">
        <v>24.5674740484429</v>
      </c>
      <c r="AX1530" s="49">
        <v>19.723183391003499</v>
      </c>
      <c r="AY1530" s="67">
        <v>0.34602076124567499</v>
      </c>
      <c r="AZ1530" s="63">
        <v>0.18316195372750599</v>
      </c>
      <c r="BA1530" s="63">
        <v>0.160668380462725</v>
      </c>
      <c r="BB1530" s="79">
        <v>91.3</v>
      </c>
      <c r="BC1530" s="79"/>
      <c r="BD1530" s="79"/>
      <c r="BE1530" s="79"/>
      <c r="BF1530" s="79"/>
      <c r="BG1530" s="79"/>
      <c r="BH1530" s="79"/>
      <c r="BI1530" s="79"/>
      <c r="BJ1530" s="3">
        <v>18.100000000000001</v>
      </c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29" t="s">
        <v>375</v>
      </c>
      <c r="CJ1530" s="18" t="s">
        <v>548</v>
      </c>
      <c r="CK1530" s="30"/>
    </row>
    <row r="1531" spans="1:89" x14ac:dyDescent="0.25">
      <c r="A1531" s="18" t="s">
        <v>548</v>
      </c>
      <c r="B1531" s="29" t="s">
        <v>374</v>
      </c>
      <c r="C1531" s="29" t="s">
        <v>376</v>
      </c>
      <c r="D1531" s="6">
        <v>14</v>
      </c>
      <c r="E1531" s="40" t="s">
        <v>83</v>
      </c>
      <c r="F1531" s="6">
        <v>14</v>
      </c>
      <c r="N1531" s="119">
        <v>1.31826741996234E-2</v>
      </c>
      <c r="O1531" s="119">
        <v>1.31826741996234E-2</v>
      </c>
      <c r="P1531" s="116" t="s">
        <v>83</v>
      </c>
      <c r="Q1531" s="116" t="s">
        <v>83</v>
      </c>
      <c r="R1531" s="119">
        <v>0</v>
      </c>
      <c r="S1531" s="119">
        <v>1.1111111111111099E-2</v>
      </c>
      <c r="T1531" s="119">
        <v>1.74216027874564E-2</v>
      </c>
      <c r="U1531" s="119">
        <v>1.6736401673640201E-2</v>
      </c>
      <c r="V1531" s="119">
        <v>8.9686098654708502E-3</v>
      </c>
      <c r="W1531" s="6">
        <v>964</v>
      </c>
      <c r="X1531" s="40">
        <f t="shared" si="104"/>
        <v>964</v>
      </c>
      <c r="Y1531" s="40">
        <f t="shared" si="105"/>
        <v>964</v>
      </c>
      <c r="Z1531" s="59">
        <v>0.45539419087136929</v>
      </c>
      <c r="AA1531" s="59">
        <v>0.54460580912863066</v>
      </c>
      <c r="AB1531" s="61">
        <v>0.17738589211618258</v>
      </c>
      <c r="AC1531" s="61">
        <v>1.2448132780082987E-2</v>
      </c>
      <c r="AD1531" s="61">
        <v>0.34232365145228216</v>
      </c>
      <c r="AE1531" s="61">
        <v>0.10684647302904564</v>
      </c>
      <c r="AF1531" s="61">
        <v>1.037344398340249E-3</v>
      </c>
      <c r="AG1531" s="61">
        <v>0.31327800829875518</v>
      </c>
      <c r="AH1531" s="61">
        <v>4.6680497925311204E-2</v>
      </c>
      <c r="AI1531" s="61">
        <v>0.68672199170124482</v>
      </c>
      <c r="AJ1531" s="59">
        <v>0.74792531120331951</v>
      </c>
      <c r="AK1531" s="59">
        <v>4.6680497925311204E-2</v>
      </c>
      <c r="AL1531" s="4">
        <v>0</v>
      </c>
      <c r="AM1531" s="4">
        <v>0</v>
      </c>
      <c r="AN1531" s="4">
        <v>37</v>
      </c>
      <c r="AO1531" s="4">
        <v>238</v>
      </c>
      <c r="AP1531" s="4">
        <v>261</v>
      </c>
      <c r="AQ1531" s="4">
        <v>215</v>
      </c>
      <c r="AR1531" s="4">
        <v>213</v>
      </c>
      <c r="AS1531" s="59">
        <v>0.13454545454545455</v>
      </c>
      <c r="AT1531" s="3">
        <v>9</v>
      </c>
      <c r="AU1531" s="3">
        <v>6</v>
      </c>
      <c r="AV1531" s="49">
        <v>66.355140186915889</v>
      </c>
      <c r="AW1531" s="49">
        <v>24.299065420560702</v>
      </c>
      <c r="AX1531" s="49">
        <v>9.3457943925233593</v>
      </c>
      <c r="AY1531" s="67">
        <v>0</v>
      </c>
      <c r="AZ1531" s="63">
        <v>9.7722960151802707E-2</v>
      </c>
      <c r="BA1531" s="63">
        <v>0.17457305502846299</v>
      </c>
      <c r="BB1531" s="80">
        <v>89.8</v>
      </c>
      <c r="BC1531" s="80"/>
      <c r="BD1531" s="80"/>
      <c r="BE1531" s="80"/>
      <c r="BF1531" s="80"/>
      <c r="BG1531" s="80"/>
      <c r="BH1531" s="80"/>
      <c r="BI1531" s="80"/>
      <c r="BJ1531" s="3">
        <v>17.3</v>
      </c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29" t="s">
        <v>376</v>
      </c>
      <c r="CJ1531" s="18" t="s">
        <v>548</v>
      </c>
      <c r="CK1531" s="30"/>
    </row>
    <row r="1532" spans="1:89" x14ac:dyDescent="0.25">
      <c r="A1532" s="18" t="s">
        <v>548</v>
      </c>
      <c r="B1532" s="29" t="s">
        <v>374</v>
      </c>
      <c r="C1532" s="29" t="s">
        <v>377</v>
      </c>
      <c r="D1532" s="6">
        <v>6</v>
      </c>
      <c r="E1532" s="40" t="s">
        <v>83</v>
      </c>
      <c r="F1532" s="6">
        <v>6</v>
      </c>
      <c r="N1532" s="119">
        <v>5.7361376673040199E-3</v>
      </c>
      <c r="O1532" s="119">
        <v>5.7361376673040199E-3</v>
      </c>
      <c r="P1532" s="116" t="s">
        <v>83</v>
      </c>
      <c r="Q1532" s="116" t="s">
        <v>83</v>
      </c>
      <c r="R1532" s="119">
        <v>0</v>
      </c>
      <c r="S1532" s="119">
        <v>1.6949152542372899E-2</v>
      </c>
      <c r="T1532" s="119">
        <v>3.66300366300366E-3</v>
      </c>
      <c r="U1532" s="119">
        <v>0</v>
      </c>
      <c r="V1532" s="119">
        <v>4.6082949308755804E-3</v>
      </c>
      <c r="W1532" s="6">
        <v>981</v>
      </c>
      <c r="X1532" s="40">
        <f t="shared" si="104"/>
        <v>981</v>
      </c>
      <c r="Y1532" s="40">
        <f t="shared" si="105"/>
        <v>981</v>
      </c>
      <c r="Z1532" s="59">
        <v>0.49439347604485218</v>
      </c>
      <c r="AA1532" s="59">
        <v>0.50560652395514782</v>
      </c>
      <c r="AB1532" s="61">
        <v>0.12640163098878696</v>
      </c>
      <c r="AC1532" s="61">
        <v>5.0968399592252805E-3</v>
      </c>
      <c r="AD1532" s="61">
        <v>9.8878695208970441E-2</v>
      </c>
      <c r="AE1532" s="61">
        <v>2.9561671763506627E-2</v>
      </c>
      <c r="AF1532" s="61">
        <v>1.0193679918450561E-3</v>
      </c>
      <c r="AG1532" s="61">
        <v>0.6717635066258919</v>
      </c>
      <c r="AH1532" s="61">
        <v>6.7278287461773695E-2</v>
      </c>
      <c r="AI1532" s="61">
        <v>0.32823649337410804</v>
      </c>
      <c r="AJ1532" s="59">
        <v>0.61569826707441389</v>
      </c>
      <c r="AK1532" s="59">
        <v>7.1355759429153924E-3</v>
      </c>
      <c r="AL1532" s="4">
        <v>0</v>
      </c>
      <c r="AM1532" s="4">
        <v>0</v>
      </c>
      <c r="AN1532" s="4">
        <v>56</v>
      </c>
      <c r="AO1532" s="4">
        <v>211</v>
      </c>
      <c r="AP1532" s="4">
        <v>253</v>
      </c>
      <c r="AQ1532" s="4">
        <v>250</v>
      </c>
      <c r="AR1532" s="4">
        <v>211</v>
      </c>
      <c r="AS1532" s="59">
        <v>0.20973782771535582</v>
      </c>
      <c r="AT1532" s="3">
        <v>9</v>
      </c>
      <c r="AU1532" s="3">
        <v>6</v>
      </c>
      <c r="AV1532" s="49">
        <v>67.030567685589503</v>
      </c>
      <c r="AW1532" s="49">
        <v>18.7772925764192</v>
      </c>
      <c r="AX1532" s="49">
        <v>13.537117903930099</v>
      </c>
      <c r="AY1532" s="67">
        <v>0.65502183406113501</v>
      </c>
      <c r="AZ1532" s="63">
        <v>5.0912584053794403E-2</v>
      </c>
      <c r="BA1532" s="63">
        <v>0.12295869356388101</v>
      </c>
      <c r="BB1532" s="80">
        <v>91.8</v>
      </c>
      <c r="BC1532" s="80"/>
      <c r="BD1532" s="80"/>
      <c r="BE1532" s="80"/>
      <c r="BF1532" s="80"/>
      <c r="BG1532" s="80"/>
      <c r="BH1532" s="80"/>
      <c r="BI1532" s="80"/>
      <c r="BJ1532" s="3">
        <v>19.100000000000001</v>
      </c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29" t="s">
        <v>377</v>
      </c>
      <c r="CJ1532" s="18" t="s">
        <v>548</v>
      </c>
      <c r="CK1532" s="30"/>
    </row>
    <row r="1533" spans="1:89" x14ac:dyDescent="0.25">
      <c r="A1533" s="18" t="s">
        <v>548</v>
      </c>
      <c r="B1533" s="29" t="s">
        <v>374</v>
      </c>
      <c r="C1533" s="29" t="s">
        <v>378</v>
      </c>
      <c r="D1533" s="6">
        <v>16</v>
      </c>
      <c r="E1533" s="40" t="s">
        <v>83</v>
      </c>
      <c r="F1533" s="6">
        <v>16</v>
      </c>
      <c r="N1533" s="119">
        <v>1.1379800853485099E-2</v>
      </c>
      <c r="O1533" s="119">
        <v>1.1379800853485099E-2</v>
      </c>
      <c r="P1533" s="116" t="s">
        <v>83</v>
      </c>
      <c r="Q1533" s="116" t="s">
        <v>83</v>
      </c>
      <c r="R1533" s="119">
        <v>1.38888888888889E-2</v>
      </c>
      <c r="S1533" s="119">
        <v>1.30293159609121E-2</v>
      </c>
      <c r="T1533" s="119">
        <v>5.4495912806539499E-3</v>
      </c>
      <c r="U1533" s="119">
        <v>5.6657223796033997E-3</v>
      </c>
      <c r="V1533" s="119">
        <v>2.2801302931596101E-2</v>
      </c>
      <c r="W1533" s="6">
        <v>1282</v>
      </c>
      <c r="X1533" s="40">
        <f t="shared" si="104"/>
        <v>1282</v>
      </c>
      <c r="Y1533" s="40">
        <f t="shared" si="105"/>
        <v>1282</v>
      </c>
      <c r="Z1533" s="59">
        <v>0.51092043681747268</v>
      </c>
      <c r="AA1533" s="59">
        <v>0.48907956318252732</v>
      </c>
      <c r="AB1533" s="61">
        <v>5.3042121684867397E-2</v>
      </c>
      <c r="AC1533" s="61">
        <v>1.7940717628705149E-2</v>
      </c>
      <c r="AD1533" s="61">
        <v>0.30265210608424337</v>
      </c>
      <c r="AE1533" s="61">
        <v>6.0062402496099843E-2</v>
      </c>
      <c r="AF1533" s="61">
        <v>1.5600624024960999E-3</v>
      </c>
      <c r="AG1533" s="61">
        <v>0.53042121684867394</v>
      </c>
      <c r="AH1533" s="61">
        <v>3.4321372854914198E-2</v>
      </c>
      <c r="AI1533" s="61">
        <v>0.46957878315132606</v>
      </c>
      <c r="AJ1533" s="59">
        <v>0.65132605304212166</v>
      </c>
      <c r="AK1533" s="59">
        <v>1.9500780031201249E-2</v>
      </c>
      <c r="AL1533" s="4">
        <v>0</v>
      </c>
      <c r="AM1533" s="4">
        <v>0</v>
      </c>
      <c r="AN1533" s="4">
        <v>66</v>
      </c>
      <c r="AO1533" s="4">
        <v>264</v>
      </c>
      <c r="AP1533" s="4">
        <v>337</v>
      </c>
      <c r="AQ1533" s="4">
        <v>322</v>
      </c>
      <c r="AR1533" s="4">
        <v>293</v>
      </c>
      <c r="AS1533" s="59">
        <v>0.2</v>
      </c>
      <c r="AT1533" s="3">
        <v>9</v>
      </c>
      <c r="AU1533" s="3">
        <v>6</v>
      </c>
      <c r="AV1533" s="49">
        <v>47.563805104408402</v>
      </c>
      <c r="AW1533" s="49">
        <v>27.610208816705299</v>
      </c>
      <c r="AX1533" s="49">
        <v>24.593967517401399</v>
      </c>
      <c r="AY1533" s="67">
        <v>0.23201856148491901</v>
      </c>
      <c r="AZ1533" s="63">
        <v>0.16022889842632301</v>
      </c>
      <c r="BA1533" s="63">
        <v>0.13018597997138801</v>
      </c>
      <c r="BB1533" s="79">
        <v>91.3</v>
      </c>
      <c r="BC1533" s="79"/>
      <c r="BD1533" s="79"/>
      <c r="BE1533" s="79"/>
      <c r="BF1533" s="79"/>
      <c r="BG1533" s="79"/>
      <c r="BH1533" s="79"/>
      <c r="BI1533" s="79"/>
      <c r="BJ1533" s="3">
        <v>19.3</v>
      </c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29" t="s">
        <v>378</v>
      </c>
      <c r="CJ1533" s="18" t="s">
        <v>548</v>
      </c>
      <c r="CK1533" s="30"/>
    </row>
    <row r="1534" spans="1:89" x14ac:dyDescent="0.25">
      <c r="A1534" s="18" t="s">
        <v>548</v>
      </c>
      <c r="B1534" s="29" t="s">
        <v>379</v>
      </c>
      <c r="C1534" s="29" t="s">
        <v>498</v>
      </c>
      <c r="D1534" s="6">
        <v>1</v>
      </c>
      <c r="E1534" s="6">
        <v>0</v>
      </c>
      <c r="F1534" s="6">
        <v>1</v>
      </c>
      <c r="N1534" s="119">
        <v>5.31914893617021E-3</v>
      </c>
      <c r="O1534" s="119">
        <v>8.2644628099173608E-3</v>
      </c>
      <c r="P1534" s="115">
        <v>0</v>
      </c>
      <c r="Q1534" s="115">
        <v>0</v>
      </c>
      <c r="R1534" s="116" t="s">
        <v>83</v>
      </c>
      <c r="S1534" s="115">
        <v>0</v>
      </c>
      <c r="T1534" s="119">
        <v>3.125E-2</v>
      </c>
      <c r="U1534" s="115">
        <v>0</v>
      </c>
      <c r="V1534" s="115">
        <v>0</v>
      </c>
      <c r="W1534" s="6">
        <v>408</v>
      </c>
      <c r="X1534" s="40">
        <f t="shared" si="104"/>
        <v>101</v>
      </c>
      <c r="Y1534" s="40">
        <f t="shared" si="105"/>
        <v>160</v>
      </c>
      <c r="Z1534" s="59">
        <v>0.51225490196078427</v>
      </c>
      <c r="AA1534" s="59">
        <v>0.48774509803921567</v>
      </c>
      <c r="AB1534" s="61">
        <v>0</v>
      </c>
      <c r="AC1534" s="61">
        <v>0</v>
      </c>
      <c r="AD1534" s="61">
        <v>1.4705882352941176E-2</v>
      </c>
      <c r="AE1534" s="61">
        <v>3.1862745098039214E-2</v>
      </c>
      <c r="AF1534" s="61">
        <v>4.9019607843137254E-3</v>
      </c>
      <c r="AG1534" s="61">
        <v>0.91666666666666663</v>
      </c>
      <c r="AH1534" s="61">
        <v>3.1862745098039214E-2</v>
      </c>
      <c r="AI1534" s="61">
        <v>8.3333333333333329E-2</v>
      </c>
      <c r="AJ1534" s="59">
        <v>0.66176470588235292</v>
      </c>
      <c r="AK1534" s="59">
        <v>1.2254901960784314E-2</v>
      </c>
      <c r="AL1534" s="4">
        <v>28</v>
      </c>
      <c r="AM1534" s="4">
        <v>31</v>
      </c>
      <c r="AN1534" s="4">
        <v>0</v>
      </c>
      <c r="AO1534" s="4">
        <v>24</v>
      </c>
      <c r="AP1534" s="4">
        <v>26</v>
      </c>
      <c r="AQ1534" s="4">
        <v>27</v>
      </c>
      <c r="AR1534" s="4">
        <v>24</v>
      </c>
      <c r="AS1534" s="59">
        <v>0</v>
      </c>
      <c r="AT1534" s="3">
        <v>1</v>
      </c>
      <c r="AU1534" s="3">
        <v>3</v>
      </c>
      <c r="AV1534" s="49">
        <v>81.278538812785399</v>
      </c>
      <c r="AW1534" s="49">
        <v>13.698630136986301</v>
      </c>
      <c r="AX1534" s="49">
        <v>5.0228310502283104</v>
      </c>
      <c r="AY1534" s="67">
        <v>0</v>
      </c>
      <c r="AZ1534" s="63">
        <v>0</v>
      </c>
      <c r="BA1534" s="63">
        <v>8.3507306889352803E-2</v>
      </c>
      <c r="BB1534" s="80">
        <v>93.5</v>
      </c>
      <c r="BC1534" s="80"/>
      <c r="BD1534" s="80"/>
      <c r="BE1534" s="80"/>
      <c r="BF1534" s="80"/>
      <c r="BG1534" s="80"/>
      <c r="BH1534" s="80"/>
      <c r="BI1534" s="80"/>
      <c r="BJ1534" s="3">
        <v>18.3</v>
      </c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29" t="s">
        <v>498</v>
      </c>
      <c r="CJ1534" s="18" t="s">
        <v>548</v>
      </c>
      <c r="CK1534" s="30" t="s">
        <v>516</v>
      </c>
    </row>
    <row r="1535" spans="1:89" x14ac:dyDescent="0.25">
      <c r="A1535" s="18" t="s">
        <v>548</v>
      </c>
      <c r="B1535" s="29" t="s">
        <v>379</v>
      </c>
      <c r="C1535" s="29" t="s">
        <v>381</v>
      </c>
      <c r="D1535" s="6">
        <v>16</v>
      </c>
      <c r="E1535" s="6">
        <v>0</v>
      </c>
      <c r="F1535" s="6">
        <v>16</v>
      </c>
      <c r="N1535" s="119">
        <v>1.9047619047619001E-2</v>
      </c>
      <c r="O1535" s="119">
        <v>2.92504570383912E-2</v>
      </c>
      <c r="P1535" s="115">
        <v>0</v>
      </c>
      <c r="Q1535" s="115">
        <v>0</v>
      </c>
      <c r="R1535" s="116" t="s">
        <v>83</v>
      </c>
      <c r="S1535" s="119">
        <v>1.5267175572519101E-2</v>
      </c>
      <c r="T1535" s="119">
        <v>6.8965517241379301E-3</v>
      </c>
      <c r="U1535" s="119">
        <v>0.02</v>
      </c>
      <c r="V1535" s="119">
        <v>8.3333333333333301E-2</v>
      </c>
      <c r="W1535" s="6">
        <v>856</v>
      </c>
      <c r="X1535" s="40">
        <f t="shared" si="104"/>
        <v>489</v>
      </c>
      <c r="Y1535" s="40">
        <f t="shared" si="105"/>
        <v>746</v>
      </c>
      <c r="Z1535" s="59">
        <v>0.47663551401869159</v>
      </c>
      <c r="AA1535" s="59">
        <v>0.52336448598130836</v>
      </c>
      <c r="AB1535" s="61">
        <v>0</v>
      </c>
      <c r="AC1535" s="61">
        <v>3.5046728971962616E-3</v>
      </c>
      <c r="AD1535" s="61">
        <v>0.54789719626168221</v>
      </c>
      <c r="AE1535" s="61">
        <v>0.13901869158878505</v>
      </c>
      <c r="AF1535" s="61">
        <v>0</v>
      </c>
      <c r="AG1535" s="61">
        <v>0.29672897196261683</v>
      </c>
      <c r="AH1535" s="61">
        <v>1.2850467289719626E-2</v>
      </c>
      <c r="AI1535" s="61">
        <v>0.70327102803738317</v>
      </c>
      <c r="AJ1535" s="59">
        <v>0.82476635514018692</v>
      </c>
      <c r="AK1535" s="59">
        <v>4.55607476635514E-2</v>
      </c>
      <c r="AL1535" s="4">
        <v>117</v>
      </c>
      <c r="AM1535" s="4">
        <v>140</v>
      </c>
      <c r="AN1535" s="4">
        <v>0</v>
      </c>
      <c r="AO1535" s="4">
        <v>114</v>
      </c>
      <c r="AP1535" s="4">
        <v>128</v>
      </c>
      <c r="AQ1535" s="4">
        <v>137</v>
      </c>
      <c r="AR1535" s="4">
        <v>110</v>
      </c>
      <c r="AS1535" s="59">
        <v>0</v>
      </c>
      <c r="AT1535" s="3">
        <v>6</v>
      </c>
      <c r="AU1535" s="3">
        <v>6</v>
      </c>
      <c r="AV1535" s="49">
        <v>70.481927710843394</v>
      </c>
      <c r="AW1535" s="49">
        <v>20.883534136546199</v>
      </c>
      <c r="AX1535" s="49">
        <v>7.8313253012048198</v>
      </c>
      <c r="AY1535" s="67">
        <v>0.80321285140562204</v>
      </c>
      <c r="AZ1535" s="63">
        <v>8.49947534102833E-2</v>
      </c>
      <c r="BA1535" s="63">
        <v>0.221406086044071</v>
      </c>
      <c r="BB1535" s="79">
        <v>90.8</v>
      </c>
      <c r="BC1535" s="79"/>
      <c r="BD1535" s="79"/>
      <c r="BE1535" s="79"/>
      <c r="BF1535" s="79"/>
      <c r="BG1535" s="79"/>
      <c r="BH1535" s="79"/>
      <c r="BI1535" s="79"/>
      <c r="BJ1535" s="3">
        <v>16</v>
      </c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29" t="s">
        <v>381</v>
      </c>
      <c r="CJ1535" s="18" t="s">
        <v>548</v>
      </c>
      <c r="CK1535" s="30"/>
    </row>
    <row r="1536" spans="1:89" x14ac:dyDescent="0.25">
      <c r="A1536" s="18" t="s">
        <v>548</v>
      </c>
      <c r="B1536" s="29" t="s">
        <v>482</v>
      </c>
      <c r="C1536" s="29" t="s">
        <v>383</v>
      </c>
      <c r="D1536" s="6">
        <v>3</v>
      </c>
      <c r="E1536" s="40" t="s">
        <v>83</v>
      </c>
      <c r="F1536" s="6">
        <v>3</v>
      </c>
      <c r="N1536" s="119">
        <v>4.3352601156069403E-3</v>
      </c>
      <c r="O1536" s="119">
        <v>4.3352601156069403E-3</v>
      </c>
      <c r="P1536" s="116" t="s">
        <v>83</v>
      </c>
      <c r="Q1536" s="116" t="s">
        <v>83</v>
      </c>
      <c r="R1536" s="119">
        <v>0</v>
      </c>
      <c r="S1536" s="119">
        <v>4.8780487804877997E-3</v>
      </c>
      <c r="T1536" s="119">
        <v>1.1111111111111099E-2</v>
      </c>
      <c r="U1536" s="119">
        <v>0</v>
      </c>
      <c r="V1536" s="119">
        <v>0</v>
      </c>
      <c r="W1536" s="6">
        <v>647</v>
      </c>
      <c r="X1536" s="40">
        <f t="shared" si="104"/>
        <v>647</v>
      </c>
      <c r="Y1536" s="40">
        <f t="shared" si="105"/>
        <v>647</v>
      </c>
      <c r="Z1536" s="59">
        <v>0.50077279752704795</v>
      </c>
      <c r="AA1536" s="59">
        <v>0.4992272024729521</v>
      </c>
      <c r="AB1536" s="61">
        <v>0</v>
      </c>
      <c r="AC1536" s="61">
        <v>7.5734157650695522E-2</v>
      </c>
      <c r="AD1536" s="61">
        <v>0.51004636785162283</v>
      </c>
      <c r="AE1536" s="61">
        <v>5.1004636785162288E-2</v>
      </c>
      <c r="AF1536" s="61">
        <v>0</v>
      </c>
      <c r="AG1536" s="61">
        <v>0.32921174652241114</v>
      </c>
      <c r="AH1536" s="61">
        <v>3.4003091190108192E-2</v>
      </c>
      <c r="AI1536" s="61">
        <v>0.67078825347758886</v>
      </c>
      <c r="AJ1536" s="59">
        <v>0.77125193199381759</v>
      </c>
      <c r="AK1536" s="59">
        <v>2.472952086553323E-2</v>
      </c>
      <c r="AL1536" s="4">
        <v>0</v>
      </c>
      <c r="AM1536" s="4">
        <v>0</v>
      </c>
      <c r="AN1536" s="4">
        <v>8</v>
      </c>
      <c r="AO1536" s="4">
        <v>184</v>
      </c>
      <c r="AP1536" s="4">
        <v>164</v>
      </c>
      <c r="AQ1536" s="4">
        <v>154</v>
      </c>
      <c r="AR1536" s="4">
        <v>137</v>
      </c>
      <c r="AS1536" s="59">
        <v>4.1666666666666664E-2</v>
      </c>
      <c r="AT1536" s="3">
        <v>9</v>
      </c>
      <c r="AU1536" s="3">
        <v>6</v>
      </c>
      <c r="AV1536" s="49">
        <v>76.887871853546898</v>
      </c>
      <c r="AW1536" s="49">
        <v>16.475972540045799</v>
      </c>
      <c r="AX1536" s="49">
        <v>6.6361556064073195</v>
      </c>
      <c r="AY1536" s="67">
        <v>0</v>
      </c>
      <c r="AZ1536" s="63">
        <v>0.32272069464544101</v>
      </c>
      <c r="BA1536" s="63">
        <v>0.18089725036179399</v>
      </c>
      <c r="BB1536" s="80">
        <v>91.8</v>
      </c>
      <c r="BC1536" s="80"/>
      <c r="BD1536" s="80"/>
      <c r="BE1536" s="80"/>
      <c r="BF1536" s="80"/>
      <c r="BG1536" s="80"/>
      <c r="BH1536" s="80"/>
      <c r="BI1536" s="80"/>
      <c r="BJ1536" s="3">
        <v>17.100000000000001</v>
      </c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29" t="s">
        <v>383</v>
      </c>
      <c r="CJ1536" s="18" t="s">
        <v>548</v>
      </c>
      <c r="CK1536" s="30"/>
    </row>
    <row r="1537" spans="1:89" x14ac:dyDescent="0.25">
      <c r="A1537" s="18" t="s">
        <v>548</v>
      </c>
      <c r="B1537" s="29" t="s">
        <v>482</v>
      </c>
      <c r="C1537" s="29" t="s">
        <v>384</v>
      </c>
      <c r="D1537" s="6">
        <v>2</v>
      </c>
      <c r="E1537" s="40" t="s">
        <v>83</v>
      </c>
      <c r="F1537" s="6">
        <v>2</v>
      </c>
      <c r="N1537" s="119">
        <v>3.4246575342465799E-3</v>
      </c>
      <c r="O1537" s="119">
        <v>3.4246575342465799E-3</v>
      </c>
      <c r="P1537" s="116" t="s">
        <v>83</v>
      </c>
      <c r="Q1537" s="116" t="s">
        <v>83</v>
      </c>
      <c r="R1537" s="119">
        <v>0</v>
      </c>
      <c r="S1537" s="119">
        <v>5.9171597633136102E-3</v>
      </c>
      <c r="T1537" s="119">
        <v>0</v>
      </c>
      <c r="U1537" s="119">
        <v>0</v>
      </c>
      <c r="V1537" s="119">
        <v>7.09219858156028E-3</v>
      </c>
      <c r="W1537" s="6">
        <v>572</v>
      </c>
      <c r="X1537" s="40">
        <f t="shared" si="104"/>
        <v>572</v>
      </c>
      <c r="Y1537" s="40">
        <f t="shared" si="105"/>
        <v>572</v>
      </c>
      <c r="Z1537" s="59">
        <v>0.49125874125874125</v>
      </c>
      <c r="AA1537" s="59">
        <v>0.50874125874125875</v>
      </c>
      <c r="AB1537" s="61">
        <v>0</v>
      </c>
      <c r="AC1537" s="61">
        <v>2.4475524475524476E-2</v>
      </c>
      <c r="AD1537" s="61">
        <v>4.72027972027972E-2</v>
      </c>
      <c r="AE1537" s="61">
        <v>1.5734265734265736E-2</v>
      </c>
      <c r="AF1537" s="61">
        <v>0</v>
      </c>
      <c r="AG1537" s="61">
        <v>0.89685314685314688</v>
      </c>
      <c r="AH1537" s="61">
        <v>1.5734265734265736E-2</v>
      </c>
      <c r="AI1537" s="61">
        <v>0.10314685314685315</v>
      </c>
      <c r="AJ1537" s="59">
        <v>0.41433566433566432</v>
      </c>
      <c r="AK1537" s="59">
        <v>6.993006993006993E-3</v>
      </c>
      <c r="AL1537" s="4">
        <v>0</v>
      </c>
      <c r="AM1537" s="4">
        <v>0</v>
      </c>
      <c r="AN1537" s="4">
        <v>2</v>
      </c>
      <c r="AO1537" s="4">
        <v>163</v>
      </c>
      <c r="AP1537" s="4">
        <v>130</v>
      </c>
      <c r="AQ1537" s="4">
        <v>137</v>
      </c>
      <c r="AR1537" s="4">
        <v>140</v>
      </c>
      <c r="AS1537" s="59">
        <v>1.2121212121212121E-2</v>
      </c>
      <c r="AT1537" s="3">
        <v>9</v>
      </c>
      <c r="AU1537" s="3">
        <v>6</v>
      </c>
      <c r="AV1537" s="49">
        <v>70</v>
      </c>
      <c r="AW1537" s="49">
        <v>18.387096774193502</v>
      </c>
      <c r="AX1537" s="49">
        <v>9.67741935483871</v>
      </c>
      <c r="AY1537" s="67">
        <v>1.93548387096774</v>
      </c>
      <c r="AZ1537" s="63">
        <v>0.184931506849315</v>
      </c>
      <c r="BA1537" s="63">
        <v>0.12842465753424701</v>
      </c>
      <c r="BB1537" s="79">
        <v>94.4</v>
      </c>
      <c r="BC1537" s="79"/>
      <c r="BD1537" s="79"/>
      <c r="BE1537" s="79"/>
      <c r="BF1537" s="79"/>
      <c r="BG1537" s="79"/>
      <c r="BH1537" s="79"/>
      <c r="BI1537" s="79"/>
      <c r="BJ1537" s="3">
        <v>20.399999999999999</v>
      </c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29" t="s">
        <v>384</v>
      </c>
      <c r="CJ1537" s="18" t="s">
        <v>548</v>
      </c>
      <c r="CK1537" s="30"/>
    </row>
    <row r="1538" spans="1:89" x14ac:dyDescent="0.25">
      <c r="A1538" s="18" t="s">
        <v>548</v>
      </c>
      <c r="B1538" s="29" t="s">
        <v>482</v>
      </c>
      <c r="C1538" s="29" t="s">
        <v>385</v>
      </c>
      <c r="D1538" s="6">
        <v>0</v>
      </c>
      <c r="E1538" s="6">
        <v>0</v>
      </c>
      <c r="F1538" s="6">
        <v>0</v>
      </c>
      <c r="N1538" s="115">
        <v>0</v>
      </c>
      <c r="O1538" s="115">
        <v>0</v>
      </c>
      <c r="P1538" s="115">
        <v>0</v>
      </c>
      <c r="Q1538" s="115">
        <v>0</v>
      </c>
      <c r="R1538" s="116" t="s">
        <v>83</v>
      </c>
      <c r="S1538" s="115">
        <v>0</v>
      </c>
      <c r="T1538" s="115">
        <v>0</v>
      </c>
      <c r="U1538" s="115">
        <v>0</v>
      </c>
      <c r="V1538" s="115">
        <v>0</v>
      </c>
      <c r="W1538" s="6">
        <v>255</v>
      </c>
      <c r="X1538" s="40">
        <f t="shared" si="104"/>
        <v>157</v>
      </c>
      <c r="Y1538" s="40">
        <f t="shared" si="105"/>
        <v>229</v>
      </c>
      <c r="Z1538" s="59">
        <v>0.43529411764705883</v>
      </c>
      <c r="AA1538" s="59">
        <v>0.56470588235294117</v>
      </c>
      <c r="AB1538" s="61">
        <v>0</v>
      </c>
      <c r="AC1538" s="61">
        <v>0</v>
      </c>
      <c r="AD1538" s="61">
        <v>8.2352941176470587E-2</v>
      </c>
      <c r="AE1538" s="61">
        <v>0</v>
      </c>
      <c r="AF1538" s="61">
        <v>0</v>
      </c>
      <c r="AG1538" s="61">
        <v>0.89411764705882357</v>
      </c>
      <c r="AH1538" s="61">
        <v>2.3529411764705882E-2</v>
      </c>
      <c r="AI1538" s="61">
        <v>0.10588235294117647</v>
      </c>
      <c r="AJ1538" s="59">
        <v>0.55686274509803924</v>
      </c>
      <c r="AK1538" s="59">
        <v>0</v>
      </c>
      <c r="AL1538" s="4">
        <v>32</v>
      </c>
      <c r="AM1538" s="4">
        <v>40</v>
      </c>
      <c r="AN1538" s="4">
        <v>0</v>
      </c>
      <c r="AO1538" s="4">
        <v>37</v>
      </c>
      <c r="AP1538" s="4">
        <v>41</v>
      </c>
      <c r="AQ1538" s="4">
        <v>39</v>
      </c>
      <c r="AR1538" s="4">
        <v>40</v>
      </c>
      <c r="AS1538" s="59">
        <v>0</v>
      </c>
      <c r="AT1538" s="3">
        <v>6</v>
      </c>
      <c r="AU1538" s="3">
        <v>6</v>
      </c>
      <c r="AV1538" s="49">
        <v>89.552238805970191</v>
      </c>
      <c r="AW1538" s="49">
        <v>9.4527363184079594</v>
      </c>
      <c r="AX1538" s="49">
        <v>0.99502487562189101</v>
      </c>
      <c r="AY1538" s="67">
        <v>0</v>
      </c>
      <c r="AZ1538" s="63">
        <v>0.12734082397003699</v>
      </c>
      <c r="BA1538" s="63">
        <v>0.108614232209738</v>
      </c>
      <c r="BB1538" s="80">
        <v>93.3</v>
      </c>
      <c r="BC1538" s="80"/>
      <c r="BD1538" s="80"/>
      <c r="BE1538" s="80"/>
      <c r="BF1538" s="80"/>
      <c r="BG1538" s="80"/>
      <c r="BH1538" s="80"/>
      <c r="BI1538" s="80"/>
      <c r="BJ1538" s="3">
        <v>17.2</v>
      </c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29" t="s">
        <v>385</v>
      </c>
      <c r="CJ1538" s="18" t="s">
        <v>548</v>
      </c>
      <c r="CK1538" s="30"/>
    </row>
    <row r="1539" spans="1:89" x14ac:dyDescent="0.25">
      <c r="A1539" s="18" t="s">
        <v>548</v>
      </c>
      <c r="B1539" s="29" t="s">
        <v>482</v>
      </c>
      <c r="C1539" s="29" t="s">
        <v>386</v>
      </c>
      <c r="D1539" s="6">
        <v>0</v>
      </c>
      <c r="E1539" s="40" t="s">
        <v>83</v>
      </c>
      <c r="F1539" s="6">
        <v>0</v>
      </c>
      <c r="N1539" s="115">
        <v>0</v>
      </c>
      <c r="O1539" s="115">
        <v>0</v>
      </c>
      <c r="P1539" s="116" t="s">
        <v>83</v>
      </c>
      <c r="Q1539" s="116" t="s">
        <v>83</v>
      </c>
      <c r="R1539" s="115">
        <v>0</v>
      </c>
      <c r="S1539" s="115">
        <v>0</v>
      </c>
      <c r="T1539" s="115">
        <v>0</v>
      </c>
      <c r="U1539" s="115">
        <v>0</v>
      </c>
      <c r="V1539" s="115">
        <v>0</v>
      </c>
      <c r="W1539" s="6">
        <v>491</v>
      </c>
      <c r="X1539" s="40">
        <f t="shared" si="104"/>
        <v>491</v>
      </c>
      <c r="Y1539" s="40">
        <f t="shared" si="105"/>
        <v>491</v>
      </c>
      <c r="Z1539" s="59">
        <v>0.50509164969450104</v>
      </c>
      <c r="AA1539" s="59">
        <v>0.49490835030549896</v>
      </c>
      <c r="AB1539" s="61">
        <v>4.0733197556008143E-3</v>
      </c>
      <c r="AC1539" s="61">
        <v>4.0733197556008143E-3</v>
      </c>
      <c r="AD1539" s="61">
        <v>7.9429735234215884E-2</v>
      </c>
      <c r="AE1539" s="61">
        <v>1.4256619144602852E-2</v>
      </c>
      <c r="AF1539" s="61">
        <v>0</v>
      </c>
      <c r="AG1539" s="61">
        <v>0.85539714867617112</v>
      </c>
      <c r="AH1539" s="61">
        <v>4.2769857433808553E-2</v>
      </c>
      <c r="AI1539" s="61">
        <v>0.14460285132382891</v>
      </c>
      <c r="AJ1539" s="59">
        <v>0.50101832993890016</v>
      </c>
      <c r="AK1539" s="59">
        <v>6.1099796334012219E-3</v>
      </c>
      <c r="AL1539" s="4">
        <v>0</v>
      </c>
      <c r="AM1539" s="4">
        <v>0</v>
      </c>
      <c r="AN1539" s="4">
        <v>19</v>
      </c>
      <c r="AO1539" s="4">
        <v>118</v>
      </c>
      <c r="AP1539" s="4">
        <v>122</v>
      </c>
      <c r="AQ1539" s="4">
        <v>130</v>
      </c>
      <c r="AR1539" s="4">
        <v>102</v>
      </c>
      <c r="AS1539" s="59">
        <v>0.13868613138686131</v>
      </c>
      <c r="AT1539" s="3">
        <v>9</v>
      </c>
      <c r="AU1539" s="3">
        <v>6</v>
      </c>
      <c r="AV1539" s="49">
        <v>73.3576642335766</v>
      </c>
      <c r="AW1539" s="49">
        <v>22.992700729926998</v>
      </c>
      <c r="AX1539" s="49">
        <v>3.2846715328467204</v>
      </c>
      <c r="AY1539" s="67">
        <v>0.36496350364963498</v>
      </c>
      <c r="AZ1539" s="63">
        <v>0.13018867924528299</v>
      </c>
      <c r="BA1539" s="63">
        <v>7.7358490566037705E-2</v>
      </c>
      <c r="BB1539" s="79">
        <v>94</v>
      </c>
      <c r="BC1539" s="79"/>
      <c r="BD1539" s="79"/>
      <c r="BE1539" s="79"/>
      <c r="BF1539" s="79"/>
      <c r="BG1539" s="79"/>
      <c r="BH1539" s="79"/>
      <c r="BI1539" s="79"/>
      <c r="BJ1539" s="3">
        <v>19.7</v>
      </c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29" t="s">
        <v>386</v>
      </c>
      <c r="CJ1539" s="18" t="s">
        <v>548</v>
      </c>
      <c r="CK1539" s="30"/>
    </row>
    <row r="1540" spans="1:89" x14ac:dyDescent="0.25">
      <c r="A1540" s="18" t="s">
        <v>548</v>
      </c>
      <c r="B1540" s="29" t="s">
        <v>482</v>
      </c>
      <c r="C1540" s="29" t="s">
        <v>387</v>
      </c>
      <c r="D1540" s="6">
        <v>0</v>
      </c>
      <c r="E1540" s="40" t="s">
        <v>83</v>
      </c>
      <c r="F1540" s="6">
        <v>0</v>
      </c>
      <c r="N1540" s="115">
        <v>0</v>
      </c>
      <c r="O1540" s="115">
        <v>0</v>
      </c>
      <c r="P1540" s="116" t="s">
        <v>83</v>
      </c>
      <c r="Q1540" s="116" t="s">
        <v>83</v>
      </c>
      <c r="R1540" s="115">
        <v>0</v>
      </c>
      <c r="S1540" s="115">
        <v>0</v>
      </c>
      <c r="T1540" s="115">
        <v>0</v>
      </c>
      <c r="U1540" s="115">
        <v>0</v>
      </c>
      <c r="V1540" s="115">
        <v>0</v>
      </c>
      <c r="W1540" s="6">
        <v>667</v>
      </c>
      <c r="X1540" s="40">
        <f t="shared" si="104"/>
        <v>667</v>
      </c>
      <c r="Y1540" s="40">
        <f t="shared" si="105"/>
        <v>667</v>
      </c>
      <c r="Z1540" s="59">
        <v>0.53223388305847075</v>
      </c>
      <c r="AA1540" s="59">
        <v>0.46776611694152925</v>
      </c>
      <c r="AB1540" s="61">
        <v>0</v>
      </c>
      <c r="AC1540" s="61">
        <v>2.5487256371814093E-2</v>
      </c>
      <c r="AD1540" s="61">
        <v>0.11094452773613193</v>
      </c>
      <c r="AE1540" s="61">
        <v>2.6986506746626688E-2</v>
      </c>
      <c r="AF1540" s="61">
        <v>0</v>
      </c>
      <c r="AG1540" s="61">
        <v>0.81709145427286356</v>
      </c>
      <c r="AH1540" s="61">
        <v>1.9490254872563718E-2</v>
      </c>
      <c r="AI1540" s="61">
        <v>0.18290854572713644</v>
      </c>
      <c r="AJ1540" s="59">
        <v>0.43328335832083958</v>
      </c>
      <c r="AK1540" s="59">
        <v>4.4977511244377807E-3</v>
      </c>
      <c r="AL1540" s="4">
        <v>0</v>
      </c>
      <c r="AM1540" s="4">
        <v>0</v>
      </c>
      <c r="AN1540" s="4">
        <v>13</v>
      </c>
      <c r="AO1540" s="4">
        <v>173</v>
      </c>
      <c r="AP1540" s="4">
        <v>174</v>
      </c>
      <c r="AQ1540" s="4">
        <v>165</v>
      </c>
      <c r="AR1540" s="4">
        <v>142</v>
      </c>
      <c r="AS1540" s="59">
        <v>6.9892473118279563E-2</v>
      </c>
      <c r="AT1540" s="3">
        <v>9</v>
      </c>
      <c r="AU1540" s="3">
        <v>6</v>
      </c>
      <c r="AV1540" s="49">
        <v>60.130718954248394</v>
      </c>
      <c r="AW1540" s="49">
        <v>27.7777777777778</v>
      </c>
      <c r="AX1540" s="49">
        <v>10.784313725490199</v>
      </c>
      <c r="AY1540" s="67">
        <v>1.3071895424836599</v>
      </c>
      <c r="AZ1540" s="63">
        <v>0.116788321167883</v>
      </c>
      <c r="BA1540" s="63">
        <v>7.4452554744525501E-2</v>
      </c>
      <c r="BB1540" s="80">
        <v>94.4</v>
      </c>
      <c r="BC1540" s="80"/>
      <c r="BD1540" s="80"/>
      <c r="BE1540" s="80"/>
      <c r="BF1540" s="80"/>
      <c r="BG1540" s="80"/>
      <c r="BH1540" s="80"/>
      <c r="BI1540" s="80"/>
      <c r="BJ1540" s="3">
        <v>19.899999999999999</v>
      </c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29" t="s">
        <v>387</v>
      </c>
      <c r="CJ1540" s="18" t="s">
        <v>548</v>
      </c>
      <c r="CK1540" s="30"/>
    </row>
    <row r="1541" spans="1:89" x14ac:dyDescent="0.25">
      <c r="A1541" s="18" t="s">
        <v>548</v>
      </c>
      <c r="B1541" s="29" t="s">
        <v>388</v>
      </c>
      <c r="C1541" s="29" t="s">
        <v>389</v>
      </c>
      <c r="D1541" s="6">
        <v>0</v>
      </c>
      <c r="E1541" s="6">
        <v>0</v>
      </c>
      <c r="F1541" s="6">
        <v>0</v>
      </c>
      <c r="N1541" s="115">
        <v>0</v>
      </c>
      <c r="O1541" s="115">
        <v>0</v>
      </c>
      <c r="P1541" s="115">
        <v>0</v>
      </c>
      <c r="Q1541" s="115">
        <v>0</v>
      </c>
      <c r="R1541" s="115">
        <v>0</v>
      </c>
      <c r="S1541" s="115">
        <v>0</v>
      </c>
      <c r="T1541" s="115">
        <v>0</v>
      </c>
      <c r="U1541" s="115">
        <v>0</v>
      </c>
      <c r="V1541" s="115">
        <v>0</v>
      </c>
      <c r="W1541" s="6">
        <v>376</v>
      </c>
      <c r="X1541" s="40">
        <f t="shared" si="104"/>
        <v>229</v>
      </c>
      <c r="Y1541" s="40">
        <f t="shared" si="105"/>
        <v>376</v>
      </c>
      <c r="Z1541" s="59">
        <v>0.47606382978723405</v>
      </c>
      <c r="AA1541" s="59">
        <v>0.52393617021276595</v>
      </c>
      <c r="AB1541" s="61">
        <v>7.9787234042553185E-3</v>
      </c>
      <c r="AC1541" s="61">
        <v>1.0638297872340425E-2</v>
      </c>
      <c r="AD1541" s="61">
        <v>1.0638297872340425E-2</v>
      </c>
      <c r="AE1541" s="61">
        <v>5.3191489361702128E-2</v>
      </c>
      <c r="AF1541" s="61">
        <v>0</v>
      </c>
      <c r="AG1541" s="61">
        <v>0.9042553191489362</v>
      </c>
      <c r="AH1541" s="61">
        <v>1.3297872340425532E-2</v>
      </c>
      <c r="AI1541" s="61">
        <v>9.5744680851063829E-2</v>
      </c>
      <c r="AJ1541" s="59">
        <v>0.52659574468085102</v>
      </c>
      <c r="AK1541" s="59">
        <v>2.6595744680851063E-3</v>
      </c>
      <c r="AL1541" s="4">
        <v>73</v>
      </c>
      <c r="AM1541" s="4">
        <v>74</v>
      </c>
      <c r="AN1541" s="4">
        <v>1</v>
      </c>
      <c r="AO1541" s="4">
        <v>63</v>
      </c>
      <c r="AP1541" s="4">
        <v>54</v>
      </c>
      <c r="AQ1541" s="4">
        <v>55</v>
      </c>
      <c r="AR1541" s="4">
        <v>56</v>
      </c>
      <c r="AS1541" s="59">
        <v>1.5625E-2</v>
      </c>
      <c r="AT1541" s="3">
        <v>7</v>
      </c>
      <c r="AU1541" s="3">
        <v>6</v>
      </c>
      <c r="AV1541" s="49">
        <v>78.764478764478795</v>
      </c>
      <c r="AW1541" s="49">
        <v>16.2162162162162</v>
      </c>
      <c r="AX1541" s="49">
        <v>4.6332046332046302</v>
      </c>
      <c r="AY1541" s="67">
        <v>0.38610038610038599</v>
      </c>
      <c r="AZ1541" s="63">
        <v>1.4705882352941201E-2</v>
      </c>
      <c r="BA1541" s="63">
        <v>0.110294117647059</v>
      </c>
      <c r="BB1541" s="79">
        <v>93.5</v>
      </c>
      <c r="BC1541" s="79"/>
      <c r="BD1541" s="79"/>
      <c r="BE1541" s="79"/>
      <c r="BF1541" s="79"/>
      <c r="BG1541" s="79"/>
      <c r="BH1541" s="79"/>
      <c r="BI1541" s="79"/>
      <c r="BJ1541" s="3">
        <v>21</v>
      </c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29" t="s">
        <v>389</v>
      </c>
      <c r="CJ1541" s="18" t="s">
        <v>548</v>
      </c>
      <c r="CK1541" s="30"/>
    </row>
    <row r="1542" spans="1:89" x14ac:dyDescent="0.25">
      <c r="A1542" s="18" t="s">
        <v>548</v>
      </c>
      <c r="B1542" s="29" t="s">
        <v>388</v>
      </c>
      <c r="C1542" s="29" t="s">
        <v>390</v>
      </c>
      <c r="D1542" s="6">
        <v>1</v>
      </c>
      <c r="E1542" s="6">
        <v>0</v>
      </c>
      <c r="F1542" s="6">
        <v>1</v>
      </c>
      <c r="N1542" s="119">
        <v>5.6818181818181802E-3</v>
      </c>
      <c r="O1542" s="119">
        <v>9.0090090090090107E-3</v>
      </c>
      <c r="P1542" s="115">
        <v>0</v>
      </c>
      <c r="Q1542" s="115">
        <v>0</v>
      </c>
      <c r="R1542" s="116" t="s">
        <v>83</v>
      </c>
      <c r="S1542" s="115">
        <v>0</v>
      </c>
      <c r="T1542" s="115">
        <v>0</v>
      </c>
      <c r="U1542" s="119">
        <v>3.7037037037037E-2</v>
      </c>
      <c r="V1542" s="115">
        <v>0</v>
      </c>
      <c r="W1542" s="6">
        <v>373</v>
      </c>
      <c r="X1542" s="40">
        <f t="shared" si="104"/>
        <v>99</v>
      </c>
      <c r="Y1542" s="40">
        <f t="shared" si="105"/>
        <v>156</v>
      </c>
      <c r="Z1542" s="59">
        <v>0.51206434316353888</v>
      </c>
      <c r="AA1542" s="59">
        <v>0.48793565683646112</v>
      </c>
      <c r="AB1542" s="61">
        <v>1.876675603217158E-2</v>
      </c>
      <c r="AC1542" s="61">
        <v>0</v>
      </c>
      <c r="AD1542" s="61">
        <v>5.3619302949061663E-3</v>
      </c>
      <c r="AE1542" s="61">
        <v>8.0428954423592495E-3</v>
      </c>
      <c r="AF1542" s="61">
        <v>2.6809651474530832E-3</v>
      </c>
      <c r="AG1542" s="61">
        <v>0.96246648793565681</v>
      </c>
      <c r="AH1542" s="61">
        <v>2.6809651474530832E-3</v>
      </c>
      <c r="AI1542" s="61">
        <v>3.7533512064343161E-2</v>
      </c>
      <c r="AJ1542" s="59">
        <v>0.79624664879356566</v>
      </c>
      <c r="AK1542" s="59">
        <v>0</v>
      </c>
      <c r="AL1542" s="4">
        <v>24</v>
      </c>
      <c r="AM1542" s="4">
        <v>33</v>
      </c>
      <c r="AN1542" s="4">
        <v>0</v>
      </c>
      <c r="AO1542" s="4">
        <v>21</v>
      </c>
      <c r="AP1542" s="4">
        <v>28</v>
      </c>
      <c r="AQ1542" s="4">
        <v>25</v>
      </c>
      <c r="AR1542" s="4">
        <v>25</v>
      </c>
      <c r="AS1542" s="59">
        <v>0</v>
      </c>
      <c r="AT1542" s="3">
        <v>1</v>
      </c>
      <c r="AU1542" s="3">
        <v>6</v>
      </c>
      <c r="AV1542" s="49">
        <v>83.944954128440401</v>
      </c>
      <c r="AW1542" s="49">
        <v>7.3394495412843996</v>
      </c>
      <c r="AX1542" s="49">
        <v>7.3394495412843996</v>
      </c>
      <c r="AY1542" s="67">
        <v>1.3761467889908299</v>
      </c>
      <c r="AZ1542" s="63">
        <v>7.0257611241217799E-3</v>
      </c>
      <c r="BA1542" s="63">
        <v>7.7283372365339595E-2</v>
      </c>
      <c r="BB1542" s="80">
        <v>92.9</v>
      </c>
      <c r="BC1542" s="80"/>
      <c r="BD1542" s="80"/>
      <c r="BE1542" s="80"/>
      <c r="BF1542" s="80"/>
      <c r="BG1542" s="80"/>
      <c r="BH1542" s="80"/>
      <c r="BI1542" s="80"/>
      <c r="BJ1542" s="3">
        <v>20</v>
      </c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29" t="s">
        <v>390</v>
      </c>
      <c r="CJ1542" s="18" t="s">
        <v>548</v>
      </c>
      <c r="CK1542" s="30"/>
    </row>
    <row r="1543" spans="1:89" x14ac:dyDescent="0.25">
      <c r="A1543" s="18" t="s">
        <v>548</v>
      </c>
      <c r="B1543" s="29" t="s">
        <v>388</v>
      </c>
      <c r="C1543" s="29" t="s">
        <v>391</v>
      </c>
      <c r="D1543" s="6">
        <v>1</v>
      </c>
      <c r="E1543" s="6">
        <v>0</v>
      </c>
      <c r="F1543" s="6">
        <v>1</v>
      </c>
      <c r="N1543" s="119">
        <v>5.9880239520958096E-3</v>
      </c>
      <c r="O1543" s="119">
        <v>9.2592592592592605E-3</v>
      </c>
      <c r="P1543" s="115">
        <v>0</v>
      </c>
      <c r="Q1543" s="115">
        <v>0</v>
      </c>
      <c r="R1543" s="116" t="s">
        <v>83</v>
      </c>
      <c r="S1543" s="115">
        <v>0</v>
      </c>
      <c r="T1543" s="115">
        <v>0</v>
      </c>
      <c r="U1543" s="115">
        <v>0</v>
      </c>
      <c r="V1543" s="119">
        <v>0.04</v>
      </c>
      <c r="W1543" s="6">
        <v>365</v>
      </c>
      <c r="X1543" s="40">
        <f t="shared" si="104"/>
        <v>100</v>
      </c>
      <c r="Y1543" s="40">
        <f t="shared" si="105"/>
        <v>156</v>
      </c>
      <c r="Z1543" s="59">
        <v>0.52054794520547942</v>
      </c>
      <c r="AA1543" s="59">
        <v>0.47945205479452052</v>
      </c>
      <c r="AB1543" s="61">
        <v>5.4794520547945206E-3</v>
      </c>
      <c r="AC1543" s="61">
        <v>0</v>
      </c>
      <c r="AD1543" s="61">
        <v>5.4794520547945206E-3</v>
      </c>
      <c r="AE1543" s="61">
        <v>2.4657534246575342E-2</v>
      </c>
      <c r="AF1543" s="61">
        <v>0</v>
      </c>
      <c r="AG1543" s="61">
        <v>0.96438356164383565</v>
      </c>
      <c r="AH1543" s="61">
        <v>0</v>
      </c>
      <c r="AI1543" s="61">
        <v>3.5616438356164383E-2</v>
      </c>
      <c r="AJ1543" s="59">
        <v>0.58082191780821912</v>
      </c>
      <c r="AK1543" s="59">
        <v>5.4794520547945206E-3</v>
      </c>
      <c r="AL1543" s="4">
        <v>34</v>
      </c>
      <c r="AM1543" s="4">
        <v>22</v>
      </c>
      <c r="AN1543" s="4">
        <v>0</v>
      </c>
      <c r="AO1543" s="4">
        <v>22</v>
      </c>
      <c r="AP1543" s="4">
        <v>24</v>
      </c>
      <c r="AQ1543" s="4">
        <v>30</v>
      </c>
      <c r="AR1543" s="4">
        <v>24</v>
      </c>
      <c r="AS1543" s="59">
        <v>0</v>
      </c>
      <c r="AT1543" s="3">
        <v>1</v>
      </c>
      <c r="AU1543" s="3">
        <v>6</v>
      </c>
      <c r="AV1543" s="49">
        <v>69.938650306748499</v>
      </c>
      <c r="AW1543" s="49">
        <v>19.631901840490801</v>
      </c>
      <c r="AX1543" s="49">
        <v>7.9754601226993902</v>
      </c>
      <c r="AY1543" s="67">
        <v>2.4539877300613502</v>
      </c>
      <c r="AZ1543" s="63">
        <v>3.5000000000000003E-2</v>
      </c>
      <c r="BA1543" s="63">
        <v>8.2500000000000004E-2</v>
      </c>
      <c r="BB1543" s="79">
        <v>93.1</v>
      </c>
      <c r="BC1543" s="79"/>
      <c r="BD1543" s="79"/>
      <c r="BE1543" s="79"/>
      <c r="BF1543" s="79"/>
      <c r="BG1543" s="79"/>
      <c r="BH1543" s="79"/>
      <c r="BI1543" s="79"/>
      <c r="BJ1543" s="3">
        <v>20.100000000000001</v>
      </c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29" t="s">
        <v>391</v>
      </c>
      <c r="CJ1543" s="18" t="s">
        <v>548</v>
      </c>
      <c r="CK1543" s="30"/>
    </row>
    <row r="1544" spans="1:89" x14ac:dyDescent="0.25">
      <c r="A1544" s="18" t="s">
        <v>548</v>
      </c>
      <c r="B1544" s="29" t="s">
        <v>388</v>
      </c>
      <c r="C1544" s="29" t="s">
        <v>392</v>
      </c>
      <c r="D1544" s="6">
        <v>0</v>
      </c>
      <c r="E1544" s="6">
        <v>0</v>
      </c>
      <c r="F1544" s="6">
        <v>0</v>
      </c>
      <c r="N1544" s="115">
        <v>0</v>
      </c>
      <c r="O1544" s="115">
        <v>0</v>
      </c>
      <c r="P1544" s="115">
        <v>0</v>
      </c>
      <c r="Q1544" s="115">
        <v>0</v>
      </c>
      <c r="R1544" s="116" t="s">
        <v>83</v>
      </c>
      <c r="S1544" s="115">
        <v>0</v>
      </c>
      <c r="T1544" s="115">
        <v>0</v>
      </c>
      <c r="U1544" s="115">
        <v>0</v>
      </c>
      <c r="V1544" s="115">
        <v>0</v>
      </c>
      <c r="W1544" s="6">
        <v>348</v>
      </c>
      <c r="X1544" s="40">
        <f t="shared" si="104"/>
        <v>90</v>
      </c>
      <c r="Y1544" s="40">
        <f t="shared" si="105"/>
        <v>144</v>
      </c>
      <c r="Z1544" s="59">
        <v>0.4885057471264368</v>
      </c>
      <c r="AA1544" s="59">
        <v>0.5114942528735632</v>
      </c>
      <c r="AB1544" s="61">
        <v>2.2988505747126436E-2</v>
      </c>
      <c r="AC1544" s="61">
        <v>0</v>
      </c>
      <c r="AD1544" s="61">
        <v>0</v>
      </c>
      <c r="AE1544" s="61">
        <v>2.0114942528735632E-2</v>
      </c>
      <c r="AF1544" s="61">
        <v>0</v>
      </c>
      <c r="AG1544" s="61">
        <v>0.9568965517241379</v>
      </c>
      <c r="AH1544" s="61">
        <v>0</v>
      </c>
      <c r="AI1544" s="61">
        <v>4.3103448275862072E-2</v>
      </c>
      <c r="AJ1544" s="59">
        <v>0.66379310344827591</v>
      </c>
      <c r="AK1544" s="59">
        <v>0</v>
      </c>
      <c r="AL1544" s="4">
        <v>22</v>
      </c>
      <c r="AM1544" s="4">
        <v>32</v>
      </c>
      <c r="AN1544" s="4">
        <v>0</v>
      </c>
      <c r="AO1544" s="4">
        <v>16</v>
      </c>
      <c r="AP1544" s="4">
        <v>27</v>
      </c>
      <c r="AQ1544" s="4">
        <v>25</v>
      </c>
      <c r="AR1544" s="4">
        <v>22</v>
      </c>
      <c r="AS1544" s="59">
        <v>0</v>
      </c>
      <c r="AT1544" s="3">
        <v>1</v>
      </c>
      <c r="AU1544" s="3">
        <v>6</v>
      </c>
      <c r="AV1544" s="49">
        <v>87.804878048780495</v>
      </c>
      <c r="AW1544" s="49">
        <v>7.9268292682926802</v>
      </c>
      <c r="AX1544" s="49">
        <v>3.0487804878048799</v>
      </c>
      <c r="AY1544" s="67">
        <v>1.2195121951219501</v>
      </c>
      <c r="AZ1544" s="63">
        <v>7.8947368421052599E-2</v>
      </c>
      <c r="BA1544" s="63">
        <v>9.7368421052631604E-2</v>
      </c>
      <c r="BB1544" s="80">
        <v>91.8</v>
      </c>
      <c r="BC1544" s="80"/>
      <c r="BD1544" s="80"/>
      <c r="BE1544" s="80"/>
      <c r="BF1544" s="80"/>
      <c r="BG1544" s="80"/>
      <c r="BH1544" s="80"/>
      <c r="BI1544" s="80"/>
      <c r="BJ1544" s="3">
        <v>17.8</v>
      </c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29" t="s">
        <v>392</v>
      </c>
      <c r="CJ1544" s="18" t="s">
        <v>548</v>
      </c>
      <c r="CK1544" s="30"/>
    </row>
    <row r="1545" spans="1:89" x14ac:dyDescent="0.25">
      <c r="A1545" s="18" t="s">
        <v>548</v>
      </c>
      <c r="B1545" s="29" t="s">
        <v>388</v>
      </c>
      <c r="C1545" s="29" t="s">
        <v>393</v>
      </c>
      <c r="D1545" s="6">
        <v>7</v>
      </c>
      <c r="E1545" s="40" t="s">
        <v>83</v>
      </c>
      <c r="F1545" s="6">
        <v>7</v>
      </c>
      <c r="N1545" s="119">
        <v>8.3632019115890098E-3</v>
      </c>
      <c r="O1545" s="119">
        <v>8.3632019115890098E-3</v>
      </c>
      <c r="P1545" s="116" t="s">
        <v>83</v>
      </c>
      <c r="Q1545" s="116" t="s">
        <v>83</v>
      </c>
      <c r="R1545" s="116" t="s">
        <v>83</v>
      </c>
      <c r="S1545" s="119">
        <v>8.8495575221238902E-3</v>
      </c>
      <c r="T1545" s="115">
        <v>0</v>
      </c>
      <c r="U1545" s="119">
        <v>5.2631578947368403E-3</v>
      </c>
      <c r="V1545" s="119">
        <v>2.01005025125628E-2</v>
      </c>
      <c r="W1545" s="6">
        <v>745</v>
      </c>
      <c r="X1545" s="40">
        <f t="shared" si="104"/>
        <v>745</v>
      </c>
      <c r="Y1545" s="40">
        <f t="shared" si="105"/>
        <v>745</v>
      </c>
      <c r="Z1545" s="59">
        <v>0.48993288590604028</v>
      </c>
      <c r="AA1545" s="59">
        <v>0.51006711409395977</v>
      </c>
      <c r="AB1545" s="61">
        <v>1.0738255033557046E-2</v>
      </c>
      <c r="AC1545" s="61">
        <v>1.4765100671140939E-2</v>
      </c>
      <c r="AD1545" s="61">
        <v>0.34496644295302015</v>
      </c>
      <c r="AE1545" s="61">
        <v>0.11677852348993288</v>
      </c>
      <c r="AF1545" s="61">
        <v>1.4765100671140939E-2</v>
      </c>
      <c r="AG1545" s="61">
        <v>0.43624161073825501</v>
      </c>
      <c r="AH1545" s="61">
        <v>6.174496644295302E-2</v>
      </c>
      <c r="AI1545" s="61">
        <v>0.56375838926174493</v>
      </c>
      <c r="AJ1545" s="59">
        <v>0.58120805369127515</v>
      </c>
      <c r="AK1545" s="59">
        <v>1.0738255033557046E-2</v>
      </c>
      <c r="AL1545" s="4">
        <v>0</v>
      </c>
      <c r="AM1545" s="4">
        <v>0</v>
      </c>
      <c r="AN1545" s="4">
        <v>0</v>
      </c>
      <c r="AO1545" s="4">
        <v>208</v>
      </c>
      <c r="AP1545" s="4">
        <v>182</v>
      </c>
      <c r="AQ1545" s="4">
        <v>174</v>
      </c>
      <c r="AR1545" s="4">
        <v>181</v>
      </c>
      <c r="AS1545" s="59">
        <v>0</v>
      </c>
      <c r="AT1545" s="3">
        <v>9</v>
      </c>
      <c r="AU1545" s="3">
        <v>6</v>
      </c>
      <c r="AV1545" s="49">
        <v>70.197044334975402</v>
      </c>
      <c r="AW1545" s="49">
        <v>16.256157635468</v>
      </c>
      <c r="AX1545" s="49">
        <v>13.054187192118199</v>
      </c>
      <c r="AY1545" s="67">
        <v>0.49261083743842399</v>
      </c>
      <c r="AZ1545" s="63">
        <v>7.0998796630565603E-2</v>
      </c>
      <c r="BA1545" s="63">
        <v>0.16125150421179299</v>
      </c>
      <c r="BB1545" s="79">
        <v>91.8</v>
      </c>
      <c r="BC1545" s="79"/>
      <c r="BD1545" s="79"/>
      <c r="BE1545" s="79"/>
      <c r="BF1545" s="79"/>
      <c r="BG1545" s="79"/>
      <c r="BH1545" s="79"/>
      <c r="BI1545" s="79"/>
      <c r="BJ1545" s="3">
        <v>19</v>
      </c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29" t="s">
        <v>393</v>
      </c>
      <c r="CJ1545" s="18" t="s">
        <v>548</v>
      </c>
      <c r="CK1545" s="30"/>
    </row>
    <row r="1546" spans="1:89" x14ac:dyDescent="0.25">
      <c r="A1546" s="18" t="s">
        <v>548</v>
      </c>
      <c r="B1546" s="29" t="s">
        <v>388</v>
      </c>
      <c r="C1546" s="29" t="s">
        <v>394</v>
      </c>
      <c r="D1546" s="6">
        <v>6</v>
      </c>
      <c r="E1546" s="6">
        <v>2</v>
      </c>
      <c r="F1546" s="6">
        <v>4</v>
      </c>
      <c r="N1546" s="119">
        <v>1.1904761904761901E-2</v>
      </c>
      <c r="O1546" s="119">
        <v>1.3114754098360701E-2</v>
      </c>
      <c r="P1546" s="119">
        <v>8.4745762711864406E-3</v>
      </c>
      <c r="Q1546" s="119">
        <v>1.2345679012345699E-2</v>
      </c>
      <c r="R1546" s="116" t="s">
        <v>83</v>
      </c>
      <c r="S1546" s="119">
        <v>0</v>
      </c>
      <c r="T1546" s="119">
        <v>2.4691358024691398E-2</v>
      </c>
      <c r="U1546" s="119">
        <v>3.6363636363636397E-2</v>
      </c>
      <c r="V1546" s="119">
        <v>0</v>
      </c>
      <c r="W1546" s="6">
        <v>437</v>
      </c>
      <c r="X1546" s="40">
        <f t="shared" si="104"/>
        <v>262</v>
      </c>
      <c r="Y1546" s="40">
        <f t="shared" si="105"/>
        <v>437</v>
      </c>
      <c r="Z1546" s="59">
        <v>0.49199084668192222</v>
      </c>
      <c r="AA1546" s="59">
        <v>0.50800915331807783</v>
      </c>
      <c r="AB1546" s="61">
        <v>4.5766590389016018E-3</v>
      </c>
      <c r="AC1546" s="61">
        <v>4.5766590389016018E-3</v>
      </c>
      <c r="AD1546" s="61">
        <v>0.2288329519450801</v>
      </c>
      <c r="AE1546" s="61">
        <v>0.10526315789473684</v>
      </c>
      <c r="AF1546" s="61">
        <v>1.6018306636155607E-2</v>
      </c>
      <c r="AG1546" s="61">
        <v>0.54004576659038905</v>
      </c>
      <c r="AH1546" s="61">
        <v>0.10068649885583524</v>
      </c>
      <c r="AI1546" s="61">
        <v>0.459954233409611</v>
      </c>
      <c r="AJ1546" s="59">
        <v>0.62929061784897022</v>
      </c>
      <c r="AK1546" s="59">
        <v>4.5766590389016018E-3</v>
      </c>
      <c r="AL1546" s="4">
        <v>103</v>
      </c>
      <c r="AM1546" s="4">
        <v>72</v>
      </c>
      <c r="AN1546" s="4">
        <v>0</v>
      </c>
      <c r="AO1546" s="4">
        <v>71</v>
      </c>
      <c r="AP1546" s="4">
        <v>68</v>
      </c>
      <c r="AQ1546" s="4">
        <v>53</v>
      </c>
      <c r="AR1546" s="4">
        <v>70</v>
      </c>
      <c r="AS1546" s="59">
        <v>0</v>
      </c>
      <c r="AT1546" s="3">
        <v>7</v>
      </c>
      <c r="AU1546" s="3">
        <v>6</v>
      </c>
      <c r="AV1546" s="49">
        <v>75.1152073732719</v>
      </c>
      <c r="AW1546" s="49">
        <v>17.511520737327199</v>
      </c>
      <c r="AX1546" s="49">
        <v>7.3732718894009199</v>
      </c>
      <c r="AY1546" s="67">
        <v>0</v>
      </c>
      <c r="AZ1546" s="63">
        <v>8.5999999999999993E-2</v>
      </c>
      <c r="BA1546" s="63">
        <v>0.122</v>
      </c>
      <c r="BB1546" s="80">
        <v>93.4</v>
      </c>
      <c r="BC1546" s="80"/>
      <c r="BD1546" s="80"/>
      <c r="BE1546" s="80"/>
      <c r="BF1546" s="80"/>
      <c r="BG1546" s="80"/>
      <c r="BH1546" s="80"/>
      <c r="BI1546" s="80"/>
      <c r="BJ1546" s="3">
        <v>18.600000000000001</v>
      </c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29" t="s">
        <v>394</v>
      </c>
      <c r="CJ1546" s="18" t="s">
        <v>548</v>
      </c>
      <c r="CK1546" s="30"/>
    </row>
    <row r="1547" spans="1:89" x14ac:dyDescent="0.25">
      <c r="A1547" s="18" t="s">
        <v>548</v>
      </c>
      <c r="B1547" s="29" t="s">
        <v>388</v>
      </c>
      <c r="C1547" s="29" t="s">
        <v>395</v>
      </c>
      <c r="D1547" s="6">
        <v>0</v>
      </c>
      <c r="E1547" s="6">
        <v>0</v>
      </c>
      <c r="F1547" s="6">
        <v>0</v>
      </c>
      <c r="N1547" s="115">
        <v>0</v>
      </c>
      <c r="O1547" s="115">
        <v>0</v>
      </c>
      <c r="P1547" s="115">
        <v>0</v>
      </c>
      <c r="Q1547" s="115">
        <v>0</v>
      </c>
      <c r="R1547" s="115">
        <v>0</v>
      </c>
      <c r="S1547" s="115">
        <v>0</v>
      </c>
      <c r="T1547" s="115">
        <v>0</v>
      </c>
      <c r="U1547" s="115">
        <v>0</v>
      </c>
      <c r="V1547" s="115">
        <v>0</v>
      </c>
      <c r="W1547" s="6">
        <v>483</v>
      </c>
      <c r="X1547" s="40">
        <f t="shared" si="104"/>
        <v>133</v>
      </c>
      <c r="Y1547" s="40">
        <f t="shared" si="105"/>
        <v>202</v>
      </c>
      <c r="Z1547" s="59">
        <v>0.46376811594202899</v>
      </c>
      <c r="AA1547" s="59">
        <v>0.53623188405797106</v>
      </c>
      <c r="AB1547" s="61">
        <v>6.2111801242236021E-3</v>
      </c>
      <c r="AC1547" s="61">
        <v>0</v>
      </c>
      <c r="AD1547" s="61">
        <v>0</v>
      </c>
      <c r="AE1547" s="61">
        <v>1.2422360248447204E-2</v>
      </c>
      <c r="AF1547" s="61">
        <v>0</v>
      </c>
      <c r="AG1547" s="61">
        <v>0.96480331262939956</v>
      </c>
      <c r="AH1547" s="61">
        <v>1.6563146997929608E-2</v>
      </c>
      <c r="AI1547" s="61">
        <v>3.5196687370600416E-2</v>
      </c>
      <c r="AJ1547" s="59">
        <v>0.77846790890269146</v>
      </c>
      <c r="AK1547" s="59">
        <v>0</v>
      </c>
      <c r="AL1547" s="4">
        <v>37</v>
      </c>
      <c r="AM1547" s="4">
        <v>32</v>
      </c>
      <c r="AN1547" s="4">
        <v>4</v>
      </c>
      <c r="AO1547" s="4">
        <v>20</v>
      </c>
      <c r="AP1547" s="4">
        <v>30</v>
      </c>
      <c r="AQ1547" s="4">
        <v>36</v>
      </c>
      <c r="AR1547" s="4">
        <v>43</v>
      </c>
      <c r="AS1547" s="59">
        <v>0.16666666666666666</v>
      </c>
      <c r="AT1547" s="3">
        <v>1</v>
      </c>
      <c r="AU1547" s="3">
        <v>6</v>
      </c>
      <c r="AV1547" s="49">
        <v>91.605839416058402</v>
      </c>
      <c r="AW1547" s="49">
        <v>7.6642335766423404</v>
      </c>
      <c r="AX1547" s="49">
        <v>0.36496350364963498</v>
      </c>
      <c r="AY1547" s="67">
        <v>0.36496350364963498</v>
      </c>
      <c r="AZ1547" s="63">
        <v>9.9630996309963096E-2</v>
      </c>
      <c r="BA1547" s="63">
        <v>4.98154981549815E-2</v>
      </c>
      <c r="BB1547" s="79">
        <v>90.8</v>
      </c>
      <c r="BC1547" s="79"/>
      <c r="BD1547" s="79"/>
      <c r="BE1547" s="79"/>
      <c r="BF1547" s="79"/>
      <c r="BG1547" s="79"/>
      <c r="BH1547" s="79"/>
      <c r="BI1547" s="79"/>
      <c r="BJ1547" s="3">
        <v>19.2</v>
      </c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29" t="s">
        <v>395</v>
      </c>
      <c r="CJ1547" s="18" t="s">
        <v>548</v>
      </c>
      <c r="CK1547" s="30"/>
    </row>
    <row r="1548" spans="1:89" x14ac:dyDescent="0.25">
      <c r="A1548" s="18" t="s">
        <v>548</v>
      </c>
      <c r="B1548" s="29" t="s">
        <v>388</v>
      </c>
      <c r="C1548" s="29" t="s">
        <v>396</v>
      </c>
      <c r="D1548" s="6">
        <v>0</v>
      </c>
      <c r="E1548" s="6">
        <v>0</v>
      </c>
      <c r="F1548" s="6">
        <v>0</v>
      </c>
      <c r="N1548" s="115">
        <v>0</v>
      </c>
      <c r="O1548" s="115">
        <v>0</v>
      </c>
      <c r="P1548" s="115">
        <v>0</v>
      </c>
      <c r="Q1548" s="115">
        <v>0</v>
      </c>
      <c r="R1548" s="115">
        <v>0</v>
      </c>
      <c r="S1548" s="115">
        <v>0</v>
      </c>
      <c r="T1548" s="115">
        <v>0</v>
      </c>
      <c r="U1548" s="115">
        <v>0</v>
      </c>
      <c r="V1548" s="115">
        <v>0</v>
      </c>
      <c r="W1548" s="6">
        <v>534</v>
      </c>
      <c r="X1548" s="40">
        <f t="shared" si="104"/>
        <v>332</v>
      </c>
      <c r="Y1548" s="40">
        <f t="shared" si="105"/>
        <v>534</v>
      </c>
      <c r="Z1548" s="59">
        <v>0.48501872659176032</v>
      </c>
      <c r="AA1548" s="59">
        <v>0.51498127340823974</v>
      </c>
      <c r="AB1548" s="61">
        <v>9.3632958801498131E-3</v>
      </c>
      <c r="AC1548" s="61">
        <v>1.1235955056179775E-2</v>
      </c>
      <c r="AD1548" s="61">
        <v>5.6179775280898875E-2</v>
      </c>
      <c r="AE1548" s="61">
        <v>4.8689138576779027E-2</v>
      </c>
      <c r="AF1548" s="61">
        <v>0</v>
      </c>
      <c r="AG1548" s="61">
        <v>0.82958801498127344</v>
      </c>
      <c r="AH1548" s="61">
        <v>4.49438202247191E-2</v>
      </c>
      <c r="AI1548" s="61">
        <v>0.17041198501872659</v>
      </c>
      <c r="AJ1548" s="59">
        <v>0.55805243445692887</v>
      </c>
      <c r="AK1548" s="59">
        <v>5.6179775280898875E-3</v>
      </c>
      <c r="AL1548" s="4">
        <v>107</v>
      </c>
      <c r="AM1548" s="4">
        <v>95</v>
      </c>
      <c r="AN1548" s="4">
        <v>1</v>
      </c>
      <c r="AO1548" s="4">
        <v>94</v>
      </c>
      <c r="AP1548" s="4">
        <v>94</v>
      </c>
      <c r="AQ1548" s="4">
        <v>74</v>
      </c>
      <c r="AR1548" s="4">
        <v>69</v>
      </c>
      <c r="AS1548" s="59">
        <v>1.0526315789473684E-2</v>
      </c>
      <c r="AT1548" s="3">
        <v>7</v>
      </c>
      <c r="AU1548" s="3">
        <v>6</v>
      </c>
      <c r="AV1548" s="49">
        <v>77.127659574468098</v>
      </c>
      <c r="AW1548" s="49">
        <v>13.563829787233999</v>
      </c>
      <c r="AX1548" s="49">
        <v>9.3085106382978697</v>
      </c>
      <c r="AY1548" s="67">
        <v>0</v>
      </c>
      <c r="AZ1548" s="63">
        <v>0</v>
      </c>
      <c r="BA1548" s="63">
        <v>0.13780918727915201</v>
      </c>
      <c r="BB1548" s="80">
        <v>92.8</v>
      </c>
      <c r="BC1548" s="80"/>
      <c r="BD1548" s="80"/>
      <c r="BE1548" s="80"/>
      <c r="BF1548" s="80"/>
      <c r="BG1548" s="80"/>
      <c r="BH1548" s="80"/>
      <c r="BI1548" s="80"/>
      <c r="BJ1548" s="3">
        <v>21.2</v>
      </c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29" t="s">
        <v>396</v>
      </c>
      <c r="CJ1548" s="18" t="s">
        <v>548</v>
      </c>
      <c r="CK1548" s="30"/>
    </row>
    <row r="1549" spans="1:89" x14ac:dyDescent="0.25">
      <c r="A1549" s="18" t="s">
        <v>548</v>
      </c>
      <c r="B1549" s="29" t="s">
        <v>388</v>
      </c>
      <c r="C1549" s="29" t="s">
        <v>397</v>
      </c>
      <c r="D1549" s="6">
        <v>0</v>
      </c>
      <c r="E1549" s="6">
        <v>0</v>
      </c>
      <c r="F1549" s="6">
        <v>0</v>
      </c>
      <c r="N1549" s="115">
        <v>0</v>
      </c>
      <c r="O1549" s="115">
        <v>0</v>
      </c>
      <c r="P1549" s="115">
        <v>0</v>
      </c>
      <c r="Q1549" s="115">
        <v>0</v>
      </c>
      <c r="R1549" s="116" t="s">
        <v>83</v>
      </c>
      <c r="S1549" s="115">
        <v>0</v>
      </c>
      <c r="T1549" s="115">
        <v>0</v>
      </c>
      <c r="U1549" s="115">
        <v>0</v>
      </c>
      <c r="V1549" s="115">
        <v>0</v>
      </c>
      <c r="W1549" s="6">
        <v>260</v>
      </c>
      <c r="X1549" s="40">
        <f t="shared" si="104"/>
        <v>92</v>
      </c>
      <c r="Y1549" s="40">
        <f t="shared" si="105"/>
        <v>125</v>
      </c>
      <c r="Z1549" s="59">
        <v>0.43846153846153846</v>
      </c>
      <c r="AA1549" s="59">
        <v>0.56153846153846154</v>
      </c>
      <c r="AB1549" s="61">
        <v>0</v>
      </c>
      <c r="AC1549" s="61">
        <v>0</v>
      </c>
      <c r="AD1549" s="61">
        <v>1.1538461538461539E-2</v>
      </c>
      <c r="AE1549" s="61">
        <v>1.9230769230769232E-2</v>
      </c>
      <c r="AF1549" s="61">
        <v>0</v>
      </c>
      <c r="AG1549" s="61">
        <v>0.96153846153846156</v>
      </c>
      <c r="AH1549" s="61">
        <v>7.6923076923076927E-3</v>
      </c>
      <c r="AI1549" s="61">
        <v>3.8461538461538464E-2</v>
      </c>
      <c r="AJ1549" s="59">
        <v>0.69230769230769229</v>
      </c>
      <c r="AK1549" s="59">
        <v>1.1538461538461539E-2</v>
      </c>
      <c r="AL1549" s="4">
        <v>15</v>
      </c>
      <c r="AM1549" s="4">
        <v>18</v>
      </c>
      <c r="AN1549" s="4">
        <v>0</v>
      </c>
      <c r="AO1549" s="4">
        <v>22</v>
      </c>
      <c r="AP1549" s="4">
        <v>28</v>
      </c>
      <c r="AQ1549" s="4">
        <v>22</v>
      </c>
      <c r="AR1549" s="4">
        <v>20</v>
      </c>
      <c r="AS1549" s="59">
        <v>0</v>
      </c>
      <c r="AT1549" s="3">
        <v>1</v>
      </c>
      <c r="AU1549" s="3">
        <v>6</v>
      </c>
      <c r="AV1549" s="49">
        <v>89.285714285714306</v>
      </c>
      <c r="AW1549" s="49">
        <v>6.6326530612244898</v>
      </c>
      <c r="AX1549" s="49">
        <v>3.5714285714285698</v>
      </c>
      <c r="AY1549" s="67">
        <v>0.51020408163265307</v>
      </c>
      <c r="AZ1549" s="63">
        <v>6.8965517241379301E-3</v>
      </c>
      <c r="BA1549" s="63">
        <v>0.12413793103448301</v>
      </c>
      <c r="BB1549" s="79">
        <v>94.2</v>
      </c>
      <c r="BC1549" s="79"/>
      <c r="BD1549" s="79"/>
      <c r="BE1549" s="79"/>
      <c r="BF1549" s="79"/>
      <c r="BG1549" s="79"/>
      <c r="BH1549" s="79"/>
      <c r="BI1549" s="79"/>
      <c r="BJ1549" s="3">
        <v>18.7</v>
      </c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29" t="s">
        <v>397</v>
      </c>
      <c r="CJ1549" s="18" t="s">
        <v>548</v>
      </c>
      <c r="CK1549" s="30"/>
    </row>
    <row r="1550" spans="1:89" x14ac:dyDescent="0.25">
      <c r="A1550" s="18" t="s">
        <v>548</v>
      </c>
      <c r="B1550" s="29" t="s">
        <v>398</v>
      </c>
      <c r="C1550" s="29" t="s">
        <v>399</v>
      </c>
      <c r="D1550" s="6">
        <v>29</v>
      </c>
      <c r="E1550" s="40" t="s">
        <v>83</v>
      </c>
      <c r="F1550" s="6">
        <v>29</v>
      </c>
      <c r="N1550" s="119">
        <v>3.2222222222222201E-2</v>
      </c>
      <c r="O1550" s="119">
        <v>3.2222222222222201E-2</v>
      </c>
      <c r="P1550" s="116" t="s">
        <v>83</v>
      </c>
      <c r="Q1550" s="116" t="s">
        <v>83</v>
      </c>
      <c r="R1550" s="115">
        <v>0</v>
      </c>
      <c r="S1550" s="119">
        <v>4.1152263374485597E-2</v>
      </c>
      <c r="T1550" s="119">
        <v>4.5454545454545497E-2</v>
      </c>
      <c r="U1550" s="119">
        <v>2.39234449760766E-2</v>
      </c>
      <c r="V1550" s="119">
        <v>1.5151515151515201E-2</v>
      </c>
      <c r="W1550" s="6">
        <v>848</v>
      </c>
      <c r="X1550" s="40">
        <f t="shared" si="104"/>
        <v>848</v>
      </c>
      <c r="Y1550" s="40">
        <f t="shared" si="105"/>
        <v>848</v>
      </c>
      <c r="Z1550" s="59">
        <v>0.48466981132075471</v>
      </c>
      <c r="AA1550" s="59">
        <v>0.51533018867924529</v>
      </c>
      <c r="AB1550" s="61">
        <v>3.5377358490566039E-3</v>
      </c>
      <c r="AC1550" s="61">
        <v>4.7169811320754715E-3</v>
      </c>
      <c r="AD1550" s="61">
        <v>0.27476415094339623</v>
      </c>
      <c r="AE1550" s="61">
        <v>4.1273584905660375E-2</v>
      </c>
      <c r="AF1550" s="61">
        <v>1.1792452830188679E-3</v>
      </c>
      <c r="AG1550" s="61">
        <v>0.66745283018867929</v>
      </c>
      <c r="AH1550" s="61">
        <v>7.0754716981132077E-3</v>
      </c>
      <c r="AI1550" s="61">
        <v>0.33254716981132076</v>
      </c>
      <c r="AJ1550" s="59">
        <v>0.64150943396226412</v>
      </c>
      <c r="AK1550" s="59">
        <v>1.0613207547169811E-2</v>
      </c>
      <c r="AL1550" s="4">
        <v>0</v>
      </c>
      <c r="AM1550" s="4">
        <v>0</v>
      </c>
      <c r="AN1550" s="4">
        <v>60</v>
      </c>
      <c r="AO1550" s="4">
        <v>169</v>
      </c>
      <c r="AP1550" s="4">
        <v>223</v>
      </c>
      <c r="AQ1550" s="4">
        <v>199</v>
      </c>
      <c r="AR1550" s="4">
        <v>197</v>
      </c>
      <c r="AS1550" s="59">
        <v>0.26200873362445415</v>
      </c>
      <c r="AT1550" s="3">
        <v>9</v>
      </c>
      <c r="AU1550" s="3">
        <v>6</v>
      </c>
      <c r="AV1550" s="49">
        <v>60.107816711590303</v>
      </c>
      <c r="AW1550" s="49">
        <v>27.762803234501298</v>
      </c>
      <c r="AX1550" s="49">
        <v>12.129380053908401</v>
      </c>
      <c r="AY1550" s="67">
        <v>0</v>
      </c>
      <c r="AZ1550" s="63">
        <v>0.28699551569506698</v>
      </c>
      <c r="BA1550" s="63">
        <v>7.5112107623318394E-2</v>
      </c>
      <c r="BB1550" s="80">
        <v>93.2</v>
      </c>
      <c r="BC1550" s="80"/>
      <c r="BD1550" s="80"/>
      <c r="BE1550" s="80"/>
      <c r="BF1550" s="80"/>
      <c r="BG1550" s="80"/>
      <c r="BH1550" s="80"/>
      <c r="BI1550" s="80"/>
      <c r="BJ1550" s="3">
        <v>17.899999999999999</v>
      </c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29" t="s">
        <v>399</v>
      </c>
      <c r="CJ1550" s="18" t="s">
        <v>548</v>
      </c>
      <c r="CK1550" s="30"/>
    </row>
    <row r="1551" spans="1:89" x14ac:dyDescent="0.25">
      <c r="A1551" s="18" t="s">
        <v>548</v>
      </c>
      <c r="B1551" s="29" t="s">
        <v>398</v>
      </c>
      <c r="C1551" s="29" t="s">
        <v>400</v>
      </c>
      <c r="D1551" s="6">
        <v>5</v>
      </c>
      <c r="E1551" s="6">
        <v>1</v>
      </c>
      <c r="F1551" s="6">
        <v>4</v>
      </c>
      <c r="N1551" s="119">
        <v>1.9011406844106502E-2</v>
      </c>
      <c r="O1551" s="119">
        <v>2.4691358024691398E-2</v>
      </c>
      <c r="P1551" s="119">
        <v>0</v>
      </c>
      <c r="Q1551" s="119">
        <v>1.8181818181818198E-2</v>
      </c>
      <c r="R1551" s="115">
        <v>0</v>
      </c>
      <c r="S1551" s="119">
        <v>2.7027027027027001E-2</v>
      </c>
      <c r="T1551" s="119">
        <v>5.2631578947368397E-2</v>
      </c>
      <c r="U1551" s="119">
        <v>0</v>
      </c>
      <c r="V1551" s="119">
        <v>2.7027027027027001E-2</v>
      </c>
      <c r="W1551" s="6">
        <v>540</v>
      </c>
      <c r="X1551" s="40">
        <f t="shared" si="104"/>
        <v>156</v>
      </c>
      <c r="Y1551" s="40">
        <f t="shared" si="105"/>
        <v>253</v>
      </c>
      <c r="Z1551" s="59">
        <v>0.46666666666666667</v>
      </c>
      <c r="AA1551" s="59">
        <v>0.53333333333333333</v>
      </c>
      <c r="AB1551" s="61">
        <v>7.4074074074074077E-3</v>
      </c>
      <c r="AC1551" s="61">
        <v>0</v>
      </c>
      <c r="AD1551" s="61">
        <v>0.26111111111111113</v>
      </c>
      <c r="AE1551" s="61">
        <v>1.1111111111111112E-2</v>
      </c>
      <c r="AF1551" s="61">
        <v>0</v>
      </c>
      <c r="AG1551" s="61">
        <v>0.69444444444444442</v>
      </c>
      <c r="AH1551" s="61">
        <v>2.5925925925925925E-2</v>
      </c>
      <c r="AI1551" s="61">
        <v>0.30555555555555558</v>
      </c>
      <c r="AJ1551" s="59">
        <v>0.65740740740740744</v>
      </c>
      <c r="AK1551" s="59">
        <v>5.5555555555555558E-3</v>
      </c>
      <c r="AL1551" s="4">
        <v>45</v>
      </c>
      <c r="AM1551" s="4">
        <v>52</v>
      </c>
      <c r="AN1551" s="4">
        <v>13</v>
      </c>
      <c r="AO1551" s="4">
        <v>34</v>
      </c>
      <c r="AP1551" s="4">
        <v>36</v>
      </c>
      <c r="AQ1551" s="4">
        <v>37</v>
      </c>
      <c r="AR1551" s="4">
        <v>36</v>
      </c>
      <c r="AS1551" s="59">
        <v>0.27659574468085107</v>
      </c>
      <c r="AT1551" s="3">
        <v>1</v>
      </c>
      <c r="AU1551" s="3">
        <v>6</v>
      </c>
      <c r="AV1551" s="49">
        <v>80.497925311203304</v>
      </c>
      <c r="AW1551" s="49">
        <v>16.597510373443999</v>
      </c>
      <c r="AX1551" s="49">
        <v>0.829875518672199</v>
      </c>
      <c r="AY1551" s="67">
        <v>2.0746887966804999</v>
      </c>
      <c r="AZ1551" s="63">
        <v>0.182444061962134</v>
      </c>
      <c r="BA1551" s="63">
        <v>6.7125645438898499E-2</v>
      </c>
      <c r="BB1551" s="79">
        <v>93.7</v>
      </c>
      <c r="BC1551" s="79"/>
      <c r="BD1551" s="79"/>
      <c r="BE1551" s="79"/>
      <c r="BF1551" s="79"/>
      <c r="BG1551" s="79"/>
      <c r="BH1551" s="79"/>
      <c r="BI1551" s="79"/>
      <c r="BJ1551" s="3">
        <v>16.7</v>
      </c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29" t="s">
        <v>400</v>
      </c>
      <c r="CJ1551" s="18" t="s">
        <v>548</v>
      </c>
      <c r="CK1551" s="30"/>
    </row>
    <row r="1552" spans="1:89" x14ac:dyDescent="0.25">
      <c r="A1552" s="18" t="s">
        <v>548</v>
      </c>
      <c r="B1552" s="29" t="s">
        <v>398</v>
      </c>
      <c r="C1552" s="29" t="s">
        <v>401</v>
      </c>
      <c r="D1552" s="6">
        <v>17</v>
      </c>
      <c r="E1552" s="6">
        <v>3</v>
      </c>
      <c r="F1552" s="6">
        <v>14</v>
      </c>
      <c r="N1552" s="119">
        <v>2.5449101796407199E-2</v>
      </c>
      <c r="O1552" s="119">
        <v>3.3096926713947997E-2</v>
      </c>
      <c r="P1552" s="119">
        <v>0</v>
      </c>
      <c r="Q1552" s="119">
        <v>2.34375E-2</v>
      </c>
      <c r="R1552" s="115">
        <v>0</v>
      </c>
      <c r="S1552" s="119">
        <v>3.4090909090909102E-2</v>
      </c>
      <c r="T1552" s="119">
        <v>4.3478260869565202E-2</v>
      </c>
      <c r="U1552" s="119">
        <v>3.3707865168539297E-2</v>
      </c>
      <c r="V1552" s="119">
        <v>2.4691358024691398E-2</v>
      </c>
      <c r="W1552" s="6">
        <v>766</v>
      </c>
      <c r="X1552" s="40">
        <f t="shared" si="104"/>
        <v>396</v>
      </c>
      <c r="Y1552" s="40">
        <f t="shared" si="105"/>
        <v>623</v>
      </c>
      <c r="Z1552" s="59">
        <v>0.48302872062663188</v>
      </c>
      <c r="AA1552" s="59">
        <v>0.51697127937336818</v>
      </c>
      <c r="AB1552" s="61">
        <v>1.3054830287206266E-3</v>
      </c>
      <c r="AC1552" s="61">
        <v>0</v>
      </c>
      <c r="AD1552" s="61">
        <v>0.16579634464751958</v>
      </c>
      <c r="AE1552" s="61">
        <v>2.2193211488250653E-2</v>
      </c>
      <c r="AF1552" s="61">
        <v>0</v>
      </c>
      <c r="AG1552" s="61">
        <v>0.80939947780678856</v>
      </c>
      <c r="AH1552" s="61">
        <v>1.3054830287206266E-3</v>
      </c>
      <c r="AI1552" s="61">
        <v>0.1906005221932115</v>
      </c>
      <c r="AJ1552" s="59">
        <v>0.61357702349869447</v>
      </c>
      <c r="AK1552" s="59">
        <v>7.832898172323759E-3</v>
      </c>
      <c r="AL1552" s="4">
        <v>109</v>
      </c>
      <c r="AM1552" s="4">
        <v>118</v>
      </c>
      <c r="AN1552" s="4">
        <v>26</v>
      </c>
      <c r="AO1552" s="4">
        <v>77</v>
      </c>
      <c r="AP1552" s="4">
        <v>133</v>
      </c>
      <c r="AQ1552" s="4">
        <v>83</v>
      </c>
      <c r="AR1552" s="4">
        <v>77</v>
      </c>
      <c r="AS1552" s="59">
        <v>0.25242718446601942</v>
      </c>
      <c r="AT1552" s="3">
        <v>6</v>
      </c>
      <c r="AU1552" s="3">
        <v>6</v>
      </c>
      <c r="AV1552" s="49">
        <v>66.3888888888889</v>
      </c>
      <c r="AW1552" s="49">
        <v>24.1666666666667</v>
      </c>
      <c r="AX1552" s="49">
        <v>9.4444444444444393</v>
      </c>
      <c r="AY1552" s="67">
        <v>0</v>
      </c>
      <c r="AZ1552" s="63">
        <v>0.21313506815365599</v>
      </c>
      <c r="BA1552" s="63">
        <v>7.4349442379182201E-2</v>
      </c>
      <c r="BB1552" s="80">
        <v>94</v>
      </c>
      <c r="BC1552" s="80"/>
      <c r="BD1552" s="80"/>
      <c r="BE1552" s="80"/>
      <c r="BF1552" s="80"/>
      <c r="BG1552" s="80"/>
      <c r="BH1552" s="80"/>
      <c r="BI1552" s="80"/>
      <c r="BJ1552" s="3">
        <v>18.8</v>
      </c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29" t="s">
        <v>401</v>
      </c>
      <c r="CJ1552" s="18" t="s">
        <v>548</v>
      </c>
      <c r="CK1552" s="30"/>
    </row>
    <row r="1553" spans="1:89" x14ac:dyDescent="0.25">
      <c r="A1553" s="18" t="s">
        <v>548</v>
      </c>
      <c r="B1553" s="29" t="s">
        <v>398</v>
      </c>
      <c r="C1553" s="29" t="s">
        <v>402</v>
      </c>
      <c r="D1553" s="6">
        <v>11</v>
      </c>
      <c r="E1553" s="6">
        <v>2</v>
      </c>
      <c r="F1553" s="6">
        <v>9</v>
      </c>
      <c r="N1553" s="119">
        <v>3.1884057971014498E-2</v>
      </c>
      <c r="O1553" s="119">
        <v>3.8626609442060103E-2</v>
      </c>
      <c r="P1553" s="119">
        <v>0</v>
      </c>
      <c r="Q1553" s="119">
        <v>3.2258064516128997E-2</v>
      </c>
      <c r="R1553" s="119">
        <v>5.8823529411764698E-2</v>
      </c>
      <c r="S1553" s="119">
        <v>5.1282051282051301E-2</v>
      </c>
      <c r="T1553" s="119">
        <v>4.7619047619047603E-2</v>
      </c>
      <c r="U1553" s="119">
        <v>3.4482758620689703E-2</v>
      </c>
      <c r="V1553" s="119">
        <v>1.7857142857142901E-2</v>
      </c>
      <c r="W1553" s="6">
        <v>374</v>
      </c>
      <c r="X1553" s="40">
        <f t="shared" si="104"/>
        <v>217</v>
      </c>
      <c r="Y1553" s="40">
        <f t="shared" si="105"/>
        <v>317</v>
      </c>
      <c r="Z1553" s="59">
        <v>0.43315508021390375</v>
      </c>
      <c r="AA1553" s="59">
        <v>0.5668449197860963</v>
      </c>
      <c r="AB1553" s="61">
        <v>0</v>
      </c>
      <c r="AC1553" s="61">
        <v>0</v>
      </c>
      <c r="AD1553" s="61">
        <v>0.65508021390374327</v>
      </c>
      <c r="AE1553" s="61">
        <v>2.6737967914438501E-3</v>
      </c>
      <c r="AF1553" s="61">
        <v>0</v>
      </c>
      <c r="AG1553" s="61">
        <v>0.34224598930481281</v>
      </c>
      <c r="AH1553" s="61">
        <v>0</v>
      </c>
      <c r="AI1553" s="61">
        <v>0.65775401069518713</v>
      </c>
      <c r="AJ1553" s="59">
        <v>0.89572192513368987</v>
      </c>
      <c r="AK1553" s="59">
        <v>0</v>
      </c>
      <c r="AL1553" s="4">
        <v>43</v>
      </c>
      <c r="AM1553" s="4">
        <v>57</v>
      </c>
      <c r="AN1553" s="4">
        <v>18</v>
      </c>
      <c r="AO1553" s="4">
        <v>33</v>
      </c>
      <c r="AP1553" s="4">
        <v>59</v>
      </c>
      <c r="AQ1553" s="4">
        <v>56</v>
      </c>
      <c r="AR1553" s="4">
        <v>51</v>
      </c>
      <c r="AS1553" s="59">
        <v>0.35294117647058826</v>
      </c>
      <c r="AT1553" s="3">
        <v>6</v>
      </c>
      <c r="AU1553" s="3">
        <v>6</v>
      </c>
      <c r="AV1553" s="49">
        <v>80.310880829015503</v>
      </c>
      <c r="AW1553" s="49">
        <v>16.580310880829</v>
      </c>
      <c r="AX1553" s="49">
        <v>3.1088082901554399</v>
      </c>
      <c r="AY1553" s="67">
        <v>0</v>
      </c>
      <c r="AZ1553" s="63">
        <v>0.33496332518337402</v>
      </c>
      <c r="BA1553" s="63">
        <v>6.1124694376528101E-2</v>
      </c>
      <c r="BB1553" s="79">
        <v>93.3</v>
      </c>
      <c r="BC1553" s="79"/>
      <c r="BD1553" s="79"/>
      <c r="BE1553" s="79"/>
      <c r="BF1553" s="79"/>
      <c r="BG1553" s="79"/>
      <c r="BH1553" s="79"/>
      <c r="BI1553" s="79"/>
      <c r="BJ1553" s="3">
        <v>16.5</v>
      </c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29" t="s">
        <v>402</v>
      </c>
      <c r="CJ1553" s="18" t="s">
        <v>548</v>
      </c>
      <c r="CK1553" s="30"/>
    </row>
    <row r="1554" spans="1:89" x14ac:dyDescent="0.25">
      <c r="A1554" s="18" t="s">
        <v>548</v>
      </c>
      <c r="B1554" s="29" t="s">
        <v>403</v>
      </c>
      <c r="C1554" s="29" t="s">
        <v>404</v>
      </c>
      <c r="D1554" s="6">
        <v>4</v>
      </c>
      <c r="E1554" s="6">
        <v>1</v>
      </c>
      <c r="F1554" s="6">
        <v>3</v>
      </c>
      <c r="N1554" s="119">
        <v>1.7777777777777799E-2</v>
      </c>
      <c r="O1554" s="119">
        <v>2.0547945205479499E-2</v>
      </c>
      <c r="P1554" s="119">
        <v>0</v>
      </c>
      <c r="Q1554" s="119">
        <v>2.5000000000000001E-2</v>
      </c>
      <c r="R1554" s="116" t="s">
        <v>83</v>
      </c>
      <c r="S1554" s="119">
        <v>0</v>
      </c>
      <c r="T1554" s="119">
        <v>5.1282051282051301E-2</v>
      </c>
      <c r="U1554" s="119">
        <v>0</v>
      </c>
      <c r="V1554" s="119">
        <v>3.7037037037037E-2</v>
      </c>
      <c r="W1554" s="6">
        <v>501</v>
      </c>
      <c r="X1554" s="40">
        <f t="shared" si="104"/>
        <v>131</v>
      </c>
      <c r="Y1554" s="40">
        <f t="shared" si="105"/>
        <v>199</v>
      </c>
      <c r="Z1554" s="59">
        <v>0.47305389221556887</v>
      </c>
      <c r="AA1554" s="59">
        <v>0.52694610778443118</v>
      </c>
      <c r="AB1554" s="61">
        <v>0</v>
      </c>
      <c r="AC1554" s="61">
        <v>7.9840319361277438E-3</v>
      </c>
      <c r="AD1554" s="61">
        <v>0.15768463073852296</v>
      </c>
      <c r="AE1554" s="61">
        <v>1.7964071856287425E-2</v>
      </c>
      <c r="AF1554" s="61">
        <v>0</v>
      </c>
      <c r="AG1554" s="61">
        <v>0.79441117764471059</v>
      </c>
      <c r="AH1554" s="61">
        <v>2.1956087824351298E-2</v>
      </c>
      <c r="AI1554" s="61">
        <v>0.20558882235528941</v>
      </c>
      <c r="AJ1554" s="59">
        <v>0.62075848303393211</v>
      </c>
      <c r="AK1554" s="59">
        <v>1.996007984031936E-3</v>
      </c>
      <c r="AL1554" s="4">
        <v>33</v>
      </c>
      <c r="AM1554" s="4">
        <v>35</v>
      </c>
      <c r="AN1554" s="4">
        <v>0</v>
      </c>
      <c r="AO1554" s="4">
        <v>36</v>
      </c>
      <c r="AP1554" s="4">
        <v>33</v>
      </c>
      <c r="AQ1554" s="4">
        <v>37</v>
      </c>
      <c r="AR1554" s="4">
        <v>25</v>
      </c>
      <c r="AS1554" s="59">
        <v>0</v>
      </c>
      <c r="AT1554" s="3">
        <v>1</v>
      </c>
      <c r="AU1554" s="3">
        <v>6</v>
      </c>
      <c r="AV1554" s="49">
        <v>65.055762081784394</v>
      </c>
      <c r="AW1554" s="49">
        <v>26.0223048327138</v>
      </c>
      <c r="AX1554" s="49">
        <v>8.5501858736059511</v>
      </c>
      <c r="AY1554" s="67">
        <v>0.37174721189591098</v>
      </c>
      <c r="AZ1554" s="63">
        <v>1.5706806282722498E-2</v>
      </c>
      <c r="BA1554" s="63">
        <v>9.4240837696335095E-2</v>
      </c>
      <c r="BB1554" s="80">
        <v>92.5</v>
      </c>
      <c r="BC1554" s="80"/>
      <c r="BD1554" s="80"/>
      <c r="BE1554" s="80"/>
      <c r="BF1554" s="80"/>
      <c r="BG1554" s="80"/>
      <c r="BH1554" s="80"/>
      <c r="BI1554" s="80"/>
      <c r="BJ1554" s="3">
        <v>17.399999999999999</v>
      </c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29" t="s">
        <v>404</v>
      </c>
      <c r="CJ1554" s="18" t="s">
        <v>548</v>
      </c>
      <c r="CK1554" s="30"/>
    </row>
    <row r="1555" spans="1:89" x14ac:dyDescent="0.25">
      <c r="A1555" s="18" t="s">
        <v>548</v>
      </c>
      <c r="B1555" s="29" t="s">
        <v>403</v>
      </c>
      <c r="C1555" s="29" t="s">
        <v>405</v>
      </c>
      <c r="D1555" s="6">
        <v>27</v>
      </c>
      <c r="E1555" s="40" t="s">
        <v>83</v>
      </c>
      <c r="F1555" s="6">
        <v>27</v>
      </c>
      <c r="N1555" s="119">
        <v>3.08924485125858E-2</v>
      </c>
      <c r="O1555" s="119">
        <v>3.08924485125858E-2</v>
      </c>
      <c r="P1555" s="116" t="s">
        <v>83</v>
      </c>
      <c r="Q1555" s="116" t="s">
        <v>83</v>
      </c>
      <c r="R1555" s="115">
        <v>0</v>
      </c>
      <c r="S1555" s="115">
        <v>0</v>
      </c>
      <c r="T1555" s="119">
        <v>4.3062200956937802E-2</v>
      </c>
      <c r="U1555" s="119">
        <v>2.7272727272727299E-2</v>
      </c>
      <c r="V1555" s="119">
        <v>5.2863436123347998E-2</v>
      </c>
      <c r="W1555" s="6">
        <v>816</v>
      </c>
      <c r="X1555" s="40">
        <f t="shared" si="104"/>
        <v>816</v>
      </c>
      <c r="Y1555" s="40">
        <f t="shared" si="105"/>
        <v>816</v>
      </c>
      <c r="Z1555" s="59">
        <v>0.49142156862745096</v>
      </c>
      <c r="AA1555" s="59">
        <v>0.50857843137254899</v>
      </c>
      <c r="AB1555" s="61">
        <v>0</v>
      </c>
      <c r="AC1555" s="61">
        <v>7.3529411764705881E-3</v>
      </c>
      <c r="AD1555" s="61">
        <v>0.54779411764705888</v>
      </c>
      <c r="AE1555" s="61">
        <v>1.4705882352941176E-2</v>
      </c>
      <c r="AF1555" s="61">
        <v>0</v>
      </c>
      <c r="AG1555" s="61">
        <v>0.41911764705882354</v>
      </c>
      <c r="AH1555" s="61">
        <v>1.1029411764705883E-2</v>
      </c>
      <c r="AI1555" s="61">
        <v>0.58088235294117652</v>
      </c>
      <c r="AJ1555" s="59">
        <v>0.66176470588235292</v>
      </c>
      <c r="AK1555" s="59">
        <v>8.5784313725490204E-3</v>
      </c>
      <c r="AL1555" s="4">
        <v>0</v>
      </c>
      <c r="AM1555" s="4">
        <v>0</v>
      </c>
      <c r="AN1555" s="4">
        <v>4</v>
      </c>
      <c r="AO1555" s="4">
        <v>204</v>
      </c>
      <c r="AP1555" s="4">
        <v>192</v>
      </c>
      <c r="AQ1555" s="4">
        <v>210</v>
      </c>
      <c r="AR1555" s="4">
        <v>206</v>
      </c>
      <c r="AS1555" s="59">
        <v>1.9230769230769232E-2</v>
      </c>
      <c r="AT1555" s="3">
        <v>9</v>
      </c>
      <c r="AU1555" s="3">
        <v>6</v>
      </c>
      <c r="AV1555" s="49">
        <v>71.459694989106808</v>
      </c>
      <c r="AW1555" s="49">
        <v>15.032679738562098</v>
      </c>
      <c r="AX1555" s="49">
        <v>11.764705882352899</v>
      </c>
      <c r="AY1555" s="67">
        <v>1.7429193899782098</v>
      </c>
      <c r="AZ1555" s="63">
        <v>0.16</v>
      </c>
      <c r="BA1555" s="63">
        <v>0.11529411764705901</v>
      </c>
      <c r="BB1555" s="79">
        <v>90.1</v>
      </c>
      <c r="BC1555" s="79"/>
      <c r="BD1555" s="79"/>
      <c r="BE1555" s="79"/>
      <c r="BF1555" s="79"/>
      <c r="BG1555" s="79"/>
      <c r="BH1555" s="79"/>
      <c r="BI1555" s="79"/>
      <c r="BJ1555" s="3">
        <v>17.399999999999999</v>
      </c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29" t="s">
        <v>405</v>
      </c>
      <c r="CJ1555" s="18" t="s">
        <v>548</v>
      </c>
      <c r="CK1555" s="30"/>
    </row>
    <row r="1556" spans="1:89" x14ac:dyDescent="0.25">
      <c r="A1556" s="18" t="s">
        <v>548</v>
      </c>
      <c r="B1556" s="29" t="s">
        <v>403</v>
      </c>
      <c r="C1556" s="29" t="s">
        <v>406</v>
      </c>
      <c r="D1556" s="6">
        <v>5</v>
      </c>
      <c r="E1556" s="6">
        <v>0</v>
      </c>
      <c r="F1556" s="6">
        <v>5</v>
      </c>
      <c r="N1556" s="119">
        <v>9.4517958412098299E-3</v>
      </c>
      <c r="O1556" s="119">
        <v>1.4534883720930199E-2</v>
      </c>
      <c r="P1556" s="115">
        <v>0</v>
      </c>
      <c r="Q1556" s="115">
        <v>0</v>
      </c>
      <c r="R1556" s="115">
        <v>0</v>
      </c>
      <c r="S1556" s="119">
        <v>1.0869565217391301E-2</v>
      </c>
      <c r="T1556" s="119">
        <v>1.1494252873563199E-2</v>
      </c>
      <c r="U1556" s="119">
        <v>1.1904761904761901E-2</v>
      </c>
      <c r="V1556" s="119">
        <v>2.53164556962025E-2</v>
      </c>
      <c r="W1556" s="6">
        <v>584</v>
      </c>
      <c r="X1556" s="40">
        <f t="shared" si="104"/>
        <v>322</v>
      </c>
      <c r="Y1556" s="40">
        <f t="shared" si="105"/>
        <v>497</v>
      </c>
      <c r="Z1556" s="59">
        <v>0.4708904109589041</v>
      </c>
      <c r="AA1556" s="59">
        <v>0.52910958904109584</v>
      </c>
      <c r="AB1556" s="61">
        <v>0</v>
      </c>
      <c r="AC1556" s="61">
        <v>3.4246575342465752E-3</v>
      </c>
      <c r="AD1556" s="61">
        <v>0.23116438356164384</v>
      </c>
      <c r="AE1556" s="61">
        <v>4.2808219178082189E-2</v>
      </c>
      <c r="AF1556" s="61">
        <v>0</v>
      </c>
      <c r="AG1556" s="61">
        <v>0.69349315068493156</v>
      </c>
      <c r="AH1556" s="61">
        <v>2.9109589041095889E-2</v>
      </c>
      <c r="AI1556" s="61">
        <v>0.3065068493150685</v>
      </c>
      <c r="AJ1556" s="59">
        <v>0.56164383561643838</v>
      </c>
      <c r="AK1556" s="59">
        <v>2.3972602739726026E-2</v>
      </c>
      <c r="AL1556" s="4">
        <v>85</v>
      </c>
      <c r="AM1556" s="4">
        <v>90</v>
      </c>
      <c r="AN1556" s="4">
        <v>2</v>
      </c>
      <c r="AO1556" s="4">
        <v>83</v>
      </c>
      <c r="AP1556" s="4">
        <v>80</v>
      </c>
      <c r="AQ1556" s="4">
        <v>82</v>
      </c>
      <c r="AR1556" s="4">
        <v>75</v>
      </c>
      <c r="AS1556" s="59">
        <v>2.3529411764705882E-2</v>
      </c>
      <c r="AT1556" s="3">
        <v>6</v>
      </c>
      <c r="AU1556" s="3">
        <v>6</v>
      </c>
      <c r="AV1556" s="49">
        <v>52.054794520547901</v>
      </c>
      <c r="AW1556" s="49">
        <v>8.2191780821917799</v>
      </c>
      <c r="AX1556" s="49">
        <v>36.986301369863</v>
      </c>
      <c r="AY1556" s="67">
        <v>2.7397260273972601</v>
      </c>
      <c r="AZ1556" s="63">
        <v>3.3762057877813501E-2</v>
      </c>
      <c r="BA1556" s="63">
        <v>0.114147909967846</v>
      </c>
      <c r="BB1556" s="80">
        <v>91.8</v>
      </c>
      <c r="BC1556" s="80"/>
      <c r="BD1556" s="80"/>
      <c r="BE1556" s="80"/>
      <c r="BF1556" s="80"/>
      <c r="BG1556" s="80"/>
      <c r="BH1556" s="80"/>
      <c r="BI1556" s="80"/>
      <c r="BJ1556" s="3">
        <v>17.899999999999999</v>
      </c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29" t="s">
        <v>406</v>
      </c>
      <c r="CJ1556" s="18" t="s">
        <v>548</v>
      </c>
      <c r="CK1556" s="30"/>
    </row>
    <row r="1557" spans="1:89" x14ac:dyDescent="0.25">
      <c r="A1557" s="18" t="s">
        <v>548</v>
      </c>
      <c r="B1557" s="29" t="s">
        <v>403</v>
      </c>
      <c r="C1557" s="29" t="s">
        <v>407</v>
      </c>
      <c r="D1557" s="6">
        <v>3</v>
      </c>
      <c r="E1557" s="40" t="s">
        <v>83</v>
      </c>
      <c r="F1557" s="6">
        <v>3</v>
      </c>
      <c r="N1557" s="119">
        <v>5.1282051282051299E-3</v>
      </c>
      <c r="O1557" s="119">
        <v>5.1282051282051299E-3</v>
      </c>
      <c r="P1557" s="116" t="s">
        <v>83</v>
      </c>
      <c r="Q1557" s="116" t="s">
        <v>83</v>
      </c>
      <c r="R1557" s="115">
        <v>0</v>
      </c>
      <c r="S1557" s="115">
        <v>0</v>
      </c>
      <c r="T1557" s="115">
        <v>0</v>
      </c>
      <c r="U1557" s="119">
        <v>7.63358778625954E-3</v>
      </c>
      <c r="V1557" s="119">
        <v>1.35135135135135E-2</v>
      </c>
      <c r="W1557" s="6">
        <v>550</v>
      </c>
      <c r="X1557" s="40">
        <f t="shared" si="104"/>
        <v>550</v>
      </c>
      <c r="Y1557" s="40">
        <f t="shared" si="105"/>
        <v>550</v>
      </c>
      <c r="Z1557" s="59">
        <v>0.48909090909090908</v>
      </c>
      <c r="AA1557" s="59">
        <v>0.51090909090909087</v>
      </c>
      <c r="AB1557" s="61">
        <v>0</v>
      </c>
      <c r="AC1557" s="61">
        <v>3.6363636363636364E-3</v>
      </c>
      <c r="AD1557" s="61">
        <v>0.39090909090909093</v>
      </c>
      <c r="AE1557" s="61">
        <v>1.090909090909091E-2</v>
      </c>
      <c r="AF1557" s="61">
        <v>0</v>
      </c>
      <c r="AG1557" s="61">
        <v>0.58363636363636362</v>
      </c>
      <c r="AH1557" s="61">
        <v>1.090909090909091E-2</v>
      </c>
      <c r="AI1557" s="61">
        <v>0.41636363636363638</v>
      </c>
      <c r="AJ1557" s="59">
        <v>0.61636363636363634</v>
      </c>
      <c r="AK1557" s="59">
        <v>0</v>
      </c>
      <c r="AL1557" s="4">
        <v>0</v>
      </c>
      <c r="AM1557" s="4">
        <v>0</v>
      </c>
      <c r="AN1557" s="4">
        <v>5</v>
      </c>
      <c r="AO1557" s="4">
        <v>145</v>
      </c>
      <c r="AP1557" s="4">
        <v>134</v>
      </c>
      <c r="AQ1557" s="4">
        <v>123</v>
      </c>
      <c r="AR1557" s="4">
        <v>143</v>
      </c>
      <c r="AS1557" s="59">
        <v>3.3333333333333333E-2</v>
      </c>
      <c r="AT1557" s="3">
        <v>9</v>
      </c>
      <c r="AU1557" s="3">
        <v>6</v>
      </c>
      <c r="AV1557" s="49">
        <v>62.280701754386001</v>
      </c>
      <c r="AW1557" s="49">
        <v>17.543859649122801</v>
      </c>
      <c r="AX1557" s="49">
        <v>18.859649122807003</v>
      </c>
      <c r="AY1557" s="67">
        <v>1.31578947368421</v>
      </c>
      <c r="AZ1557" s="63">
        <v>0.234991423670669</v>
      </c>
      <c r="BA1557" s="63">
        <v>0.17495711835334499</v>
      </c>
      <c r="BB1557" s="79">
        <v>91.3</v>
      </c>
      <c r="BC1557" s="79"/>
      <c r="BD1557" s="79"/>
      <c r="BE1557" s="79"/>
      <c r="BF1557" s="79"/>
      <c r="BG1557" s="79"/>
      <c r="BH1557" s="79"/>
      <c r="BI1557" s="79"/>
      <c r="BJ1557" s="3">
        <v>18.100000000000001</v>
      </c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29" t="s">
        <v>407</v>
      </c>
      <c r="CJ1557" s="18" t="s">
        <v>548</v>
      </c>
      <c r="CK1557" s="30"/>
    </row>
    <row r="1558" spans="1:89" x14ac:dyDescent="0.25">
      <c r="A1558" s="18" t="s">
        <v>548</v>
      </c>
      <c r="B1558" s="29" t="s">
        <v>408</v>
      </c>
      <c r="C1558" s="29" t="s">
        <v>409</v>
      </c>
      <c r="D1558" s="6">
        <v>13</v>
      </c>
      <c r="E1558" s="40" t="s">
        <v>83</v>
      </c>
      <c r="F1558" s="6">
        <v>13</v>
      </c>
      <c r="N1558" s="119">
        <v>1.9786910197869101E-2</v>
      </c>
      <c r="O1558" s="119">
        <v>1.9786910197869101E-2</v>
      </c>
      <c r="P1558" s="116" t="s">
        <v>83</v>
      </c>
      <c r="Q1558" s="116" t="s">
        <v>83</v>
      </c>
      <c r="R1558" s="119">
        <v>0.5</v>
      </c>
      <c r="S1558" s="119">
        <v>2.0942408376963401E-2</v>
      </c>
      <c r="T1558" s="119">
        <v>2.9585798816568001E-2</v>
      </c>
      <c r="U1558" s="119">
        <v>6.8027210884353704E-3</v>
      </c>
      <c r="V1558" s="119">
        <v>1.35135135135135E-2</v>
      </c>
      <c r="W1558" s="6">
        <v>629</v>
      </c>
      <c r="X1558" s="40">
        <f t="shared" si="104"/>
        <v>629</v>
      </c>
      <c r="Y1558" s="40">
        <f t="shared" si="105"/>
        <v>629</v>
      </c>
      <c r="Z1558" s="59">
        <v>0.48330683624801274</v>
      </c>
      <c r="AA1558" s="59">
        <v>0.51669316375198726</v>
      </c>
      <c r="AB1558" s="61">
        <v>1.589825119236884E-3</v>
      </c>
      <c r="AC1558" s="61">
        <v>7.9491255961844191E-3</v>
      </c>
      <c r="AD1558" s="61">
        <v>0.36248012718600953</v>
      </c>
      <c r="AE1558" s="61">
        <v>5.0874403815580289E-2</v>
      </c>
      <c r="AF1558" s="61">
        <v>0</v>
      </c>
      <c r="AG1558" s="61">
        <v>0.57710651828298887</v>
      </c>
      <c r="AH1558" s="61">
        <v>0</v>
      </c>
      <c r="AI1558" s="61">
        <v>0.42289348171701113</v>
      </c>
      <c r="AJ1558" s="59">
        <v>0.49602543720190778</v>
      </c>
      <c r="AK1558" s="59">
        <v>1.9077901430842606E-2</v>
      </c>
      <c r="AL1558" s="4">
        <v>0</v>
      </c>
      <c r="AM1558" s="4">
        <v>0</v>
      </c>
      <c r="AN1558" s="4">
        <v>19</v>
      </c>
      <c r="AO1558" s="4">
        <v>166</v>
      </c>
      <c r="AP1558" s="4">
        <v>157</v>
      </c>
      <c r="AQ1558" s="4">
        <v>146</v>
      </c>
      <c r="AR1558" s="4">
        <v>141</v>
      </c>
      <c r="AS1558" s="59">
        <v>0.10270270270270271</v>
      </c>
      <c r="AT1558" s="3">
        <v>9</v>
      </c>
      <c r="AU1558" s="3">
        <v>6</v>
      </c>
      <c r="AV1558" s="49">
        <v>65.384615384615401</v>
      </c>
      <c r="AW1558" s="49">
        <v>27.514792899408302</v>
      </c>
      <c r="AX1558" s="49">
        <v>5.32544378698225</v>
      </c>
      <c r="AY1558" s="67">
        <v>1.7751479289940801</v>
      </c>
      <c r="AZ1558" s="63">
        <v>0.122324159021407</v>
      </c>
      <c r="BA1558" s="63">
        <v>2.2935779816513801E-2</v>
      </c>
      <c r="BB1558" s="80">
        <v>94.4</v>
      </c>
      <c r="BC1558" s="80"/>
      <c r="BD1558" s="80"/>
      <c r="BE1558" s="80"/>
      <c r="BF1558" s="80"/>
      <c r="BG1558" s="80"/>
      <c r="BH1558" s="80"/>
      <c r="BI1558" s="80"/>
      <c r="BJ1558" s="3">
        <v>20.100000000000001</v>
      </c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29" t="s">
        <v>409</v>
      </c>
      <c r="CJ1558" s="18" t="s">
        <v>548</v>
      </c>
      <c r="CK1558" s="30"/>
    </row>
    <row r="1559" spans="1:89" x14ac:dyDescent="0.25">
      <c r="A1559" s="18" t="s">
        <v>548</v>
      </c>
      <c r="B1559" s="29" t="s">
        <v>408</v>
      </c>
      <c r="C1559" s="29" t="s">
        <v>410</v>
      </c>
      <c r="D1559" s="6">
        <v>7</v>
      </c>
      <c r="E1559" s="40" t="s">
        <v>83</v>
      </c>
      <c r="F1559" s="6">
        <v>7</v>
      </c>
      <c r="N1559" s="119">
        <v>1.7412935323383099E-2</v>
      </c>
      <c r="O1559" s="119">
        <v>1.7412935323383099E-2</v>
      </c>
      <c r="P1559" s="116" t="s">
        <v>83</v>
      </c>
      <c r="Q1559" s="116" t="s">
        <v>83</v>
      </c>
      <c r="R1559" s="116" t="s">
        <v>83</v>
      </c>
      <c r="S1559" s="119">
        <v>2.3809523809523801E-2</v>
      </c>
      <c r="T1559" s="119">
        <v>1.9230769230769201E-2</v>
      </c>
      <c r="U1559" s="119">
        <v>2.7027027027027001E-2</v>
      </c>
      <c r="V1559" s="119">
        <v>0</v>
      </c>
      <c r="W1559" s="6">
        <v>370</v>
      </c>
      <c r="X1559" s="40">
        <f t="shared" si="104"/>
        <v>370</v>
      </c>
      <c r="Y1559" s="40">
        <f t="shared" si="105"/>
        <v>370</v>
      </c>
      <c r="Z1559" s="59">
        <v>0.48108108108108111</v>
      </c>
      <c r="AA1559" s="59">
        <v>0.51891891891891895</v>
      </c>
      <c r="AB1559" s="61">
        <v>0</v>
      </c>
      <c r="AC1559" s="61">
        <v>5.4054054054054057E-3</v>
      </c>
      <c r="AD1559" s="61">
        <v>0.73513513513513518</v>
      </c>
      <c r="AE1559" s="61">
        <v>7.0270270270270274E-2</v>
      </c>
      <c r="AF1559" s="61">
        <v>0</v>
      </c>
      <c r="AG1559" s="61">
        <v>0.18108108108108109</v>
      </c>
      <c r="AH1559" s="61">
        <v>8.1081081081081086E-3</v>
      </c>
      <c r="AI1559" s="61">
        <v>0.81891891891891888</v>
      </c>
      <c r="AJ1559" s="59">
        <v>0.80540540540540539</v>
      </c>
      <c r="AK1559" s="59">
        <v>3.783783783783784E-2</v>
      </c>
      <c r="AL1559" s="4">
        <v>0</v>
      </c>
      <c r="AM1559" s="4">
        <v>0</v>
      </c>
      <c r="AN1559" s="4">
        <v>0</v>
      </c>
      <c r="AO1559" s="4">
        <v>114</v>
      </c>
      <c r="AP1559" s="4">
        <v>94</v>
      </c>
      <c r="AQ1559" s="4">
        <v>67</v>
      </c>
      <c r="AR1559" s="4">
        <v>95</v>
      </c>
      <c r="AS1559" s="59">
        <v>0</v>
      </c>
      <c r="AT1559" s="3">
        <v>9</v>
      </c>
      <c r="AU1559" s="3">
        <v>6</v>
      </c>
      <c r="AV1559" s="49">
        <v>86.909090909090907</v>
      </c>
      <c r="AW1559" s="49">
        <v>8.7272727272727302</v>
      </c>
      <c r="AX1559" s="49">
        <v>4</v>
      </c>
      <c r="AY1559" s="67">
        <v>0.36363636363636398</v>
      </c>
      <c r="AZ1559" s="63">
        <v>0.4325</v>
      </c>
      <c r="BA1559" s="63">
        <v>7.4999999999999997E-3</v>
      </c>
      <c r="BB1559" s="79">
        <v>93.1</v>
      </c>
      <c r="BC1559" s="79"/>
      <c r="BD1559" s="79"/>
      <c r="BE1559" s="79"/>
      <c r="BF1559" s="79"/>
      <c r="BG1559" s="79"/>
      <c r="BH1559" s="79"/>
      <c r="BI1559" s="79"/>
      <c r="BJ1559" s="3">
        <v>17.899999999999999</v>
      </c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29" t="s">
        <v>410</v>
      </c>
      <c r="CJ1559" s="18" t="s">
        <v>548</v>
      </c>
      <c r="CK1559" s="30"/>
    </row>
    <row r="1560" spans="1:89" x14ac:dyDescent="0.25">
      <c r="A1560" s="18" t="s">
        <v>548</v>
      </c>
      <c r="B1560" s="29" t="s">
        <v>411</v>
      </c>
      <c r="C1560" s="29" t="s">
        <v>412</v>
      </c>
      <c r="D1560" s="6">
        <v>0</v>
      </c>
      <c r="E1560" s="6">
        <v>0</v>
      </c>
      <c r="F1560" s="6">
        <v>0</v>
      </c>
      <c r="N1560" s="115">
        <v>0</v>
      </c>
      <c r="O1560" s="115">
        <v>0</v>
      </c>
      <c r="P1560" s="115">
        <v>0</v>
      </c>
      <c r="Q1560" s="115">
        <v>0</v>
      </c>
      <c r="R1560" s="116" t="s">
        <v>83</v>
      </c>
      <c r="S1560" s="115">
        <v>0</v>
      </c>
      <c r="T1560" s="115">
        <v>0</v>
      </c>
      <c r="U1560" s="115">
        <v>0</v>
      </c>
      <c r="V1560" s="115">
        <v>0</v>
      </c>
      <c r="W1560" s="6">
        <v>288</v>
      </c>
      <c r="X1560" s="40">
        <f t="shared" si="104"/>
        <v>62</v>
      </c>
      <c r="Y1560" s="40">
        <f t="shared" si="105"/>
        <v>107</v>
      </c>
      <c r="Z1560" s="59">
        <v>0.48958333333333331</v>
      </c>
      <c r="AA1560" s="59">
        <v>0.51041666666666663</v>
      </c>
      <c r="AB1560" s="61">
        <v>0</v>
      </c>
      <c r="AC1560" s="61">
        <v>0</v>
      </c>
      <c r="AD1560" s="61">
        <v>0.31597222222222221</v>
      </c>
      <c r="AE1560" s="61">
        <v>3.8194444444444448E-2</v>
      </c>
      <c r="AF1560" s="61">
        <v>0</v>
      </c>
      <c r="AG1560" s="61">
        <v>0.62847222222222221</v>
      </c>
      <c r="AH1560" s="61">
        <v>1.7361111111111112E-2</v>
      </c>
      <c r="AI1560" s="61">
        <v>0.37152777777777779</v>
      </c>
      <c r="AJ1560" s="59">
        <v>0.85069444444444442</v>
      </c>
      <c r="AK1560" s="59">
        <v>1.7361111111111112E-2</v>
      </c>
      <c r="AL1560" s="4">
        <v>20</v>
      </c>
      <c r="AM1560" s="4">
        <v>25</v>
      </c>
      <c r="AN1560" s="4">
        <v>0</v>
      </c>
      <c r="AO1560" s="4">
        <v>16</v>
      </c>
      <c r="AP1560" s="4">
        <v>15</v>
      </c>
      <c r="AQ1560" s="4">
        <v>15</v>
      </c>
      <c r="AR1560" s="4">
        <v>16</v>
      </c>
      <c r="AS1560" s="59">
        <v>0</v>
      </c>
      <c r="AT1560" s="3">
        <v>1</v>
      </c>
      <c r="AU1560" s="3">
        <v>6</v>
      </c>
      <c r="AV1560" s="49">
        <v>77.7777777777778</v>
      </c>
      <c r="AW1560" s="49">
        <v>18.9542483660131</v>
      </c>
      <c r="AX1560" s="49">
        <v>3.2679738562091498</v>
      </c>
      <c r="AY1560" s="67">
        <v>0</v>
      </c>
      <c r="AZ1560" s="63">
        <v>0.15361445783132499</v>
      </c>
      <c r="BA1560" s="63">
        <v>1.20481927710843E-2</v>
      </c>
      <c r="BB1560" s="80">
        <v>93.5</v>
      </c>
      <c r="BC1560" s="80"/>
      <c r="BD1560" s="80"/>
      <c r="BE1560" s="80"/>
      <c r="BF1560" s="80"/>
      <c r="BG1560" s="80"/>
      <c r="BH1560" s="80"/>
      <c r="BI1560" s="80"/>
      <c r="BJ1560" s="3">
        <v>16.100000000000001</v>
      </c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29" t="s">
        <v>412</v>
      </c>
      <c r="CJ1560" s="18" t="s">
        <v>548</v>
      </c>
      <c r="CK1560" s="30"/>
    </row>
    <row r="1561" spans="1:89" x14ac:dyDescent="0.25">
      <c r="A1561" s="18" t="s">
        <v>548</v>
      </c>
      <c r="B1561" s="29" t="s">
        <v>411</v>
      </c>
      <c r="C1561" s="29" t="s">
        <v>413</v>
      </c>
      <c r="D1561" s="6">
        <v>0</v>
      </c>
      <c r="E1561" s="6">
        <v>0</v>
      </c>
      <c r="F1561" s="6">
        <v>0</v>
      </c>
      <c r="N1561" s="115">
        <v>0</v>
      </c>
      <c r="O1561" s="115">
        <v>0</v>
      </c>
      <c r="P1561" s="115">
        <v>0</v>
      </c>
      <c r="Q1561" s="115">
        <v>0</v>
      </c>
      <c r="R1561" s="116" t="s">
        <v>83</v>
      </c>
      <c r="S1561" s="115">
        <v>0</v>
      </c>
      <c r="T1561" s="115">
        <v>0</v>
      </c>
      <c r="U1561" s="115">
        <v>0</v>
      </c>
      <c r="V1561" s="115">
        <v>0</v>
      </c>
      <c r="W1561" s="6">
        <v>541</v>
      </c>
      <c r="X1561" s="40">
        <f t="shared" si="104"/>
        <v>158</v>
      </c>
      <c r="Y1561" s="40">
        <f t="shared" si="105"/>
        <v>232</v>
      </c>
      <c r="Z1561" s="59">
        <v>0.48243992606284658</v>
      </c>
      <c r="AA1561" s="59">
        <v>0.51756007393715342</v>
      </c>
      <c r="AB1561" s="61">
        <v>1.8484288354898336E-3</v>
      </c>
      <c r="AC1561" s="61">
        <v>0</v>
      </c>
      <c r="AD1561" s="61">
        <v>0.10720887245841035</v>
      </c>
      <c r="AE1561" s="61">
        <v>4.8059149722735672E-2</v>
      </c>
      <c r="AF1561" s="61">
        <v>1.8484288354898336E-3</v>
      </c>
      <c r="AG1561" s="61">
        <v>0.83179297597042512</v>
      </c>
      <c r="AH1561" s="61">
        <v>9.242144177449169E-3</v>
      </c>
      <c r="AI1561" s="61">
        <v>0.16820702402957485</v>
      </c>
      <c r="AJ1561" s="59">
        <v>0.72088724584103514</v>
      </c>
      <c r="AK1561" s="59">
        <v>3.6968576709796672E-3</v>
      </c>
      <c r="AL1561" s="4">
        <v>35</v>
      </c>
      <c r="AM1561" s="4">
        <v>39</v>
      </c>
      <c r="AN1561" s="4">
        <v>0</v>
      </c>
      <c r="AO1561" s="4">
        <v>42</v>
      </c>
      <c r="AP1561" s="4">
        <v>44</v>
      </c>
      <c r="AQ1561" s="4">
        <v>35</v>
      </c>
      <c r="AR1561" s="4">
        <v>37</v>
      </c>
      <c r="AS1561" s="59">
        <v>0</v>
      </c>
      <c r="AT1561" s="3">
        <v>1</v>
      </c>
      <c r="AU1561" s="3">
        <v>6</v>
      </c>
      <c r="AV1561" s="49">
        <v>81.879194630872504</v>
      </c>
      <c r="AW1561" s="49">
        <v>15.4362416107383</v>
      </c>
      <c r="AX1561" s="49">
        <v>2.0134228187919501</v>
      </c>
      <c r="AY1561" s="67">
        <v>0.67114093959731502</v>
      </c>
      <c r="AZ1561" s="63">
        <v>8.2390953150242294E-2</v>
      </c>
      <c r="BA1561" s="63">
        <v>0</v>
      </c>
      <c r="BB1561" s="79">
        <v>94.2</v>
      </c>
      <c r="BC1561" s="79"/>
      <c r="BD1561" s="79"/>
      <c r="BE1561" s="79"/>
      <c r="BF1561" s="79"/>
      <c r="BG1561" s="79"/>
      <c r="BH1561" s="79"/>
      <c r="BI1561" s="79"/>
      <c r="BJ1561" s="3">
        <v>19.100000000000001</v>
      </c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29" t="s">
        <v>413</v>
      </c>
      <c r="CJ1561" s="18" t="s">
        <v>548</v>
      </c>
      <c r="CK1561" s="30"/>
    </row>
    <row r="1562" spans="1:89" x14ac:dyDescent="0.25">
      <c r="A1562" s="18" t="s">
        <v>548</v>
      </c>
      <c r="B1562" s="29" t="s">
        <v>411</v>
      </c>
      <c r="C1562" s="29" t="s">
        <v>414</v>
      </c>
      <c r="D1562" s="6">
        <v>2</v>
      </c>
      <c r="E1562" s="6">
        <v>1</v>
      </c>
      <c r="F1562" s="6">
        <v>1</v>
      </c>
      <c r="N1562" s="119">
        <v>1.22699386503067E-2</v>
      </c>
      <c r="O1562" s="119">
        <v>0.01</v>
      </c>
      <c r="P1562" s="115">
        <v>0</v>
      </c>
      <c r="Q1562" s="119">
        <v>3.8461538461538498E-2</v>
      </c>
      <c r="R1562" s="116" t="s">
        <v>83</v>
      </c>
      <c r="S1562" s="119">
        <v>3.3333333333333298E-2</v>
      </c>
      <c r="T1562" s="115">
        <v>0</v>
      </c>
      <c r="U1562" s="115">
        <v>0</v>
      </c>
      <c r="V1562" s="115">
        <v>0</v>
      </c>
      <c r="W1562" s="6">
        <v>306</v>
      </c>
      <c r="X1562" s="40">
        <f t="shared" si="104"/>
        <v>89</v>
      </c>
      <c r="Y1562" s="40">
        <f t="shared" si="105"/>
        <v>144</v>
      </c>
      <c r="Z1562" s="59">
        <v>0.46405228758169936</v>
      </c>
      <c r="AA1562" s="59">
        <v>0.53594771241830064</v>
      </c>
      <c r="AB1562" s="61">
        <v>1.9607843137254902E-2</v>
      </c>
      <c r="AC1562" s="61">
        <v>0</v>
      </c>
      <c r="AD1562" s="61">
        <v>0.11437908496732026</v>
      </c>
      <c r="AE1562" s="61">
        <v>1.6339869281045753E-2</v>
      </c>
      <c r="AF1562" s="61">
        <v>0</v>
      </c>
      <c r="AG1562" s="61">
        <v>0.8202614379084967</v>
      </c>
      <c r="AH1562" s="61">
        <v>2.9411764705882353E-2</v>
      </c>
      <c r="AI1562" s="61">
        <v>0.17973856209150327</v>
      </c>
      <c r="AJ1562" s="59">
        <v>0.63071895424836599</v>
      </c>
      <c r="AK1562" s="59">
        <v>0</v>
      </c>
      <c r="AL1562" s="4">
        <v>31</v>
      </c>
      <c r="AM1562" s="4">
        <v>24</v>
      </c>
      <c r="AN1562" s="4">
        <v>0</v>
      </c>
      <c r="AO1562" s="4">
        <v>25</v>
      </c>
      <c r="AP1562" s="4">
        <v>23</v>
      </c>
      <c r="AQ1562" s="4">
        <v>18</v>
      </c>
      <c r="AR1562" s="4">
        <v>23</v>
      </c>
      <c r="AS1562" s="59">
        <v>0</v>
      </c>
      <c r="AT1562" s="3">
        <v>1</v>
      </c>
      <c r="AU1562" s="3">
        <v>6</v>
      </c>
      <c r="AV1562" s="49">
        <v>87.573964497041402</v>
      </c>
      <c r="AW1562" s="49">
        <v>12.4260355029586</v>
      </c>
      <c r="AX1562" s="49">
        <v>0</v>
      </c>
      <c r="AY1562" s="67">
        <v>0</v>
      </c>
      <c r="AZ1562" s="63">
        <v>6.6091954022988494E-2</v>
      </c>
      <c r="BA1562" s="63">
        <v>1.4367816091954E-2</v>
      </c>
      <c r="BB1562" s="80">
        <v>94.5</v>
      </c>
      <c r="BC1562" s="80"/>
      <c r="BD1562" s="80"/>
      <c r="BE1562" s="80"/>
      <c r="BF1562" s="80"/>
      <c r="BG1562" s="80"/>
      <c r="BH1562" s="80"/>
      <c r="BI1562" s="80"/>
      <c r="BJ1562" s="3">
        <v>17.3</v>
      </c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29" t="s">
        <v>414</v>
      </c>
      <c r="CJ1562" s="18" t="s">
        <v>548</v>
      </c>
      <c r="CK1562" s="30"/>
    </row>
    <row r="1563" spans="1:89" x14ac:dyDescent="0.25">
      <c r="A1563" s="18" t="s">
        <v>548</v>
      </c>
      <c r="B1563" s="29" t="s">
        <v>411</v>
      </c>
      <c r="C1563" s="29" t="s">
        <v>415</v>
      </c>
      <c r="D1563" s="6">
        <v>0</v>
      </c>
      <c r="E1563" s="6">
        <v>0</v>
      </c>
      <c r="F1563" s="6">
        <v>0</v>
      </c>
      <c r="N1563" s="115">
        <v>0</v>
      </c>
      <c r="O1563" s="115">
        <v>0</v>
      </c>
      <c r="P1563" s="115">
        <v>0</v>
      </c>
      <c r="Q1563" s="115">
        <v>0</v>
      </c>
      <c r="R1563" s="116" t="s">
        <v>83</v>
      </c>
      <c r="S1563" s="115">
        <v>0</v>
      </c>
      <c r="T1563" s="115">
        <v>0</v>
      </c>
      <c r="U1563" s="115">
        <v>0</v>
      </c>
      <c r="V1563" s="115">
        <v>0</v>
      </c>
      <c r="W1563" s="6">
        <v>470</v>
      </c>
      <c r="X1563" s="40">
        <f t="shared" si="104"/>
        <v>241</v>
      </c>
      <c r="Y1563" s="40">
        <f t="shared" si="105"/>
        <v>397</v>
      </c>
      <c r="Z1563" s="59">
        <v>0.47234042553191491</v>
      </c>
      <c r="AA1563" s="59">
        <v>0.52765957446808509</v>
      </c>
      <c r="AB1563" s="61">
        <v>0</v>
      </c>
      <c r="AC1563" s="61">
        <v>1.4893617021276596E-2</v>
      </c>
      <c r="AD1563" s="61">
        <v>0.21063829787234042</v>
      </c>
      <c r="AE1563" s="61">
        <v>2.553191489361702E-2</v>
      </c>
      <c r="AF1563" s="61">
        <v>0</v>
      </c>
      <c r="AG1563" s="61">
        <v>0.74255319148936172</v>
      </c>
      <c r="AH1563" s="61">
        <v>6.382978723404255E-3</v>
      </c>
      <c r="AI1563" s="61">
        <v>0.25744680851063828</v>
      </c>
      <c r="AJ1563" s="59">
        <v>0.60425531914893615</v>
      </c>
      <c r="AK1563" s="59">
        <v>4.2553191489361703E-3</v>
      </c>
      <c r="AL1563" s="4">
        <v>85</v>
      </c>
      <c r="AM1563" s="4">
        <v>71</v>
      </c>
      <c r="AN1563" s="4">
        <v>0</v>
      </c>
      <c r="AO1563" s="4">
        <v>57</v>
      </c>
      <c r="AP1563" s="4">
        <v>67</v>
      </c>
      <c r="AQ1563" s="4">
        <v>67</v>
      </c>
      <c r="AR1563" s="4">
        <v>50</v>
      </c>
      <c r="AS1563" s="59">
        <v>0</v>
      </c>
      <c r="AT1563" s="3">
        <v>6</v>
      </c>
      <c r="AU1563" s="3">
        <v>6</v>
      </c>
      <c r="AV1563" s="49">
        <v>61.475409836065595</v>
      </c>
      <c r="AW1563" s="49">
        <v>25.819672131147499</v>
      </c>
      <c r="AX1563" s="49">
        <v>11.065573770491801</v>
      </c>
      <c r="AY1563" s="67">
        <v>1.63934426229508</v>
      </c>
      <c r="AZ1563" s="63">
        <v>0.15445544554455401</v>
      </c>
      <c r="BA1563" s="63">
        <v>5.9405940594059398E-3</v>
      </c>
      <c r="BB1563" s="79">
        <v>94.2</v>
      </c>
      <c r="BC1563" s="79"/>
      <c r="BD1563" s="79"/>
      <c r="BE1563" s="79"/>
      <c r="BF1563" s="79"/>
      <c r="BG1563" s="79"/>
      <c r="BH1563" s="79"/>
      <c r="BI1563" s="79"/>
      <c r="BJ1563" s="3">
        <v>19.399999999999999</v>
      </c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29" t="s">
        <v>415</v>
      </c>
      <c r="CJ1563" s="18" t="s">
        <v>548</v>
      </c>
      <c r="CK1563" s="30"/>
    </row>
    <row r="1564" spans="1:89" x14ac:dyDescent="0.25">
      <c r="A1564" s="18" t="s">
        <v>548</v>
      </c>
      <c r="B1564" s="29" t="s">
        <v>416</v>
      </c>
      <c r="C1564" s="29" t="s">
        <v>417</v>
      </c>
      <c r="D1564" s="6">
        <v>2</v>
      </c>
      <c r="E1564" s="40" t="s">
        <v>83</v>
      </c>
      <c r="F1564" s="6">
        <v>2</v>
      </c>
      <c r="N1564" s="119">
        <v>3.15457413249211E-3</v>
      </c>
      <c r="O1564" s="119">
        <v>3.15457413249211E-3</v>
      </c>
      <c r="P1564" s="116" t="s">
        <v>83</v>
      </c>
      <c r="Q1564" s="116" t="s">
        <v>83</v>
      </c>
      <c r="R1564" s="115">
        <v>0</v>
      </c>
      <c r="S1564" s="115">
        <v>0</v>
      </c>
      <c r="T1564" s="119">
        <v>1.26582278481013E-2</v>
      </c>
      <c r="U1564" s="115">
        <v>0</v>
      </c>
      <c r="V1564" s="115">
        <v>0</v>
      </c>
      <c r="W1564" s="6">
        <v>610</v>
      </c>
      <c r="X1564" s="40">
        <f t="shared" si="104"/>
        <v>610</v>
      </c>
      <c r="Y1564" s="40">
        <f t="shared" si="105"/>
        <v>610</v>
      </c>
      <c r="Z1564" s="59">
        <v>0.49836065573770494</v>
      </c>
      <c r="AA1564" s="59">
        <v>0.50163934426229506</v>
      </c>
      <c r="AB1564" s="61">
        <v>0</v>
      </c>
      <c r="AC1564" s="61">
        <v>3.2786885245901639E-3</v>
      </c>
      <c r="AD1564" s="61">
        <v>0.4098360655737705</v>
      </c>
      <c r="AE1564" s="61">
        <v>1.9672131147540985E-2</v>
      </c>
      <c r="AF1564" s="61">
        <v>0</v>
      </c>
      <c r="AG1564" s="61">
        <v>0.56229508196721312</v>
      </c>
      <c r="AH1564" s="61">
        <v>4.9180327868852463E-3</v>
      </c>
      <c r="AI1564" s="61">
        <v>0.43770491803278688</v>
      </c>
      <c r="AJ1564" s="59">
        <v>0.43114754098360658</v>
      </c>
      <c r="AK1564" s="59">
        <v>1.639344262295082E-3</v>
      </c>
      <c r="AL1564" s="4">
        <v>0</v>
      </c>
      <c r="AM1564" s="4">
        <v>0</v>
      </c>
      <c r="AN1564" s="4">
        <v>12</v>
      </c>
      <c r="AO1564" s="4">
        <v>153</v>
      </c>
      <c r="AP1564" s="4">
        <v>149</v>
      </c>
      <c r="AQ1564" s="4">
        <v>142</v>
      </c>
      <c r="AR1564" s="4">
        <v>154</v>
      </c>
      <c r="AS1564" s="59">
        <v>7.2727272727272724E-2</v>
      </c>
      <c r="AT1564" s="3">
        <v>9</v>
      </c>
      <c r="AU1564" s="3">
        <v>6</v>
      </c>
      <c r="AV1564" s="49">
        <v>77.681159420289902</v>
      </c>
      <c r="AW1564" s="49">
        <v>20.5797101449275</v>
      </c>
      <c r="AX1564" s="49">
        <v>1.4492753623188401</v>
      </c>
      <c r="AY1564" s="67">
        <v>0.28985507246376802</v>
      </c>
      <c r="AZ1564" s="63">
        <v>5.3712480252764601E-2</v>
      </c>
      <c r="BA1564" s="63">
        <v>0.30489731437598699</v>
      </c>
      <c r="BB1564" s="80">
        <v>93</v>
      </c>
      <c r="BC1564" s="80"/>
      <c r="BD1564" s="80"/>
      <c r="BE1564" s="80"/>
      <c r="BF1564" s="80"/>
      <c r="BG1564" s="80"/>
      <c r="BH1564" s="80"/>
      <c r="BI1564" s="80"/>
      <c r="BJ1564" s="3">
        <v>20.5</v>
      </c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29" t="s">
        <v>417</v>
      </c>
      <c r="CJ1564" s="18" t="s">
        <v>548</v>
      </c>
      <c r="CK1564" s="30"/>
    </row>
    <row r="1565" spans="1:89" x14ac:dyDescent="0.25">
      <c r="A1565" s="18" t="s">
        <v>548</v>
      </c>
      <c r="B1565" s="29" t="s">
        <v>418</v>
      </c>
      <c r="C1565" s="29" t="s">
        <v>419</v>
      </c>
      <c r="D1565" s="6">
        <v>0</v>
      </c>
      <c r="E1565" s="6">
        <v>0</v>
      </c>
      <c r="F1565" s="6">
        <v>0</v>
      </c>
      <c r="N1565" s="115">
        <v>0</v>
      </c>
      <c r="O1565" s="115">
        <v>0</v>
      </c>
      <c r="P1565" s="115">
        <v>0</v>
      </c>
      <c r="Q1565" s="115">
        <v>0</v>
      </c>
      <c r="R1565" s="116" t="s">
        <v>83</v>
      </c>
      <c r="S1565" s="115">
        <v>0</v>
      </c>
      <c r="T1565" s="115">
        <v>0</v>
      </c>
      <c r="U1565" s="115">
        <v>0</v>
      </c>
      <c r="V1565" s="115">
        <v>0</v>
      </c>
      <c r="W1565" s="6">
        <v>227</v>
      </c>
      <c r="X1565" s="40">
        <f t="shared" si="104"/>
        <v>52</v>
      </c>
      <c r="Y1565" s="40">
        <f t="shared" si="105"/>
        <v>94</v>
      </c>
      <c r="Z1565" s="59">
        <v>0.49779735682819382</v>
      </c>
      <c r="AA1565" s="59">
        <v>0.50220264317180618</v>
      </c>
      <c r="AB1565" s="61">
        <v>4.4052863436123352E-3</v>
      </c>
      <c r="AC1565" s="61">
        <v>0</v>
      </c>
      <c r="AD1565" s="61">
        <v>0.44493392070484583</v>
      </c>
      <c r="AE1565" s="61">
        <v>2.643171806167401E-2</v>
      </c>
      <c r="AF1565" s="61">
        <v>0</v>
      </c>
      <c r="AG1565" s="61">
        <v>0.51101321585903081</v>
      </c>
      <c r="AH1565" s="61">
        <v>1.3215859030837005E-2</v>
      </c>
      <c r="AI1565" s="61">
        <v>0.48898678414096919</v>
      </c>
      <c r="AJ1565" s="59">
        <v>0.84140969162995594</v>
      </c>
      <c r="AK1565" s="59">
        <v>0</v>
      </c>
      <c r="AL1565" s="4">
        <v>22</v>
      </c>
      <c r="AM1565" s="4">
        <v>20</v>
      </c>
      <c r="AN1565" s="4">
        <v>0</v>
      </c>
      <c r="AO1565" s="4">
        <v>12</v>
      </c>
      <c r="AP1565" s="4">
        <v>13</v>
      </c>
      <c r="AQ1565" s="4">
        <v>11</v>
      </c>
      <c r="AR1565" s="4">
        <v>16</v>
      </c>
      <c r="AS1565" s="59">
        <v>0</v>
      </c>
      <c r="AT1565" s="3">
        <v>1</v>
      </c>
      <c r="AU1565" s="3">
        <v>6</v>
      </c>
      <c r="AV1565" s="49">
        <v>95.108695652173907</v>
      </c>
      <c r="AW1565" s="49">
        <v>4.8913043478260896</v>
      </c>
      <c r="AX1565" s="49">
        <v>0</v>
      </c>
      <c r="AY1565" s="67">
        <v>0</v>
      </c>
      <c r="AZ1565" s="63">
        <v>6.15384615384615E-2</v>
      </c>
      <c r="BA1565" s="63">
        <v>4.2307692307692303E-2</v>
      </c>
      <c r="BB1565" s="79">
        <v>94.9</v>
      </c>
      <c r="BC1565" s="79"/>
      <c r="BD1565" s="79"/>
      <c r="BE1565" s="79"/>
      <c r="BF1565" s="79"/>
      <c r="BG1565" s="79"/>
      <c r="BH1565" s="79"/>
      <c r="BI1565" s="79"/>
      <c r="BJ1565" s="3">
        <v>17.7</v>
      </c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29" t="s">
        <v>419</v>
      </c>
      <c r="CJ1565" s="18" t="s">
        <v>548</v>
      </c>
      <c r="CK1565" s="30"/>
    </row>
    <row r="1566" spans="1:89" x14ac:dyDescent="0.25">
      <c r="A1566" s="18" t="s">
        <v>548</v>
      </c>
      <c r="B1566" s="29" t="s">
        <v>418</v>
      </c>
      <c r="C1566" s="29" t="s">
        <v>420</v>
      </c>
      <c r="D1566" s="6">
        <v>0</v>
      </c>
      <c r="E1566" s="6">
        <v>0</v>
      </c>
      <c r="F1566" s="6">
        <v>0</v>
      </c>
      <c r="N1566" s="115">
        <v>0</v>
      </c>
      <c r="O1566" s="115">
        <v>0</v>
      </c>
      <c r="P1566" s="115">
        <v>0</v>
      </c>
      <c r="Q1566" s="115">
        <v>0</v>
      </c>
      <c r="R1566" s="116" t="s">
        <v>83</v>
      </c>
      <c r="S1566" s="115">
        <v>0</v>
      </c>
      <c r="T1566" s="115">
        <v>0</v>
      </c>
      <c r="U1566" s="115">
        <v>0</v>
      </c>
      <c r="V1566" s="115">
        <v>0</v>
      </c>
      <c r="W1566" s="6">
        <v>287</v>
      </c>
      <c r="X1566" s="40">
        <f t="shared" si="104"/>
        <v>85</v>
      </c>
      <c r="Y1566" s="40">
        <f t="shared" si="105"/>
        <v>127</v>
      </c>
      <c r="Z1566" s="59">
        <v>0.46341463414634149</v>
      </c>
      <c r="AA1566" s="59">
        <v>0.53658536585365857</v>
      </c>
      <c r="AB1566" s="61">
        <v>3.4843205574912892E-3</v>
      </c>
      <c r="AC1566" s="61">
        <v>0</v>
      </c>
      <c r="AD1566" s="61">
        <v>0.14285714285714285</v>
      </c>
      <c r="AE1566" s="61">
        <v>2.4390243902439025E-2</v>
      </c>
      <c r="AF1566" s="61">
        <v>0</v>
      </c>
      <c r="AG1566" s="61">
        <v>0.80139372822299648</v>
      </c>
      <c r="AH1566" s="61">
        <v>2.7874564459930314E-2</v>
      </c>
      <c r="AI1566" s="61">
        <v>0.19860627177700349</v>
      </c>
      <c r="AJ1566" s="59">
        <v>0.56097560975609762</v>
      </c>
      <c r="AK1566" s="59">
        <v>0</v>
      </c>
      <c r="AL1566" s="4">
        <v>18</v>
      </c>
      <c r="AM1566" s="4">
        <v>24</v>
      </c>
      <c r="AN1566" s="4">
        <v>0</v>
      </c>
      <c r="AO1566" s="4">
        <v>22</v>
      </c>
      <c r="AP1566" s="4">
        <v>27</v>
      </c>
      <c r="AQ1566" s="4">
        <v>17</v>
      </c>
      <c r="AR1566" s="4">
        <v>19</v>
      </c>
      <c r="AS1566" s="59">
        <v>0</v>
      </c>
      <c r="AT1566" s="3">
        <v>1</v>
      </c>
      <c r="AU1566" s="3">
        <v>6</v>
      </c>
      <c r="AV1566" s="49">
        <v>63.432835820895491</v>
      </c>
      <c r="AW1566" s="49">
        <v>35.820895522388099</v>
      </c>
      <c r="AX1566" s="49">
        <v>0.74626865671641796</v>
      </c>
      <c r="AY1566" s="67">
        <v>0</v>
      </c>
      <c r="AZ1566" s="63">
        <v>3.2051282051282098E-3</v>
      </c>
      <c r="BA1566" s="63">
        <v>4.80769230769231E-2</v>
      </c>
      <c r="BB1566" s="80">
        <v>93</v>
      </c>
      <c r="BC1566" s="80"/>
      <c r="BD1566" s="80"/>
      <c r="BE1566" s="80"/>
      <c r="BF1566" s="80"/>
      <c r="BG1566" s="80"/>
      <c r="BH1566" s="80"/>
      <c r="BI1566" s="80"/>
      <c r="BJ1566" s="3">
        <v>17.2</v>
      </c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29" t="s">
        <v>420</v>
      </c>
      <c r="CJ1566" s="18" t="s">
        <v>548</v>
      </c>
      <c r="CK1566" s="30"/>
    </row>
    <row r="1567" spans="1:89" x14ac:dyDescent="0.25">
      <c r="A1567" s="18" t="s">
        <v>548</v>
      </c>
      <c r="B1567" s="29" t="s">
        <v>418</v>
      </c>
      <c r="C1567" s="29" t="s">
        <v>421</v>
      </c>
      <c r="D1567" s="6">
        <v>1</v>
      </c>
      <c r="E1567" s="6">
        <v>0</v>
      </c>
      <c r="F1567" s="6">
        <v>1</v>
      </c>
      <c r="N1567" s="119">
        <v>5.78034682080925E-3</v>
      </c>
      <c r="O1567" s="119">
        <v>8.5470085470085496E-3</v>
      </c>
      <c r="P1567" s="115">
        <v>0</v>
      </c>
      <c r="Q1567" s="115">
        <v>0</v>
      </c>
      <c r="R1567" s="116" t="s">
        <v>83</v>
      </c>
      <c r="S1567" s="115">
        <v>0</v>
      </c>
      <c r="T1567" s="119">
        <v>3.3333333333333298E-2</v>
      </c>
      <c r="U1567" s="115">
        <v>0</v>
      </c>
      <c r="V1567" s="115">
        <v>0</v>
      </c>
      <c r="W1567" s="6">
        <v>343</v>
      </c>
      <c r="X1567" s="40">
        <f t="shared" si="104"/>
        <v>109</v>
      </c>
      <c r="Y1567" s="40">
        <f t="shared" si="105"/>
        <v>160</v>
      </c>
      <c r="Z1567" s="59">
        <v>0.51311953352769679</v>
      </c>
      <c r="AA1567" s="59">
        <v>0.48688046647230321</v>
      </c>
      <c r="AB1567" s="61">
        <v>2.9154518950437317E-3</v>
      </c>
      <c r="AC1567" s="61">
        <v>0</v>
      </c>
      <c r="AD1567" s="61">
        <v>5.5393586005830907E-2</v>
      </c>
      <c r="AE1567" s="61">
        <v>1.7492711370262391E-2</v>
      </c>
      <c r="AF1567" s="61">
        <v>0</v>
      </c>
      <c r="AG1567" s="61">
        <v>0.91253644314868809</v>
      </c>
      <c r="AH1567" s="61">
        <v>1.1661807580174927E-2</v>
      </c>
      <c r="AI1567" s="61">
        <v>8.7463556851311949E-2</v>
      </c>
      <c r="AJ1567" s="59">
        <v>0.69679300291545188</v>
      </c>
      <c r="AK1567" s="59">
        <v>8.7463556851311956E-3</v>
      </c>
      <c r="AL1567" s="4">
        <v>26</v>
      </c>
      <c r="AM1567" s="4">
        <v>25</v>
      </c>
      <c r="AN1567" s="4">
        <v>0</v>
      </c>
      <c r="AO1567" s="4">
        <v>31</v>
      </c>
      <c r="AP1567" s="4">
        <v>28</v>
      </c>
      <c r="AQ1567" s="4">
        <v>23</v>
      </c>
      <c r="AR1567" s="4">
        <v>27</v>
      </c>
      <c r="AS1567" s="59">
        <v>0</v>
      </c>
      <c r="AT1567" s="3">
        <v>1</v>
      </c>
      <c r="AU1567" s="3">
        <v>6</v>
      </c>
      <c r="AV1567" s="49">
        <v>72.251308900523597</v>
      </c>
      <c r="AW1567" s="49">
        <v>20.418848167539299</v>
      </c>
      <c r="AX1567" s="49">
        <v>7.3298429319371694</v>
      </c>
      <c r="AY1567" s="67">
        <v>0</v>
      </c>
      <c r="AZ1567" s="63">
        <v>0.33513513513513499</v>
      </c>
      <c r="BA1567" s="63">
        <v>8.3783783783783802E-2</v>
      </c>
      <c r="BB1567" s="79">
        <v>92.3</v>
      </c>
      <c r="BC1567" s="79"/>
      <c r="BD1567" s="79"/>
      <c r="BE1567" s="79"/>
      <c r="BF1567" s="79"/>
      <c r="BG1567" s="79"/>
      <c r="BH1567" s="79"/>
      <c r="BI1567" s="79"/>
      <c r="BJ1567" s="3">
        <v>20.100000000000001</v>
      </c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29" t="s">
        <v>421</v>
      </c>
      <c r="CJ1567" s="18" t="s">
        <v>548</v>
      </c>
      <c r="CK1567" s="30"/>
    </row>
    <row r="1568" spans="1:89" x14ac:dyDescent="0.25">
      <c r="A1568" s="18" t="s">
        <v>548</v>
      </c>
      <c r="B1568" s="29" t="s">
        <v>418</v>
      </c>
      <c r="C1568" s="29" t="s">
        <v>422</v>
      </c>
      <c r="D1568" s="6">
        <v>10</v>
      </c>
      <c r="E1568" s="40" t="s">
        <v>83</v>
      </c>
      <c r="F1568" s="6">
        <v>10</v>
      </c>
      <c r="N1568" s="119">
        <v>2.4937655860349101E-2</v>
      </c>
      <c r="O1568" s="119">
        <v>2.4937655860349101E-2</v>
      </c>
      <c r="P1568" s="116" t="s">
        <v>83</v>
      </c>
      <c r="Q1568" s="116" t="s">
        <v>83</v>
      </c>
      <c r="R1568" s="115">
        <v>0</v>
      </c>
      <c r="S1568" s="119">
        <v>3.7974683544303799E-2</v>
      </c>
      <c r="T1568" s="119">
        <v>2.8846153846153799E-2</v>
      </c>
      <c r="U1568" s="119">
        <v>3.03030303030303E-2</v>
      </c>
      <c r="V1568" s="119">
        <v>1.1764705882352899E-2</v>
      </c>
      <c r="W1568" s="6">
        <v>374</v>
      </c>
      <c r="X1568" s="40">
        <f t="shared" si="104"/>
        <v>374</v>
      </c>
      <c r="Y1568" s="40">
        <f t="shared" si="105"/>
        <v>374</v>
      </c>
      <c r="Z1568" s="59">
        <v>0.47593582887700536</v>
      </c>
      <c r="AA1568" s="59">
        <v>0.52406417112299464</v>
      </c>
      <c r="AB1568" s="61">
        <v>0</v>
      </c>
      <c r="AC1568" s="61">
        <v>1.3368983957219251E-2</v>
      </c>
      <c r="AD1568" s="61">
        <v>0.43315508021390375</v>
      </c>
      <c r="AE1568" s="61">
        <v>1.6042780748663103E-2</v>
      </c>
      <c r="AF1568" s="61">
        <v>0</v>
      </c>
      <c r="AG1568" s="61">
        <v>0.52941176470588236</v>
      </c>
      <c r="AH1568" s="61">
        <v>8.0213903743315516E-3</v>
      </c>
      <c r="AI1568" s="61">
        <v>0.47058823529411764</v>
      </c>
      <c r="AJ1568" s="59">
        <v>0.63368983957219249</v>
      </c>
      <c r="AK1568" s="59">
        <v>0</v>
      </c>
      <c r="AL1568" s="4">
        <v>0</v>
      </c>
      <c r="AM1568" s="4">
        <v>0</v>
      </c>
      <c r="AN1568" s="4">
        <v>31</v>
      </c>
      <c r="AO1568" s="4">
        <v>68</v>
      </c>
      <c r="AP1568" s="4">
        <v>98</v>
      </c>
      <c r="AQ1568" s="4">
        <v>98</v>
      </c>
      <c r="AR1568" s="4">
        <v>79</v>
      </c>
      <c r="AS1568" s="59">
        <v>0.31313131313131315</v>
      </c>
      <c r="AT1568" s="3">
        <v>9</v>
      </c>
      <c r="AU1568" s="3">
        <v>6</v>
      </c>
      <c r="AV1568" s="49">
        <v>70.562770562770609</v>
      </c>
      <c r="AW1568" s="49">
        <v>19.480519480519501</v>
      </c>
      <c r="AX1568" s="49">
        <v>8.6580086580086597</v>
      </c>
      <c r="AY1568" s="67">
        <v>1.2987012987013</v>
      </c>
      <c r="AZ1568" s="63">
        <v>0.18796992481203001</v>
      </c>
      <c r="BA1568" s="63">
        <v>0.115288220551378</v>
      </c>
      <c r="BB1568" s="80">
        <v>89.6</v>
      </c>
      <c r="BC1568" s="80"/>
      <c r="BD1568" s="80"/>
      <c r="BE1568" s="80"/>
      <c r="BF1568" s="80"/>
      <c r="BG1568" s="80"/>
      <c r="BH1568" s="80"/>
      <c r="BI1568" s="80"/>
      <c r="BJ1568" s="3">
        <v>19.2</v>
      </c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29" t="s">
        <v>422</v>
      </c>
      <c r="CJ1568" s="18" t="s">
        <v>548</v>
      </c>
      <c r="CK1568" s="30"/>
    </row>
    <row r="1569" spans="1:99" s="1" customFormat="1" ht="21" customHeight="1" x14ac:dyDescent="0.25">
      <c r="A1569" s="21" t="s">
        <v>0</v>
      </c>
      <c r="B1569" s="22" t="s">
        <v>1</v>
      </c>
      <c r="C1569" s="22" t="s">
        <v>2</v>
      </c>
      <c r="D1569" s="9" t="s">
        <v>3</v>
      </c>
      <c r="E1569" s="9" t="s">
        <v>4</v>
      </c>
      <c r="F1569" s="9" t="s">
        <v>5</v>
      </c>
      <c r="G1569" s="167"/>
      <c r="H1569" s="168"/>
      <c r="I1569" s="168"/>
      <c r="J1569" s="168"/>
      <c r="K1569" s="168"/>
      <c r="L1569" s="168"/>
      <c r="M1569" s="168"/>
      <c r="N1569" s="120" t="s">
        <v>6</v>
      </c>
      <c r="O1569" s="120" t="s">
        <v>7</v>
      </c>
      <c r="P1569" s="120" t="s">
        <v>8</v>
      </c>
      <c r="Q1569" s="120" t="s">
        <v>9</v>
      </c>
      <c r="R1569" s="120" t="s">
        <v>10</v>
      </c>
      <c r="S1569" s="120" t="s">
        <v>11</v>
      </c>
      <c r="T1569" s="120" t="s">
        <v>12</v>
      </c>
      <c r="U1569" s="120" t="s">
        <v>13</v>
      </c>
      <c r="V1569" s="120" t="s">
        <v>14</v>
      </c>
      <c r="W1569" s="41" t="s">
        <v>15</v>
      </c>
      <c r="X1569" s="41" t="s">
        <v>16</v>
      </c>
      <c r="Y1569" s="41" t="s">
        <v>17</v>
      </c>
      <c r="Z1569" s="107" t="s">
        <v>18</v>
      </c>
      <c r="AA1569" s="107" t="s">
        <v>19</v>
      </c>
      <c r="AB1569" s="95" t="s">
        <v>20</v>
      </c>
      <c r="AC1569" s="95" t="s">
        <v>21</v>
      </c>
      <c r="AD1569" s="95" t="s">
        <v>22</v>
      </c>
      <c r="AE1569" s="95" t="s">
        <v>23</v>
      </c>
      <c r="AF1569" s="95" t="s">
        <v>24</v>
      </c>
      <c r="AG1569" s="95" t="s">
        <v>25</v>
      </c>
      <c r="AH1569" s="95" t="s">
        <v>26</v>
      </c>
      <c r="AI1569" s="95" t="s">
        <v>27</v>
      </c>
      <c r="AJ1569" s="95" t="s">
        <v>28</v>
      </c>
      <c r="AK1569" s="107" t="s">
        <v>29</v>
      </c>
      <c r="AL1569" s="42" t="s">
        <v>30</v>
      </c>
      <c r="AM1569" s="42" t="s">
        <v>31</v>
      </c>
      <c r="AN1569" s="42" t="s">
        <v>32</v>
      </c>
      <c r="AO1569" s="42" t="s">
        <v>33</v>
      </c>
      <c r="AP1569" s="42" t="s">
        <v>34</v>
      </c>
      <c r="AQ1569" s="42" t="s">
        <v>35</v>
      </c>
      <c r="AR1569" s="42" t="s">
        <v>36</v>
      </c>
      <c r="AS1569" s="100" t="s">
        <v>37</v>
      </c>
      <c r="AT1569" s="41" t="s">
        <v>38</v>
      </c>
      <c r="AU1569" s="23" t="s">
        <v>39</v>
      </c>
      <c r="AV1569" s="51" t="s">
        <v>40</v>
      </c>
      <c r="AW1569" s="51" t="s">
        <v>41</v>
      </c>
      <c r="AX1569" s="51" t="s">
        <v>42</v>
      </c>
      <c r="AY1569" s="66" t="s">
        <v>43</v>
      </c>
      <c r="AZ1569" s="58" t="s">
        <v>44</v>
      </c>
      <c r="BA1569" s="58" t="s">
        <v>45</v>
      </c>
      <c r="BB1569" s="75" t="s">
        <v>46</v>
      </c>
      <c r="BC1569" s="75" t="s">
        <v>47</v>
      </c>
      <c r="BD1569" s="89" t="s">
        <v>48</v>
      </c>
      <c r="BE1569" s="89" t="s">
        <v>49</v>
      </c>
      <c r="BF1569" s="89" t="s">
        <v>50</v>
      </c>
      <c r="BG1569" s="89" t="s">
        <v>51</v>
      </c>
      <c r="BH1569" s="89" t="s">
        <v>52</v>
      </c>
      <c r="BI1569" s="89" t="s">
        <v>53</v>
      </c>
      <c r="BJ1569" s="86" t="s">
        <v>54</v>
      </c>
      <c r="BK1569" s="123" t="s">
        <v>55</v>
      </c>
      <c r="BL1569" s="123" t="s">
        <v>56</v>
      </c>
      <c r="BM1569" s="123" t="s">
        <v>57</v>
      </c>
      <c r="BN1569" s="123" t="s">
        <v>58</v>
      </c>
      <c r="BO1569" s="131" t="s">
        <v>59</v>
      </c>
      <c r="BP1569" s="131" t="s">
        <v>60</v>
      </c>
      <c r="BQ1569" s="131" t="s">
        <v>61</v>
      </c>
      <c r="BR1569" s="131" t="s">
        <v>62</v>
      </c>
      <c r="BS1569" s="131" t="s">
        <v>63</v>
      </c>
      <c r="BT1569" s="131" t="s">
        <v>64</v>
      </c>
      <c r="BU1569" s="131" t="s">
        <v>65</v>
      </c>
      <c r="BV1569" s="132" t="s">
        <v>66</v>
      </c>
      <c r="BW1569" s="132" t="s">
        <v>67</v>
      </c>
      <c r="BX1569" s="132" t="s">
        <v>68</v>
      </c>
      <c r="BY1569" s="132" t="s">
        <v>69</v>
      </c>
      <c r="BZ1569" s="132" t="s">
        <v>70</v>
      </c>
      <c r="CA1569" s="132" t="s">
        <v>71</v>
      </c>
      <c r="CB1569" s="132" t="s">
        <v>72</v>
      </c>
      <c r="CC1569" s="123" t="s">
        <v>73</v>
      </c>
      <c r="CD1569" s="123" t="s">
        <v>74</v>
      </c>
      <c r="CE1569" s="123" t="s">
        <v>75</v>
      </c>
      <c r="CF1569" s="123" t="s">
        <v>76</v>
      </c>
      <c r="CG1569" s="123" t="s">
        <v>77</v>
      </c>
      <c r="CH1569" s="123" t="s">
        <v>78</v>
      </c>
      <c r="CI1569" s="22" t="s">
        <v>2</v>
      </c>
      <c r="CJ1569" s="21" t="s">
        <v>0</v>
      </c>
      <c r="CK1569" s="24" t="s">
        <v>79</v>
      </c>
      <c r="CL1569"/>
      <c r="CM1569"/>
      <c r="CN1569"/>
      <c r="CO1569"/>
      <c r="CP1569"/>
      <c r="CQ1569"/>
      <c r="CR1569"/>
      <c r="CS1569"/>
      <c r="CT1569"/>
      <c r="CU1569"/>
    </row>
    <row r="1570" spans="1:99" x14ac:dyDescent="0.25">
      <c r="A1570" s="18" t="s">
        <v>548</v>
      </c>
      <c r="B1570" s="29" t="s">
        <v>483</v>
      </c>
      <c r="C1570" s="29" t="s">
        <v>424</v>
      </c>
      <c r="D1570" s="6">
        <v>13</v>
      </c>
      <c r="E1570" s="40" t="s">
        <v>83</v>
      </c>
      <c r="F1570" s="6">
        <v>13</v>
      </c>
      <c r="N1570" s="115">
        <v>2.20338983050847E-2</v>
      </c>
      <c r="O1570" s="115">
        <v>2.20338983050847E-2</v>
      </c>
      <c r="P1570" s="116" t="s">
        <v>83</v>
      </c>
      <c r="Q1570" s="116" t="s">
        <v>83</v>
      </c>
      <c r="R1570" s="115">
        <v>0.5</v>
      </c>
      <c r="S1570" s="115">
        <v>4.5977011494252901E-2</v>
      </c>
      <c r="T1570" s="115">
        <v>1.1428571428571401E-2</v>
      </c>
      <c r="U1570" s="115">
        <v>7.5187969924812E-3</v>
      </c>
      <c r="V1570" s="115">
        <v>9.4339622641509396E-3</v>
      </c>
      <c r="W1570" s="6">
        <v>514</v>
      </c>
      <c r="X1570" s="40">
        <f t="shared" ref="X1570:X1613" si="106">SUM(AN1570:AR1570)</f>
        <v>514</v>
      </c>
      <c r="Y1570" s="40">
        <f t="shared" ref="Y1570:Y1613" si="107">SUM(AL1570:AR1570)</f>
        <v>514</v>
      </c>
      <c r="Z1570" s="59">
        <v>0.52918287937743191</v>
      </c>
      <c r="AA1570" s="59">
        <v>0.47081712062256809</v>
      </c>
      <c r="AB1570" s="61">
        <v>0</v>
      </c>
      <c r="AC1570" s="61">
        <v>0</v>
      </c>
      <c r="AD1570" s="61">
        <v>0.98443579766536971</v>
      </c>
      <c r="AE1570" s="61">
        <v>5.8365758754863814E-3</v>
      </c>
      <c r="AF1570" s="61">
        <v>0</v>
      </c>
      <c r="AG1570" s="61">
        <v>7.7821011673151752E-3</v>
      </c>
      <c r="AH1570" s="61">
        <v>1.9455252918287938E-3</v>
      </c>
      <c r="AI1570" s="61">
        <v>0.99221789883268485</v>
      </c>
      <c r="AJ1570" s="59">
        <v>0.92607003891050588</v>
      </c>
      <c r="AK1570" s="59">
        <v>0</v>
      </c>
      <c r="AL1570" s="4">
        <v>0</v>
      </c>
      <c r="AM1570" s="4">
        <v>0</v>
      </c>
      <c r="AN1570" s="4">
        <v>0</v>
      </c>
      <c r="AO1570" s="4">
        <v>139</v>
      </c>
      <c r="AP1570" s="4">
        <v>156</v>
      </c>
      <c r="AQ1570" s="4">
        <v>121</v>
      </c>
      <c r="AR1570" s="4">
        <v>98</v>
      </c>
      <c r="AS1570" s="59">
        <v>0</v>
      </c>
      <c r="AT1570" s="3">
        <v>9</v>
      </c>
      <c r="AU1570" s="3">
        <v>6</v>
      </c>
      <c r="AV1570" s="49">
        <v>77.570093457943898</v>
      </c>
      <c r="AW1570" s="49">
        <v>15.576323987538901</v>
      </c>
      <c r="AX1570" s="49">
        <v>6.5420560747663501</v>
      </c>
      <c r="AY1570" s="67">
        <v>0.31152647975077896</v>
      </c>
      <c r="AZ1570" s="63">
        <v>0</v>
      </c>
      <c r="BA1570" s="63">
        <v>3.4129692832764499E-2</v>
      </c>
      <c r="BB1570" s="79">
        <v>93.3</v>
      </c>
      <c r="BC1570" s="79"/>
      <c r="BD1570" s="79"/>
      <c r="BE1570" s="79"/>
      <c r="BF1570" s="79"/>
      <c r="BG1570" s="79"/>
      <c r="BH1570" s="79"/>
      <c r="BI1570" s="79"/>
      <c r="BJ1570" s="3">
        <v>15.7</v>
      </c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29" t="s">
        <v>424</v>
      </c>
      <c r="CJ1570" s="18" t="s">
        <v>548</v>
      </c>
      <c r="CK1570" s="30"/>
    </row>
    <row r="1571" spans="1:99" x14ac:dyDescent="0.25">
      <c r="A1571" s="18" t="s">
        <v>548</v>
      </c>
      <c r="B1571" s="29" t="s">
        <v>483</v>
      </c>
      <c r="C1571" s="29" t="s">
        <v>425</v>
      </c>
      <c r="D1571" s="6">
        <v>6</v>
      </c>
      <c r="E1571" s="40" t="s">
        <v>83</v>
      </c>
      <c r="F1571" s="6">
        <v>6</v>
      </c>
      <c r="N1571" s="115">
        <v>6.0120240480961897E-3</v>
      </c>
      <c r="O1571" s="115">
        <v>6.0120240480961897E-3</v>
      </c>
      <c r="P1571" s="116" t="s">
        <v>83</v>
      </c>
      <c r="Q1571" s="116" t="s">
        <v>83</v>
      </c>
      <c r="R1571" s="115">
        <v>5.5555555555555601E-2</v>
      </c>
      <c r="S1571" s="115">
        <v>3.8022813688212902E-3</v>
      </c>
      <c r="T1571" s="115">
        <v>4.29184549356223E-3</v>
      </c>
      <c r="U1571" s="115">
        <v>1.27118644067797E-2</v>
      </c>
      <c r="V1571" s="115">
        <v>0</v>
      </c>
      <c r="W1571" s="6">
        <v>944</v>
      </c>
      <c r="X1571" s="40">
        <f t="shared" si="106"/>
        <v>944</v>
      </c>
      <c r="Y1571" s="40">
        <f t="shared" si="107"/>
        <v>944</v>
      </c>
      <c r="Z1571" s="59">
        <v>0.5021186440677966</v>
      </c>
      <c r="AA1571" s="59">
        <v>0.4978813559322034</v>
      </c>
      <c r="AB1571" s="61">
        <v>0</v>
      </c>
      <c r="AC1571" s="61">
        <v>1.4830508474576272E-2</v>
      </c>
      <c r="AD1571" s="61">
        <v>0.60911016949152541</v>
      </c>
      <c r="AE1571" s="61">
        <v>2.4364406779661018E-2</v>
      </c>
      <c r="AF1571" s="61">
        <v>2.1186440677966102E-3</v>
      </c>
      <c r="AG1571" s="61">
        <v>0.34110169491525422</v>
      </c>
      <c r="AH1571" s="61">
        <v>8.4745762711864406E-3</v>
      </c>
      <c r="AI1571" s="61">
        <v>0.65889830508474578</v>
      </c>
      <c r="AJ1571" s="59">
        <v>0.57838983050847459</v>
      </c>
      <c r="AK1571" s="59">
        <v>1.6949152542372881E-2</v>
      </c>
      <c r="AL1571" s="4">
        <v>0</v>
      </c>
      <c r="AM1571" s="4">
        <v>0</v>
      </c>
      <c r="AN1571" s="4">
        <v>19</v>
      </c>
      <c r="AO1571" s="4">
        <v>243</v>
      </c>
      <c r="AP1571" s="4">
        <v>221</v>
      </c>
      <c r="AQ1571" s="4">
        <v>220</v>
      </c>
      <c r="AR1571" s="4">
        <v>241</v>
      </c>
      <c r="AS1571" s="59">
        <v>7.2519083969465645E-2</v>
      </c>
      <c r="AT1571" s="3">
        <v>9</v>
      </c>
      <c r="AU1571" s="3">
        <v>6</v>
      </c>
      <c r="AV1571" s="49">
        <v>79.347826086956502</v>
      </c>
      <c r="AW1571" s="49">
        <v>17.210144927536199</v>
      </c>
      <c r="AX1571" s="49">
        <v>3.4420289855072497</v>
      </c>
      <c r="AY1571" s="67">
        <v>0</v>
      </c>
      <c r="AZ1571" s="63">
        <v>2.1063189568706099E-2</v>
      </c>
      <c r="BA1571" s="63">
        <v>0.11634904714142399</v>
      </c>
      <c r="BB1571" s="80">
        <v>94.2</v>
      </c>
      <c r="BC1571" s="80"/>
      <c r="BD1571" s="80"/>
      <c r="BE1571" s="80"/>
      <c r="BF1571" s="80"/>
      <c r="BG1571" s="80"/>
      <c r="BH1571" s="80"/>
      <c r="BI1571" s="80"/>
      <c r="BJ1571" s="3">
        <v>20.100000000000001</v>
      </c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29" t="s">
        <v>425</v>
      </c>
      <c r="CJ1571" s="18" t="s">
        <v>548</v>
      </c>
      <c r="CK1571" s="30"/>
    </row>
    <row r="1572" spans="1:99" x14ac:dyDescent="0.25">
      <c r="A1572" s="18" t="s">
        <v>548</v>
      </c>
      <c r="B1572" s="29" t="s">
        <v>483</v>
      </c>
      <c r="C1572" s="29" t="s">
        <v>426</v>
      </c>
      <c r="D1572" s="6">
        <v>1</v>
      </c>
      <c r="E1572" s="40" t="s">
        <v>83</v>
      </c>
      <c r="F1572" s="6">
        <v>1</v>
      </c>
      <c r="N1572" s="115">
        <v>1.4285714285714301E-3</v>
      </c>
      <c r="O1572" s="115">
        <v>1.4285714285714301E-3</v>
      </c>
      <c r="P1572" s="116" t="s">
        <v>83</v>
      </c>
      <c r="Q1572" s="116" t="s">
        <v>83</v>
      </c>
      <c r="R1572" s="116" t="s">
        <v>83</v>
      </c>
      <c r="S1572" s="115">
        <v>0</v>
      </c>
      <c r="T1572" s="115">
        <v>5.2356020942408397E-3</v>
      </c>
      <c r="U1572" s="115">
        <v>0</v>
      </c>
      <c r="V1572" s="115">
        <v>0</v>
      </c>
      <c r="W1572" s="6">
        <v>611</v>
      </c>
      <c r="X1572" s="40">
        <f t="shared" si="106"/>
        <v>611</v>
      </c>
      <c r="Y1572" s="40">
        <f t="shared" si="107"/>
        <v>611</v>
      </c>
      <c r="Z1572" s="59">
        <v>0.50900163666121112</v>
      </c>
      <c r="AA1572" s="59">
        <v>0.49099836333878888</v>
      </c>
      <c r="AB1572" s="61">
        <v>1.6366612111292963E-3</v>
      </c>
      <c r="AC1572" s="61">
        <v>1.6366612111292963E-3</v>
      </c>
      <c r="AD1572" s="61">
        <v>0.98690671031096566</v>
      </c>
      <c r="AE1572" s="61">
        <v>3.2733224222585926E-3</v>
      </c>
      <c r="AF1572" s="61">
        <v>0</v>
      </c>
      <c r="AG1572" s="61">
        <v>4.9099836333878887E-3</v>
      </c>
      <c r="AH1572" s="61">
        <v>1.6366612111292963E-3</v>
      </c>
      <c r="AI1572" s="61">
        <v>0.9950900163666121</v>
      </c>
      <c r="AJ1572" s="59">
        <v>0.91816693944353522</v>
      </c>
      <c r="AK1572" s="59">
        <v>0</v>
      </c>
      <c r="AL1572" s="4">
        <v>0</v>
      </c>
      <c r="AM1572" s="4">
        <v>0</v>
      </c>
      <c r="AN1572" s="4">
        <v>0</v>
      </c>
      <c r="AO1572" s="4">
        <v>165</v>
      </c>
      <c r="AP1572" s="4">
        <v>166</v>
      </c>
      <c r="AQ1572" s="4">
        <v>148</v>
      </c>
      <c r="AR1572" s="4">
        <v>132</v>
      </c>
      <c r="AS1572" s="59">
        <v>0</v>
      </c>
      <c r="AT1572" s="3">
        <v>9</v>
      </c>
      <c r="AU1572" s="3">
        <v>6</v>
      </c>
      <c r="AV1572" s="49">
        <v>77.806122448979593</v>
      </c>
      <c r="AW1572" s="49">
        <v>11.734693877551001</v>
      </c>
      <c r="AX1572" s="49">
        <v>9.9489795918367303</v>
      </c>
      <c r="AY1572" s="67">
        <v>0.51020408163265307</v>
      </c>
      <c r="AZ1572" s="63">
        <v>0</v>
      </c>
      <c r="BA1572" s="63">
        <v>9.8571428571428601E-2</v>
      </c>
      <c r="BB1572" s="79">
        <v>87.9</v>
      </c>
      <c r="BC1572" s="79"/>
      <c r="BD1572" s="79"/>
      <c r="BE1572" s="79"/>
      <c r="BF1572" s="79"/>
      <c r="BG1572" s="79"/>
      <c r="BH1572" s="79"/>
      <c r="BI1572" s="79"/>
      <c r="BJ1572" s="3">
        <v>16.100000000000001</v>
      </c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29" t="s">
        <v>426</v>
      </c>
      <c r="CJ1572" s="18" t="s">
        <v>548</v>
      </c>
      <c r="CK1572" s="30"/>
    </row>
    <row r="1573" spans="1:99" x14ac:dyDescent="0.25">
      <c r="A1573" s="18" t="s">
        <v>548</v>
      </c>
      <c r="B1573" s="29" t="s">
        <v>484</v>
      </c>
      <c r="C1573" s="29" t="s">
        <v>428</v>
      </c>
      <c r="D1573" s="6">
        <v>37</v>
      </c>
      <c r="E1573" s="6">
        <v>4</v>
      </c>
      <c r="F1573" s="6">
        <v>33</v>
      </c>
      <c r="N1573" s="115">
        <v>4.7927461139896398E-2</v>
      </c>
      <c r="O1573" s="115">
        <v>6.3583815028901702E-2</v>
      </c>
      <c r="P1573" s="115">
        <v>1.6E-2</v>
      </c>
      <c r="Q1573" s="115">
        <v>1.5625E-2</v>
      </c>
      <c r="R1573" s="115">
        <v>2.8571428571428598E-2</v>
      </c>
      <c r="S1573" s="115">
        <v>9.1743119266055106E-2</v>
      </c>
      <c r="T1573" s="115">
        <v>5.4421768707482998E-2</v>
      </c>
      <c r="U1573" s="115">
        <v>3.3898305084745797E-2</v>
      </c>
      <c r="V1573" s="115">
        <v>9.0909090909090898E-2</v>
      </c>
      <c r="W1573" s="6">
        <v>669</v>
      </c>
      <c r="X1573" s="40">
        <f t="shared" si="106"/>
        <v>449</v>
      </c>
      <c r="Y1573" s="40">
        <f t="shared" si="107"/>
        <v>669</v>
      </c>
      <c r="Z1573" s="59">
        <v>0.50822122571001493</v>
      </c>
      <c r="AA1573" s="59">
        <v>0.49177877428998507</v>
      </c>
      <c r="AB1573" s="61">
        <v>2.9895366218236174E-3</v>
      </c>
      <c r="AC1573" s="61">
        <v>7.4738415545590429E-3</v>
      </c>
      <c r="AD1573" s="61">
        <v>0.77428998505231694</v>
      </c>
      <c r="AE1573" s="61">
        <v>2.9895366218236172E-2</v>
      </c>
      <c r="AF1573" s="61">
        <v>0</v>
      </c>
      <c r="AG1573" s="61">
        <v>0.17040358744394618</v>
      </c>
      <c r="AH1573" s="61">
        <v>1.4947683109118086E-2</v>
      </c>
      <c r="AI1573" s="61">
        <v>0.82959641255605376</v>
      </c>
      <c r="AJ1573" s="59">
        <v>1</v>
      </c>
      <c r="AK1573" s="59">
        <v>1.0463378176382661E-2</v>
      </c>
      <c r="AL1573" s="4">
        <v>108</v>
      </c>
      <c r="AM1573" s="4">
        <v>112</v>
      </c>
      <c r="AN1573" s="4">
        <v>33</v>
      </c>
      <c r="AO1573" s="4">
        <v>91</v>
      </c>
      <c r="AP1573" s="4">
        <v>120</v>
      </c>
      <c r="AQ1573" s="4">
        <v>102</v>
      </c>
      <c r="AR1573" s="4">
        <v>103</v>
      </c>
      <c r="AS1573" s="59">
        <v>0.2661290322580645</v>
      </c>
      <c r="AT1573" s="3">
        <v>7</v>
      </c>
      <c r="AU1573" s="3">
        <v>6</v>
      </c>
      <c r="AV1573" s="49">
        <v>66.457680250783696</v>
      </c>
      <c r="AW1573" s="49">
        <v>18.495297805642601</v>
      </c>
      <c r="AX1573" s="49">
        <v>14.733542319749199</v>
      </c>
      <c r="AY1573" s="67">
        <v>0.31347962382445099</v>
      </c>
      <c r="AZ1573" s="63">
        <v>0.462251655629139</v>
      </c>
      <c r="BA1573" s="63">
        <v>0.103311258278146</v>
      </c>
      <c r="BB1573" s="79">
        <v>90.9</v>
      </c>
      <c r="BC1573" s="79"/>
      <c r="BD1573" s="79"/>
      <c r="BE1573" s="79"/>
      <c r="BF1573" s="79"/>
      <c r="BG1573" s="79"/>
      <c r="BH1573" s="79"/>
      <c r="BI1573" s="79"/>
      <c r="BJ1573" s="3">
        <v>15.3</v>
      </c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29" t="s">
        <v>428</v>
      </c>
      <c r="CJ1573" s="18" t="s">
        <v>548</v>
      </c>
      <c r="CK1573" s="30"/>
    </row>
    <row r="1574" spans="1:99" x14ac:dyDescent="0.25">
      <c r="A1574" s="18" t="s">
        <v>548</v>
      </c>
      <c r="B1574" s="29" t="s">
        <v>485</v>
      </c>
      <c r="C1574" s="29" t="s">
        <v>430</v>
      </c>
      <c r="D1574" s="6">
        <v>15</v>
      </c>
      <c r="E1574" s="40" t="s">
        <v>83</v>
      </c>
      <c r="F1574" s="6">
        <v>15</v>
      </c>
      <c r="N1574" s="115">
        <v>9.07441016333938E-3</v>
      </c>
      <c r="O1574" s="115">
        <v>9.07441016333938E-3</v>
      </c>
      <c r="P1574" s="116" t="s">
        <v>83</v>
      </c>
      <c r="Q1574" s="116" t="s">
        <v>83</v>
      </c>
      <c r="R1574" s="115">
        <v>3.3333333333333298E-2</v>
      </c>
      <c r="S1574" s="115">
        <v>2.48138957816377E-3</v>
      </c>
      <c r="T1574" s="115">
        <v>9.0293453724604993E-3</v>
      </c>
      <c r="U1574" s="115">
        <v>1.4888337468982601E-2</v>
      </c>
      <c r="V1574" s="115">
        <v>8.0213903743315499E-3</v>
      </c>
      <c r="W1574" s="6">
        <v>1589</v>
      </c>
      <c r="X1574" s="40">
        <f t="shared" si="106"/>
        <v>1589</v>
      </c>
      <c r="Y1574" s="40">
        <f t="shared" si="107"/>
        <v>1589</v>
      </c>
      <c r="Z1574" s="59">
        <v>0.50346129641283821</v>
      </c>
      <c r="AA1574" s="59">
        <v>0.49653870358716173</v>
      </c>
      <c r="AB1574" s="61">
        <v>6.2932662051604787E-4</v>
      </c>
      <c r="AC1574" s="61">
        <v>1.1327879169288861E-2</v>
      </c>
      <c r="AD1574" s="61">
        <v>0.54814348646947764</v>
      </c>
      <c r="AE1574" s="61">
        <v>1.6362492133417242E-2</v>
      </c>
      <c r="AF1574" s="61">
        <v>6.2932662051604787E-4</v>
      </c>
      <c r="AG1574" s="61">
        <v>0.40213971050975456</v>
      </c>
      <c r="AH1574" s="61">
        <v>2.076777847702958E-2</v>
      </c>
      <c r="AI1574" s="61">
        <v>0.59786028949024539</v>
      </c>
      <c r="AJ1574" s="59">
        <v>0.46696035242290751</v>
      </c>
      <c r="AK1574" s="59">
        <v>5.034612964128383E-3</v>
      </c>
      <c r="AL1574" s="4">
        <v>0</v>
      </c>
      <c r="AM1574" s="4">
        <v>0</v>
      </c>
      <c r="AN1574" s="4">
        <v>33</v>
      </c>
      <c r="AO1574" s="4">
        <v>382</v>
      </c>
      <c r="AP1574" s="4">
        <v>420</v>
      </c>
      <c r="AQ1574" s="4">
        <v>387</v>
      </c>
      <c r="AR1574" s="4">
        <v>367</v>
      </c>
      <c r="AS1574" s="59">
        <v>7.9518072289156624E-2</v>
      </c>
      <c r="AT1574" s="3">
        <v>9</v>
      </c>
      <c r="AU1574" s="3">
        <v>6</v>
      </c>
      <c r="AV1574" s="49">
        <v>52.173913043478301</v>
      </c>
      <c r="AW1574" s="49">
        <v>32.959326788218803</v>
      </c>
      <c r="AX1574" s="49">
        <v>14.305750350631099</v>
      </c>
      <c r="AY1574" s="67">
        <v>0.56100981767180902</v>
      </c>
      <c r="AZ1574" s="63">
        <v>0.12019524100061001</v>
      </c>
      <c r="BA1574" s="63">
        <v>6.1012812690665005E-4</v>
      </c>
      <c r="BB1574" s="79">
        <v>95.3</v>
      </c>
      <c r="BC1574" s="79"/>
      <c r="BD1574" s="79"/>
      <c r="BE1574" s="79"/>
      <c r="BF1574" s="79"/>
      <c r="BG1574" s="79"/>
      <c r="BH1574" s="79"/>
      <c r="BI1574" s="79"/>
      <c r="BJ1574" s="3">
        <v>21.1</v>
      </c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29" t="s">
        <v>430</v>
      </c>
      <c r="CJ1574" s="18" t="s">
        <v>548</v>
      </c>
      <c r="CK1574" s="30"/>
    </row>
    <row r="1575" spans="1:99" x14ac:dyDescent="0.25">
      <c r="A1575" s="18" t="s">
        <v>548</v>
      </c>
      <c r="B1575" s="29" t="s">
        <v>486</v>
      </c>
      <c r="C1575" s="29" t="s">
        <v>432</v>
      </c>
      <c r="D1575" s="6">
        <v>52</v>
      </c>
      <c r="E1575" s="40" t="s">
        <v>83</v>
      </c>
      <c r="F1575" s="6">
        <v>52</v>
      </c>
      <c r="N1575" s="115">
        <v>8.4552845528455295E-2</v>
      </c>
      <c r="O1575" s="115">
        <v>8.4552845528455295E-2</v>
      </c>
      <c r="P1575" s="116" t="s">
        <v>83</v>
      </c>
      <c r="Q1575" s="116" t="s">
        <v>83</v>
      </c>
      <c r="R1575" s="115">
        <v>7.69230769230769E-2</v>
      </c>
      <c r="S1575" s="115">
        <v>0.101190476190476</v>
      </c>
      <c r="T1575" s="115">
        <v>5.32544378698225E-2</v>
      </c>
      <c r="U1575" s="115">
        <v>0.13043478260869601</v>
      </c>
      <c r="V1575" s="115">
        <v>5.5118110236220499E-2</v>
      </c>
      <c r="W1575" s="6">
        <v>491</v>
      </c>
      <c r="X1575" s="40">
        <f t="shared" si="106"/>
        <v>491</v>
      </c>
      <c r="Y1575" s="40">
        <f t="shared" si="107"/>
        <v>491</v>
      </c>
      <c r="Z1575" s="59">
        <v>0.43788187372708759</v>
      </c>
      <c r="AA1575" s="59">
        <v>0.56211812627291247</v>
      </c>
      <c r="AB1575" s="61">
        <v>2.0366598778004071E-3</v>
      </c>
      <c r="AC1575" s="61">
        <v>4.0733197556008143E-3</v>
      </c>
      <c r="AD1575" s="61">
        <v>0.93890020366598781</v>
      </c>
      <c r="AE1575" s="61">
        <v>1.4256619144602852E-2</v>
      </c>
      <c r="AF1575" s="61">
        <v>2.0366598778004071E-3</v>
      </c>
      <c r="AG1575" s="61">
        <v>3.2586558044806514E-2</v>
      </c>
      <c r="AH1575" s="61">
        <v>6.1099796334012219E-3</v>
      </c>
      <c r="AI1575" s="61">
        <v>0.96741344195519352</v>
      </c>
      <c r="AJ1575" s="59">
        <v>0.88391038696537683</v>
      </c>
      <c r="AK1575" s="59">
        <v>4.0733197556008143E-3</v>
      </c>
      <c r="AL1575" s="4">
        <v>0</v>
      </c>
      <c r="AM1575" s="4">
        <v>0</v>
      </c>
      <c r="AN1575" s="4">
        <v>36</v>
      </c>
      <c r="AO1575" s="4">
        <v>99</v>
      </c>
      <c r="AP1575" s="4">
        <v>135</v>
      </c>
      <c r="AQ1575" s="4">
        <v>106</v>
      </c>
      <c r="AR1575" s="4">
        <v>115</v>
      </c>
      <c r="AS1575" s="59">
        <v>0.26666666666666666</v>
      </c>
      <c r="AT1575" s="3">
        <v>9</v>
      </c>
      <c r="AU1575" s="3">
        <v>6</v>
      </c>
      <c r="AV1575" s="49">
        <v>66.990291262135898</v>
      </c>
      <c r="AW1575" s="49">
        <v>22.330097087378601</v>
      </c>
      <c r="AX1575" s="49">
        <v>10.194174757281599</v>
      </c>
      <c r="AY1575" s="67">
        <v>0.485436893203883</v>
      </c>
      <c r="AZ1575" s="63">
        <v>0.335616438356164</v>
      </c>
      <c r="BA1575" s="63">
        <v>0</v>
      </c>
      <c r="BB1575" s="80">
        <v>92</v>
      </c>
      <c r="BC1575" s="80"/>
      <c r="BD1575" s="80"/>
      <c r="BE1575" s="80"/>
      <c r="BF1575" s="80"/>
      <c r="BG1575" s="80"/>
      <c r="BH1575" s="80"/>
      <c r="BI1575" s="80"/>
      <c r="BJ1575" s="3">
        <v>15.1</v>
      </c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29" t="s">
        <v>432</v>
      </c>
      <c r="CJ1575" s="18" t="s">
        <v>548</v>
      </c>
      <c r="CK1575" s="30"/>
    </row>
    <row r="1576" spans="1:99" x14ac:dyDescent="0.25">
      <c r="A1576" s="18" t="s">
        <v>548</v>
      </c>
      <c r="B1576" s="29" t="s">
        <v>487</v>
      </c>
      <c r="C1576" s="29" t="s">
        <v>160</v>
      </c>
      <c r="D1576" s="6">
        <v>21</v>
      </c>
      <c r="E1576" s="40" t="s">
        <v>83</v>
      </c>
      <c r="F1576" s="6">
        <v>21</v>
      </c>
      <c r="N1576" s="115">
        <v>1.46036161335188E-2</v>
      </c>
      <c r="O1576" s="115">
        <v>1.46036161335188E-2</v>
      </c>
      <c r="P1576" s="116" t="s">
        <v>83</v>
      </c>
      <c r="Q1576" s="116" t="s">
        <v>83</v>
      </c>
      <c r="R1576" s="115">
        <v>0</v>
      </c>
      <c r="S1576" s="115">
        <v>2.94117647058824E-3</v>
      </c>
      <c r="T1576" s="115">
        <v>1.2500000000000001E-2</v>
      </c>
      <c r="U1576" s="115">
        <v>1.8292682926829298E-2</v>
      </c>
      <c r="V1576" s="115">
        <v>2.7108433734939801E-2</v>
      </c>
      <c r="W1576" s="6">
        <v>1388</v>
      </c>
      <c r="X1576" s="40">
        <f t="shared" si="106"/>
        <v>1388</v>
      </c>
      <c r="Y1576" s="40">
        <f t="shared" si="107"/>
        <v>1388</v>
      </c>
      <c r="Z1576" s="59">
        <v>0.47550432276657062</v>
      </c>
      <c r="AA1576" s="59">
        <v>0.52449567723342938</v>
      </c>
      <c r="AB1576" s="61">
        <v>4.3227665706051877E-3</v>
      </c>
      <c r="AC1576" s="61">
        <v>1.5850144092219021E-2</v>
      </c>
      <c r="AD1576" s="61">
        <v>0.20605187319884727</v>
      </c>
      <c r="AE1576" s="61">
        <v>4.1066282420749278E-2</v>
      </c>
      <c r="AF1576" s="61">
        <v>1.440922190201729E-3</v>
      </c>
      <c r="AG1576" s="61">
        <v>0.72046109510086453</v>
      </c>
      <c r="AH1576" s="61">
        <v>1.0806916426512969E-2</v>
      </c>
      <c r="AI1576" s="61">
        <v>0.27953890489913547</v>
      </c>
      <c r="AJ1576" s="59">
        <v>0.43876080691642649</v>
      </c>
      <c r="AK1576" s="59">
        <v>1.4409221902017291E-2</v>
      </c>
      <c r="AL1576" s="4">
        <v>0</v>
      </c>
      <c r="AM1576" s="4">
        <v>0</v>
      </c>
      <c r="AN1576" s="4">
        <v>39</v>
      </c>
      <c r="AO1576" s="4">
        <v>330</v>
      </c>
      <c r="AP1576" s="4">
        <v>384</v>
      </c>
      <c r="AQ1576" s="4">
        <v>316</v>
      </c>
      <c r="AR1576" s="4">
        <v>319</v>
      </c>
      <c r="AS1576" s="59">
        <v>0.10569105691056911</v>
      </c>
      <c r="AT1576" s="3">
        <v>9</v>
      </c>
      <c r="AU1576" s="3">
        <v>6</v>
      </c>
      <c r="AV1576" s="49">
        <v>60.103626943005196</v>
      </c>
      <c r="AW1576" s="49">
        <v>25.259067357512997</v>
      </c>
      <c r="AX1576" s="49">
        <v>14.378238341968899</v>
      </c>
      <c r="AY1576" s="67">
        <v>0.25906735751295301</v>
      </c>
      <c r="AZ1576" s="63">
        <v>0.111344537815126</v>
      </c>
      <c r="BA1576" s="63">
        <v>3.8515406162465002E-2</v>
      </c>
      <c r="BB1576" s="79">
        <v>93.9</v>
      </c>
      <c r="BC1576" s="79"/>
      <c r="BD1576" s="79"/>
      <c r="BE1576" s="79"/>
      <c r="BF1576" s="79"/>
      <c r="BG1576" s="79"/>
      <c r="BH1576" s="79"/>
      <c r="BI1576" s="79"/>
      <c r="BJ1576" s="3">
        <v>20.399999999999999</v>
      </c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29" t="s">
        <v>160</v>
      </c>
      <c r="CJ1576" s="18" t="s">
        <v>548</v>
      </c>
      <c r="CK1576" s="30"/>
    </row>
    <row r="1577" spans="1:99" x14ac:dyDescent="0.25">
      <c r="A1577" s="18" t="s">
        <v>548</v>
      </c>
      <c r="B1577" s="29" t="s">
        <v>557</v>
      </c>
      <c r="C1577" s="29" t="s">
        <v>558</v>
      </c>
      <c r="D1577" s="6">
        <v>54</v>
      </c>
      <c r="E1577" s="40" t="s">
        <v>83</v>
      </c>
      <c r="F1577" s="6">
        <v>54</v>
      </c>
      <c r="N1577" s="115">
        <v>6.9498069498069498E-2</v>
      </c>
      <c r="O1577" s="115">
        <v>6.9498069498069498E-2</v>
      </c>
      <c r="P1577" s="116" t="s">
        <v>83</v>
      </c>
      <c r="Q1577" s="116" t="s">
        <v>83</v>
      </c>
      <c r="R1577" s="116" t="s">
        <v>83</v>
      </c>
      <c r="S1577" s="115">
        <v>8.1632653061224497E-2</v>
      </c>
      <c r="T1577" s="115">
        <v>0.10734463276836199</v>
      </c>
      <c r="U1577" s="115">
        <v>6.8965517241379296E-2</v>
      </c>
      <c r="V1577" s="115">
        <v>1.6574585635359101E-2</v>
      </c>
      <c r="W1577" s="6">
        <v>698</v>
      </c>
      <c r="X1577" s="40">
        <f t="shared" si="106"/>
        <v>698</v>
      </c>
      <c r="Y1577" s="40">
        <f t="shared" si="107"/>
        <v>698</v>
      </c>
      <c r="Z1577" s="59">
        <v>0.48853868194842409</v>
      </c>
      <c r="AA1577" s="59">
        <v>0.51146131805157591</v>
      </c>
      <c r="AB1577" s="61">
        <v>0</v>
      </c>
      <c r="AC1577" s="61">
        <v>1.4326647564469914E-3</v>
      </c>
      <c r="AD1577" s="61">
        <v>0.96561604584527216</v>
      </c>
      <c r="AE1577" s="61">
        <v>2.5787965616045846E-2</v>
      </c>
      <c r="AF1577" s="61">
        <v>0</v>
      </c>
      <c r="AG1577" s="61">
        <v>5.7306590257879654E-3</v>
      </c>
      <c r="AH1577" s="61">
        <v>1.4326647564469914E-3</v>
      </c>
      <c r="AI1577" s="61">
        <v>0.99426934097421205</v>
      </c>
      <c r="AJ1577" s="59">
        <v>0.9871060171919771</v>
      </c>
      <c r="AK1577" s="59">
        <v>2.2922636103151862E-2</v>
      </c>
      <c r="AL1577" s="4">
        <v>0</v>
      </c>
      <c r="AM1577" s="4">
        <v>0</v>
      </c>
      <c r="AN1577" s="4">
        <v>0</v>
      </c>
      <c r="AO1577" s="4">
        <v>210</v>
      </c>
      <c r="AP1577" s="4">
        <v>164</v>
      </c>
      <c r="AQ1577" s="4">
        <v>159</v>
      </c>
      <c r="AR1577" s="4">
        <v>165</v>
      </c>
      <c r="AS1577" s="59">
        <v>0</v>
      </c>
      <c r="AT1577" s="3">
        <v>9</v>
      </c>
      <c r="AU1577" s="3">
        <v>10</v>
      </c>
      <c r="AV1577" s="49">
        <v>25.2808988764045</v>
      </c>
      <c r="AW1577" s="49">
        <v>26.966292134831498</v>
      </c>
      <c r="AX1577" s="49">
        <v>39.325842696629195</v>
      </c>
      <c r="AY1577" s="67">
        <v>8.4269662921348303</v>
      </c>
      <c r="AZ1577" s="63">
        <v>8.1632653061224497E-3</v>
      </c>
      <c r="BA1577" s="63">
        <v>3.8095238095238099E-2</v>
      </c>
      <c r="BB1577" s="80">
        <v>98.2</v>
      </c>
      <c r="BC1577" s="80"/>
      <c r="BD1577" s="80"/>
      <c r="BE1577" s="80"/>
      <c r="BF1577" s="80"/>
      <c r="BG1577" s="80"/>
      <c r="BH1577" s="80"/>
      <c r="BI1577" s="80"/>
      <c r="BJ1577" s="3">
        <v>15.3</v>
      </c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29" t="s">
        <v>558</v>
      </c>
      <c r="CJ1577" s="18" t="s">
        <v>548</v>
      </c>
      <c r="CK1577" s="30" t="s">
        <v>518</v>
      </c>
    </row>
    <row r="1578" spans="1:99" x14ac:dyDescent="0.25">
      <c r="A1578" s="18" t="s">
        <v>548</v>
      </c>
      <c r="B1578" s="29" t="s">
        <v>436</v>
      </c>
      <c r="C1578" s="29" t="s">
        <v>436</v>
      </c>
      <c r="D1578" s="6">
        <v>0</v>
      </c>
      <c r="E1578" s="40" t="s">
        <v>83</v>
      </c>
      <c r="F1578" s="6">
        <v>0</v>
      </c>
      <c r="N1578" s="115">
        <v>0</v>
      </c>
      <c r="O1578" s="115">
        <v>0</v>
      </c>
      <c r="P1578" s="116" t="s">
        <v>83</v>
      </c>
      <c r="Q1578" s="116" t="s">
        <v>83</v>
      </c>
      <c r="R1578" s="116" t="s">
        <v>83</v>
      </c>
      <c r="S1578" s="116" t="s">
        <v>83</v>
      </c>
      <c r="T1578" s="115">
        <v>0</v>
      </c>
      <c r="U1578" s="115">
        <v>0</v>
      </c>
      <c r="V1578" s="115">
        <v>0</v>
      </c>
      <c r="W1578" s="6">
        <v>360</v>
      </c>
      <c r="X1578" s="40">
        <f t="shared" si="106"/>
        <v>360</v>
      </c>
      <c r="Y1578" s="40">
        <f t="shared" si="107"/>
        <v>360</v>
      </c>
      <c r="Z1578" s="59">
        <v>0.59166666666666667</v>
      </c>
      <c r="AA1578" s="59">
        <v>0.40833333333333333</v>
      </c>
      <c r="AB1578" s="61">
        <v>1.1111111111111112E-2</v>
      </c>
      <c r="AC1578" s="61">
        <v>0.12222222222222222</v>
      </c>
      <c r="AD1578" s="61">
        <v>0.11944444444444445</v>
      </c>
      <c r="AE1578" s="61">
        <v>3.3333333333333333E-2</v>
      </c>
      <c r="AF1578" s="61">
        <v>4.1666666666666664E-2</v>
      </c>
      <c r="AG1578" s="61">
        <v>0.67222222222222228</v>
      </c>
      <c r="AH1578" s="61">
        <v>0</v>
      </c>
      <c r="AI1578" s="61">
        <v>0.32777777777777778</v>
      </c>
      <c r="AJ1578" s="59">
        <v>0.24166666666666667</v>
      </c>
      <c r="AK1578" s="59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112</v>
      </c>
      <c r="AQ1578" s="4">
        <v>130</v>
      </c>
      <c r="AR1578" s="4">
        <v>118</v>
      </c>
      <c r="AS1578" s="59" t="s">
        <v>83</v>
      </c>
      <c r="AT1578" s="3">
        <v>10</v>
      </c>
      <c r="AU1578" s="3">
        <v>9</v>
      </c>
      <c r="AV1578" s="49">
        <v>98.711340206185611</v>
      </c>
      <c r="AW1578" s="49">
        <v>1.0309278350515501</v>
      </c>
      <c r="AX1578" s="49">
        <v>0.25773195876288696</v>
      </c>
      <c r="AY1578" s="67">
        <v>0</v>
      </c>
      <c r="AZ1578" s="63">
        <v>0</v>
      </c>
      <c r="BA1578" s="63">
        <v>0</v>
      </c>
      <c r="BB1578" s="80">
        <v>97.5</v>
      </c>
      <c r="BC1578" s="80"/>
      <c r="BD1578" s="80"/>
      <c r="BE1578" s="80"/>
      <c r="BF1578" s="80"/>
      <c r="BG1578" s="80"/>
      <c r="BH1578" s="80"/>
      <c r="BI1578" s="80"/>
      <c r="BJ1578" s="3">
        <v>30.3</v>
      </c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29" t="s">
        <v>436</v>
      </c>
      <c r="CJ1578" s="18" t="s">
        <v>548</v>
      </c>
      <c r="CK1578" s="30"/>
    </row>
    <row r="1579" spans="1:99" x14ac:dyDescent="0.25">
      <c r="A1579" s="18" t="s">
        <v>548</v>
      </c>
      <c r="B1579" s="29" t="s">
        <v>437</v>
      </c>
      <c r="C1579" s="29" t="s">
        <v>437</v>
      </c>
      <c r="D1579" s="6">
        <v>0</v>
      </c>
      <c r="E1579" s="6">
        <v>0</v>
      </c>
      <c r="F1579" s="6">
        <v>0</v>
      </c>
      <c r="N1579" s="115">
        <v>0</v>
      </c>
      <c r="O1579" s="115">
        <v>0</v>
      </c>
      <c r="P1579" s="115">
        <v>0</v>
      </c>
      <c r="Q1579" s="115">
        <v>0</v>
      </c>
      <c r="R1579" s="116" t="s">
        <v>83</v>
      </c>
      <c r="S1579" s="115">
        <v>0</v>
      </c>
      <c r="T1579" s="115">
        <v>0</v>
      </c>
      <c r="U1579" s="115">
        <v>0</v>
      </c>
      <c r="V1579" s="115">
        <v>0</v>
      </c>
      <c r="W1579" s="6">
        <v>1428</v>
      </c>
      <c r="X1579" s="40">
        <f t="shared" si="106"/>
        <v>461</v>
      </c>
      <c r="Y1579" s="40">
        <f t="shared" si="107"/>
        <v>697</v>
      </c>
      <c r="Z1579" s="59">
        <v>0.49159663865546216</v>
      </c>
      <c r="AA1579" s="59">
        <v>0.50840336134453779</v>
      </c>
      <c r="AB1579" s="61">
        <v>1.4005602240896359E-3</v>
      </c>
      <c r="AC1579" s="61">
        <v>3.6414565826330535E-2</v>
      </c>
      <c r="AD1579" s="61">
        <v>0.11274509803921569</v>
      </c>
      <c r="AE1579" s="61">
        <v>2.8011204481792718E-2</v>
      </c>
      <c r="AF1579" s="61">
        <v>0</v>
      </c>
      <c r="AG1579" s="61">
        <v>0.81372549019607843</v>
      </c>
      <c r="AH1579" s="61">
        <v>7.7030812324929976E-3</v>
      </c>
      <c r="AI1579" s="61">
        <v>0.18627450980392157</v>
      </c>
      <c r="AJ1579" s="59">
        <v>3.5714285714285712E-2</v>
      </c>
      <c r="AK1579" s="59">
        <v>0</v>
      </c>
      <c r="AL1579" s="4">
        <v>120</v>
      </c>
      <c r="AM1579" s="4">
        <v>116</v>
      </c>
      <c r="AN1579" s="4">
        <v>0</v>
      </c>
      <c r="AO1579" s="4">
        <v>116</v>
      </c>
      <c r="AP1579" s="4">
        <v>115</v>
      </c>
      <c r="AQ1579" s="4">
        <v>113</v>
      </c>
      <c r="AR1579" s="4">
        <v>117</v>
      </c>
      <c r="AS1579" s="59">
        <v>0</v>
      </c>
      <c r="AT1579" s="3">
        <v>1</v>
      </c>
      <c r="AU1579" s="3">
        <v>8</v>
      </c>
      <c r="AV1579" s="49">
        <v>29.967426710097701</v>
      </c>
      <c r="AW1579" s="49">
        <v>65.960912052117308</v>
      </c>
      <c r="AX1579" s="49">
        <v>2.7687296416938101</v>
      </c>
      <c r="AY1579" s="67">
        <v>1.30293159609121</v>
      </c>
      <c r="AZ1579" s="63">
        <v>2.09497206703911E-3</v>
      </c>
      <c r="BA1579" s="63">
        <v>1.3966480446927401E-3</v>
      </c>
      <c r="BB1579" s="80">
        <v>96.9</v>
      </c>
      <c r="BC1579" s="80"/>
      <c r="BD1579" s="80"/>
      <c r="BE1579" s="80"/>
      <c r="BF1579" s="80"/>
      <c r="BG1579" s="80"/>
      <c r="BH1579" s="80"/>
      <c r="BI1579" s="80"/>
      <c r="BJ1579" s="3">
        <v>24.8</v>
      </c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29" t="s">
        <v>437</v>
      </c>
      <c r="CJ1579" s="18" t="s">
        <v>548</v>
      </c>
      <c r="CK1579" s="30"/>
    </row>
    <row r="1580" spans="1:99" x14ac:dyDescent="0.25">
      <c r="A1580" s="18" t="s">
        <v>548</v>
      </c>
      <c r="B1580" s="29" t="s">
        <v>438</v>
      </c>
      <c r="C1580" s="29" t="s">
        <v>438</v>
      </c>
      <c r="D1580" s="6">
        <v>1</v>
      </c>
      <c r="E1580" s="6">
        <v>0</v>
      </c>
      <c r="F1580" s="6">
        <v>1</v>
      </c>
      <c r="N1580" s="115">
        <v>4.4444444444444401E-3</v>
      </c>
      <c r="O1580" s="115">
        <v>5.5865921787709499E-3</v>
      </c>
      <c r="P1580" s="115">
        <v>0</v>
      </c>
      <c r="Q1580" s="115">
        <v>0</v>
      </c>
      <c r="R1580" s="116" t="s">
        <v>83</v>
      </c>
      <c r="S1580" s="115">
        <v>2.2222222222222199E-2</v>
      </c>
      <c r="T1580" s="115">
        <v>0</v>
      </c>
      <c r="U1580" s="115">
        <v>0</v>
      </c>
      <c r="V1580" s="115">
        <v>0</v>
      </c>
      <c r="W1580" s="6">
        <v>319</v>
      </c>
      <c r="X1580" s="40">
        <f t="shared" si="106"/>
        <v>173</v>
      </c>
      <c r="Y1580" s="40">
        <f t="shared" si="107"/>
        <v>219</v>
      </c>
      <c r="Z1580" s="59">
        <v>0.37931034482758619</v>
      </c>
      <c r="AA1580" s="59">
        <v>0.62068965517241381</v>
      </c>
      <c r="AB1580" s="61">
        <v>0</v>
      </c>
      <c r="AC1580" s="61">
        <v>3.134796238244514E-3</v>
      </c>
      <c r="AD1580" s="61">
        <v>0.99059561128526641</v>
      </c>
      <c r="AE1580" s="61">
        <v>3.134796238244514E-3</v>
      </c>
      <c r="AF1580" s="61">
        <v>0</v>
      </c>
      <c r="AG1580" s="61">
        <v>3.134796238244514E-3</v>
      </c>
      <c r="AH1580" s="61">
        <v>0</v>
      </c>
      <c r="AI1580" s="61">
        <v>0.99686520376175547</v>
      </c>
      <c r="AJ1580" s="59">
        <v>0.69905956112852663</v>
      </c>
      <c r="AK1580" s="59">
        <v>0</v>
      </c>
      <c r="AL1580" s="4">
        <v>25</v>
      </c>
      <c r="AM1580" s="4">
        <v>21</v>
      </c>
      <c r="AN1580" s="4">
        <v>0</v>
      </c>
      <c r="AO1580" s="4">
        <v>43</v>
      </c>
      <c r="AP1580" s="4">
        <v>36</v>
      </c>
      <c r="AQ1580" s="4">
        <v>42</v>
      </c>
      <c r="AR1580" s="4">
        <v>52</v>
      </c>
      <c r="AS1580" s="59">
        <v>0</v>
      </c>
      <c r="AT1580" s="3">
        <v>1</v>
      </c>
      <c r="AU1580" s="3">
        <v>8</v>
      </c>
      <c r="AV1580" s="49">
        <v>73.161764705882305</v>
      </c>
      <c r="AW1580" s="49">
        <v>15.8088235294118</v>
      </c>
      <c r="AX1580" s="49">
        <v>9.1911764705882408</v>
      </c>
      <c r="AY1580" s="67">
        <v>1.8382352941176499</v>
      </c>
      <c r="AZ1580" s="63">
        <v>0</v>
      </c>
      <c r="BA1580" s="63">
        <v>8.2822085889570504E-2</v>
      </c>
      <c r="BB1580" s="79">
        <v>94.9</v>
      </c>
      <c r="BC1580" s="79"/>
      <c r="BD1580" s="79"/>
      <c r="BE1580" s="79"/>
      <c r="BF1580" s="79"/>
      <c r="BG1580" s="79"/>
      <c r="BH1580" s="79"/>
      <c r="BI1580" s="79"/>
      <c r="BJ1580" s="3">
        <v>18</v>
      </c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29" t="s">
        <v>438</v>
      </c>
      <c r="CJ1580" s="18" t="s">
        <v>548</v>
      </c>
      <c r="CK1580" s="30"/>
    </row>
    <row r="1581" spans="1:99" x14ac:dyDescent="0.25">
      <c r="A1581" s="18" t="s">
        <v>548</v>
      </c>
      <c r="B1581" s="29" t="s">
        <v>559</v>
      </c>
      <c r="C1581" s="29" t="s">
        <v>441</v>
      </c>
      <c r="D1581" s="6">
        <v>2</v>
      </c>
      <c r="E1581" s="6">
        <v>0</v>
      </c>
      <c r="F1581" s="6">
        <v>2</v>
      </c>
      <c r="N1581" s="115">
        <v>5.7306590257879698E-3</v>
      </c>
      <c r="O1581" s="115">
        <v>8.0971659919028306E-3</v>
      </c>
      <c r="P1581" s="115">
        <v>0</v>
      </c>
      <c r="Q1581" s="115">
        <v>0</v>
      </c>
      <c r="R1581" s="116" t="s">
        <v>83</v>
      </c>
      <c r="S1581" s="115">
        <v>0</v>
      </c>
      <c r="T1581" s="115">
        <v>1.58730158730159E-2</v>
      </c>
      <c r="U1581" s="115">
        <v>1.6666666666666701E-2</v>
      </c>
      <c r="V1581" s="115">
        <v>0</v>
      </c>
      <c r="W1581" s="6">
        <v>733</v>
      </c>
      <c r="X1581" s="40">
        <f t="shared" si="106"/>
        <v>242</v>
      </c>
      <c r="Y1581" s="40">
        <f t="shared" si="107"/>
        <v>340</v>
      </c>
      <c r="Z1581" s="59">
        <v>0.51978171896316505</v>
      </c>
      <c r="AA1581" s="59">
        <v>0.48021828103683495</v>
      </c>
      <c r="AB1581" s="61">
        <v>2.5920873124147339E-2</v>
      </c>
      <c r="AC1581" s="61">
        <v>2.4556616643929059E-2</v>
      </c>
      <c r="AD1581" s="61">
        <v>0.27421555252387447</v>
      </c>
      <c r="AE1581" s="61">
        <v>2.7285129604365622E-2</v>
      </c>
      <c r="AF1581" s="61">
        <v>2.7285129604365621E-3</v>
      </c>
      <c r="AG1581" s="61">
        <v>0.63710777626193726</v>
      </c>
      <c r="AH1581" s="61">
        <v>8.1855388813096858E-3</v>
      </c>
      <c r="AI1581" s="61">
        <v>0.36289222373806274</v>
      </c>
      <c r="AJ1581" s="59">
        <v>0.54706684856753074</v>
      </c>
      <c r="AK1581" s="59">
        <v>0</v>
      </c>
      <c r="AL1581" s="4">
        <v>51</v>
      </c>
      <c r="AM1581" s="4">
        <v>47</v>
      </c>
      <c r="AN1581" s="4">
        <v>0</v>
      </c>
      <c r="AO1581" s="4">
        <v>61</v>
      </c>
      <c r="AP1581" s="4">
        <v>62</v>
      </c>
      <c r="AQ1581" s="4">
        <v>57</v>
      </c>
      <c r="AR1581" s="4">
        <v>62</v>
      </c>
      <c r="AS1581" s="59">
        <v>0</v>
      </c>
      <c r="AT1581" s="3">
        <v>1</v>
      </c>
      <c r="AU1581" s="3">
        <v>2</v>
      </c>
      <c r="AV1581" s="49">
        <v>46.1805555555556</v>
      </c>
      <c r="AW1581" s="49">
        <v>26.041666666666703</v>
      </c>
      <c r="AX1581" s="49">
        <v>27.7777777777778</v>
      </c>
      <c r="AY1581" s="67">
        <v>0</v>
      </c>
      <c r="AZ1581" s="63">
        <v>0</v>
      </c>
      <c r="BA1581" s="63">
        <v>1.6129032258064498E-2</v>
      </c>
      <c r="BB1581" s="79">
        <v>95.5</v>
      </c>
      <c r="BC1581" s="79"/>
      <c r="BD1581" s="79"/>
      <c r="BE1581" s="79"/>
      <c r="BF1581" s="79"/>
      <c r="BG1581" s="79"/>
      <c r="BH1581" s="79"/>
      <c r="BI1581" s="79"/>
      <c r="BJ1581" s="3">
        <v>23.8</v>
      </c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29" t="s">
        <v>441</v>
      </c>
      <c r="CJ1581" s="18" t="s">
        <v>548</v>
      </c>
      <c r="CK1581" s="30" t="s">
        <v>519</v>
      </c>
    </row>
    <row r="1582" spans="1:99" x14ac:dyDescent="0.25">
      <c r="A1582" s="18" t="s">
        <v>548</v>
      </c>
      <c r="B1582" s="29" t="s">
        <v>442</v>
      </c>
      <c r="C1582" s="29" t="s">
        <v>442</v>
      </c>
      <c r="D1582" s="6">
        <v>1</v>
      </c>
      <c r="E1582" s="40" t="s">
        <v>83</v>
      </c>
      <c r="F1582" s="6">
        <v>1</v>
      </c>
      <c r="N1582" s="115">
        <v>4.11522633744856E-3</v>
      </c>
      <c r="O1582" s="115">
        <v>4.11522633744856E-3</v>
      </c>
      <c r="P1582" s="116" t="s">
        <v>83</v>
      </c>
      <c r="Q1582" s="116" t="s">
        <v>83</v>
      </c>
      <c r="R1582" s="116" t="s">
        <v>83</v>
      </c>
      <c r="S1582" s="115">
        <v>0</v>
      </c>
      <c r="T1582" s="115">
        <v>0</v>
      </c>
      <c r="U1582" s="115">
        <v>0</v>
      </c>
      <c r="V1582" s="115">
        <v>1.63934426229508E-2</v>
      </c>
      <c r="W1582" s="6">
        <v>239</v>
      </c>
      <c r="X1582" s="40">
        <f t="shared" si="106"/>
        <v>239</v>
      </c>
      <c r="Y1582" s="40">
        <f t="shared" si="107"/>
        <v>239</v>
      </c>
      <c r="Z1582" s="59">
        <v>0.68200836820083677</v>
      </c>
      <c r="AA1582" s="59">
        <v>0.31799163179916318</v>
      </c>
      <c r="AB1582" s="61">
        <v>1.2552301255230125E-2</v>
      </c>
      <c r="AC1582" s="61">
        <v>8.368200836820083E-3</v>
      </c>
      <c r="AD1582" s="61">
        <v>0.30962343096234307</v>
      </c>
      <c r="AE1582" s="61">
        <v>0.11715481171548117</v>
      </c>
      <c r="AF1582" s="61">
        <v>4.1841004184100415E-3</v>
      </c>
      <c r="AG1582" s="61">
        <v>0.4895397489539749</v>
      </c>
      <c r="AH1582" s="61">
        <v>5.8577405857740586E-2</v>
      </c>
      <c r="AI1582" s="61">
        <v>0.5104602510460251</v>
      </c>
      <c r="AJ1582" s="59">
        <v>0.44351464435146443</v>
      </c>
      <c r="AK1582" s="59">
        <v>0</v>
      </c>
      <c r="AL1582" s="4">
        <v>0</v>
      </c>
      <c r="AM1582" s="4">
        <v>0</v>
      </c>
      <c r="AN1582" s="4">
        <v>0</v>
      </c>
      <c r="AO1582" s="4">
        <v>66</v>
      </c>
      <c r="AP1582" s="4">
        <v>54</v>
      </c>
      <c r="AQ1582" s="4">
        <v>59</v>
      </c>
      <c r="AR1582" s="4">
        <v>60</v>
      </c>
      <c r="AS1582" s="59">
        <v>0</v>
      </c>
      <c r="AT1582" s="3">
        <v>9</v>
      </c>
      <c r="AU1582" s="3">
        <v>9</v>
      </c>
      <c r="AV1582" s="49">
        <v>72.8506787330317</v>
      </c>
      <c r="AW1582" s="49">
        <v>5.4298642533936698</v>
      </c>
      <c r="AX1582" s="49">
        <v>21.719457013574701</v>
      </c>
      <c r="AY1582" s="67">
        <v>0</v>
      </c>
      <c r="AZ1582" s="63">
        <v>4.1322314049586804E-3</v>
      </c>
      <c r="BA1582" s="63">
        <v>1.2396694214876E-2</v>
      </c>
      <c r="BB1582" s="80">
        <v>98</v>
      </c>
      <c r="BC1582" s="80"/>
      <c r="BD1582" s="80"/>
      <c r="BE1582" s="80"/>
      <c r="BF1582" s="80"/>
      <c r="BG1582" s="80"/>
      <c r="BH1582" s="80"/>
      <c r="BI1582" s="80"/>
      <c r="BJ1582" s="3">
        <v>22.7</v>
      </c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29" t="s">
        <v>442</v>
      </c>
      <c r="CJ1582" s="18" t="s">
        <v>548</v>
      </c>
      <c r="CK1582" s="30"/>
    </row>
    <row r="1583" spans="1:99" x14ac:dyDescent="0.25">
      <c r="A1583" s="18" t="s">
        <v>548</v>
      </c>
      <c r="B1583" s="29" t="s">
        <v>559</v>
      </c>
      <c r="C1583" s="29" t="s">
        <v>443</v>
      </c>
      <c r="D1583" s="6">
        <v>1</v>
      </c>
      <c r="E1583" s="6">
        <v>0</v>
      </c>
      <c r="F1583" s="6">
        <v>1</v>
      </c>
      <c r="N1583" s="115">
        <v>2.4213075060532702E-3</v>
      </c>
      <c r="O1583" s="115">
        <v>3.6764705882352902E-3</v>
      </c>
      <c r="P1583" s="115">
        <v>0</v>
      </c>
      <c r="Q1583" s="115">
        <v>0</v>
      </c>
      <c r="R1583" s="116" t="s">
        <v>83</v>
      </c>
      <c r="S1583" s="115">
        <v>0</v>
      </c>
      <c r="T1583" s="115">
        <v>0</v>
      </c>
      <c r="U1583" s="115">
        <v>1.38888888888889E-2</v>
      </c>
      <c r="V1583" s="115">
        <v>0</v>
      </c>
      <c r="W1583" s="6">
        <v>888</v>
      </c>
      <c r="X1583" s="40">
        <f t="shared" si="106"/>
        <v>266</v>
      </c>
      <c r="Y1583" s="40">
        <f t="shared" si="107"/>
        <v>401</v>
      </c>
      <c r="Z1583" s="59">
        <v>0.50225225225225223</v>
      </c>
      <c r="AA1583" s="59">
        <v>0.49774774774774777</v>
      </c>
      <c r="AB1583" s="61">
        <v>1.1261261261261261E-3</v>
      </c>
      <c r="AC1583" s="61">
        <v>4.5045045045045045E-3</v>
      </c>
      <c r="AD1583" s="61">
        <v>0.37950450450450451</v>
      </c>
      <c r="AE1583" s="61">
        <v>3.6036036036036036E-2</v>
      </c>
      <c r="AF1583" s="61">
        <v>0</v>
      </c>
      <c r="AG1583" s="61">
        <v>0.56644144144144148</v>
      </c>
      <c r="AH1583" s="61">
        <v>1.2387387387387387E-2</v>
      </c>
      <c r="AI1583" s="61">
        <v>0.43355855855855857</v>
      </c>
      <c r="AJ1583" s="59">
        <v>0.7432432432432432</v>
      </c>
      <c r="AK1583" s="59">
        <v>2.2522522522522522E-3</v>
      </c>
      <c r="AL1583" s="4">
        <v>66</v>
      </c>
      <c r="AM1583" s="4">
        <v>69</v>
      </c>
      <c r="AN1583" s="4">
        <v>0</v>
      </c>
      <c r="AO1583" s="4">
        <v>69</v>
      </c>
      <c r="AP1583" s="4">
        <v>70</v>
      </c>
      <c r="AQ1583" s="4">
        <v>69</v>
      </c>
      <c r="AR1583" s="4">
        <v>58</v>
      </c>
      <c r="AS1583" s="59">
        <v>0</v>
      </c>
      <c r="AT1583" s="3">
        <v>1</v>
      </c>
      <c r="AU1583" s="3">
        <v>2</v>
      </c>
      <c r="AV1583" s="49">
        <v>36.529680365296798</v>
      </c>
      <c r="AW1583" s="49">
        <v>56.621004566209997</v>
      </c>
      <c r="AX1583" s="49">
        <v>4.10958904109589</v>
      </c>
      <c r="AY1583" s="67">
        <v>2.7397260273972601</v>
      </c>
      <c r="AZ1583" s="63">
        <v>0.10989010989011</v>
      </c>
      <c r="BA1583" s="63">
        <v>6.3736263736263704E-2</v>
      </c>
      <c r="BB1583" s="79">
        <v>94.8</v>
      </c>
      <c r="BC1583" s="79"/>
      <c r="BD1583" s="79"/>
      <c r="BE1583" s="79"/>
      <c r="BF1583" s="79"/>
      <c r="BG1583" s="79"/>
      <c r="BH1583" s="79"/>
      <c r="BI1583" s="79"/>
      <c r="BJ1583" s="3">
        <v>17.600000000000001</v>
      </c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29" t="s">
        <v>443</v>
      </c>
      <c r="CJ1583" s="18" t="s">
        <v>548</v>
      </c>
      <c r="CK1583" s="30" t="s">
        <v>443</v>
      </c>
    </row>
    <row r="1584" spans="1:99" x14ac:dyDescent="0.25">
      <c r="A1584" s="18" t="s">
        <v>548</v>
      </c>
      <c r="B1584" s="29" t="s">
        <v>559</v>
      </c>
      <c r="C1584" s="29" t="s">
        <v>444</v>
      </c>
      <c r="D1584" s="6">
        <v>0</v>
      </c>
      <c r="E1584" s="6">
        <v>0</v>
      </c>
      <c r="F1584" s="6">
        <v>0</v>
      </c>
      <c r="N1584" s="115">
        <v>0</v>
      </c>
      <c r="O1584" s="115">
        <v>0</v>
      </c>
      <c r="P1584" s="115">
        <v>0</v>
      </c>
      <c r="Q1584" s="115">
        <v>0</v>
      </c>
      <c r="R1584" s="115">
        <v>0</v>
      </c>
      <c r="S1584" s="115">
        <v>0</v>
      </c>
      <c r="T1584" s="115">
        <v>0</v>
      </c>
      <c r="U1584" s="115">
        <v>0</v>
      </c>
      <c r="V1584" s="115">
        <v>0</v>
      </c>
      <c r="W1584" s="6">
        <v>968</v>
      </c>
      <c r="X1584" s="40">
        <f t="shared" si="106"/>
        <v>259</v>
      </c>
      <c r="Y1584" s="40">
        <f t="shared" si="107"/>
        <v>419</v>
      </c>
      <c r="Z1584" s="59">
        <v>0.49483471074380164</v>
      </c>
      <c r="AA1584" s="59">
        <v>0.5051652892561983</v>
      </c>
      <c r="AB1584" s="61">
        <v>8.2644628099173556E-3</v>
      </c>
      <c r="AC1584" s="61">
        <v>8.2644628099173556E-3</v>
      </c>
      <c r="AD1584" s="61">
        <v>4.7520661157024795E-2</v>
      </c>
      <c r="AE1584" s="61">
        <v>0.1012396694214876</v>
      </c>
      <c r="AF1584" s="61">
        <v>0</v>
      </c>
      <c r="AG1584" s="61">
        <v>0.79855371900826444</v>
      </c>
      <c r="AH1584" s="61">
        <v>3.6157024793388427E-2</v>
      </c>
      <c r="AI1584" s="61">
        <v>0.20144628099173553</v>
      </c>
      <c r="AJ1584" s="59">
        <v>0.5723140495867769</v>
      </c>
      <c r="AK1584" s="59">
        <v>3.9256198347107439E-2</v>
      </c>
      <c r="AL1584" s="4">
        <v>80</v>
      </c>
      <c r="AM1584" s="4">
        <v>80</v>
      </c>
      <c r="AN1584" s="4">
        <v>10</v>
      </c>
      <c r="AO1584" s="4">
        <v>71</v>
      </c>
      <c r="AP1584" s="4">
        <v>63</v>
      </c>
      <c r="AQ1584" s="4">
        <v>65</v>
      </c>
      <c r="AR1584" s="4">
        <v>50</v>
      </c>
      <c r="AS1584" s="59">
        <v>0.12345679012345678</v>
      </c>
      <c r="AT1584" s="3">
        <v>1</v>
      </c>
      <c r="AU1584" s="3">
        <v>2</v>
      </c>
      <c r="AV1584" s="49">
        <v>39.922480620155</v>
      </c>
      <c r="AW1584" s="49">
        <v>42.248062015503898</v>
      </c>
      <c r="AX1584" s="49">
        <v>17.0542635658915</v>
      </c>
      <c r="AY1584" s="67">
        <v>0.775193798449612</v>
      </c>
      <c r="AZ1584" s="63">
        <v>1.9900497512437801E-3</v>
      </c>
      <c r="BA1584" s="63">
        <v>1.49253731343284E-2</v>
      </c>
      <c r="BB1584" s="80">
        <v>95.3</v>
      </c>
      <c r="BC1584" s="80"/>
      <c r="BD1584" s="80"/>
      <c r="BE1584" s="80"/>
      <c r="BF1584" s="80"/>
      <c r="BG1584" s="80"/>
      <c r="BH1584" s="80"/>
      <c r="BI1584" s="80"/>
      <c r="BJ1584" s="3">
        <v>19.3</v>
      </c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29" t="s">
        <v>444</v>
      </c>
      <c r="CJ1584" s="18" t="s">
        <v>548</v>
      </c>
      <c r="CK1584" s="30" t="s">
        <v>520</v>
      </c>
    </row>
    <row r="1585" spans="1:89" x14ac:dyDescent="0.25">
      <c r="A1585" s="18" t="s">
        <v>548</v>
      </c>
      <c r="B1585" s="29" t="s">
        <v>559</v>
      </c>
      <c r="C1585" s="29" t="s">
        <v>446</v>
      </c>
      <c r="D1585" s="6">
        <v>3</v>
      </c>
      <c r="E1585" s="40" t="s">
        <v>83</v>
      </c>
      <c r="F1585" s="6">
        <v>3</v>
      </c>
      <c r="N1585" s="115">
        <v>5.2356020942408397E-3</v>
      </c>
      <c r="O1585" s="115">
        <v>5.2356020942408397E-3</v>
      </c>
      <c r="P1585" s="116" t="s">
        <v>83</v>
      </c>
      <c r="Q1585" s="116" t="s">
        <v>83</v>
      </c>
      <c r="R1585" s="116" t="s">
        <v>83</v>
      </c>
      <c r="S1585" s="115">
        <v>0</v>
      </c>
      <c r="T1585" s="115">
        <v>6.8965517241379301E-3</v>
      </c>
      <c r="U1585" s="115">
        <v>1.5151515151515201E-2</v>
      </c>
      <c r="V1585" s="115">
        <v>0</v>
      </c>
      <c r="W1585" s="6">
        <v>557</v>
      </c>
      <c r="X1585" s="40">
        <f t="shared" si="106"/>
        <v>557</v>
      </c>
      <c r="Y1585" s="40">
        <f t="shared" si="107"/>
        <v>557</v>
      </c>
      <c r="Z1585" s="59">
        <v>0.49371633752244165</v>
      </c>
      <c r="AA1585" s="59">
        <v>0.50628366247755829</v>
      </c>
      <c r="AB1585" s="61">
        <v>0</v>
      </c>
      <c r="AC1585" s="61">
        <v>1.7953321364452424E-3</v>
      </c>
      <c r="AD1585" s="61">
        <v>0.9874326750448833</v>
      </c>
      <c r="AE1585" s="61">
        <v>1.7953321364452424E-3</v>
      </c>
      <c r="AF1585" s="61">
        <v>0</v>
      </c>
      <c r="AG1585" s="61">
        <v>7.1813285457809697E-3</v>
      </c>
      <c r="AH1585" s="61">
        <v>1.7953321364452424E-3</v>
      </c>
      <c r="AI1585" s="61">
        <v>0.99281867145421898</v>
      </c>
      <c r="AJ1585" s="59">
        <v>0.7091561938958707</v>
      </c>
      <c r="AK1585" s="59">
        <v>0</v>
      </c>
      <c r="AL1585" s="4">
        <v>0</v>
      </c>
      <c r="AM1585" s="4">
        <v>0</v>
      </c>
      <c r="AN1585" s="4">
        <v>0</v>
      </c>
      <c r="AO1585" s="4">
        <v>148</v>
      </c>
      <c r="AP1585" s="4">
        <v>142</v>
      </c>
      <c r="AQ1585" s="4">
        <v>123</v>
      </c>
      <c r="AR1585" s="4">
        <v>144</v>
      </c>
      <c r="AS1585" s="59">
        <v>0</v>
      </c>
      <c r="AT1585" s="3">
        <v>9</v>
      </c>
      <c r="AU1585" s="3">
        <v>2</v>
      </c>
      <c r="AV1585" s="49">
        <v>39.805825242718399</v>
      </c>
      <c r="AW1585" s="49">
        <v>33.980582524271803</v>
      </c>
      <c r="AX1585" s="49">
        <v>25.242718446601899</v>
      </c>
      <c r="AY1585" s="67">
        <v>0.97087378640776711</v>
      </c>
      <c r="AZ1585" s="63">
        <v>0</v>
      </c>
      <c r="BA1585" s="63">
        <v>0</v>
      </c>
      <c r="BB1585" s="79">
        <v>95.9</v>
      </c>
      <c r="BC1585" s="79"/>
      <c r="BD1585" s="79"/>
      <c r="BE1585" s="79"/>
      <c r="BF1585" s="79"/>
      <c r="BG1585" s="79"/>
      <c r="BH1585" s="79"/>
      <c r="BI1585" s="79"/>
      <c r="BJ1585" s="3">
        <v>17.3</v>
      </c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29" t="s">
        <v>446</v>
      </c>
      <c r="CJ1585" s="18" t="s">
        <v>548</v>
      </c>
      <c r="CK1585" s="30" t="s">
        <v>488</v>
      </c>
    </row>
    <row r="1586" spans="1:89" x14ac:dyDescent="0.25">
      <c r="A1586" s="18" t="s">
        <v>548</v>
      </c>
      <c r="B1586" s="29" t="s">
        <v>559</v>
      </c>
      <c r="C1586" s="29" t="s">
        <v>448</v>
      </c>
      <c r="D1586" s="6">
        <v>56</v>
      </c>
      <c r="E1586" s="40" t="s">
        <v>83</v>
      </c>
      <c r="F1586" s="6">
        <v>56</v>
      </c>
      <c r="N1586" s="115">
        <v>8.04597701149425E-2</v>
      </c>
      <c r="O1586" s="115">
        <v>8.04597701149425E-2</v>
      </c>
      <c r="P1586" s="116" t="s">
        <v>83</v>
      </c>
      <c r="Q1586" s="116" t="s">
        <v>83</v>
      </c>
      <c r="R1586" s="115">
        <v>0</v>
      </c>
      <c r="S1586" s="115">
        <v>7.8787878787878796E-2</v>
      </c>
      <c r="T1586" s="115">
        <v>9.1397849462365593E-2</v>
      </c>
      <c r="U1586" s="115">
        <v>9.1463414634146298E-2</v>
      </c>
      <c r="V1586" s="115">
        <v>6.9620253164557E-2</v>
      </c>
      <c r="W1586" s="6">
        <v>509</v>
      </c>
      <c r="X1586" s="40">
        <f t="shared" si="106"/>
        <v>509</v>
      </c>
      <c r="Y1586" s="40">
        <f t="shared" si="107"/>
        <v>509</v>
      </c>
      <c r="Z1586" s="59">
        <v>0.5520628683693517</v>
      </c>
      <c r="AA1586" s="59">
        <v>0.44793713163064836</v>
      </c>
      <c r="AB1586" s="61">
        <v>1.9646365422396855E-3</v>
      </c>
      <c r="AC1586" s="61">
        <v>2.9469548133595286E-2</v>
      </c>
      <c r="AD1586" s="61">
        <v>0.63850687622789781</v>
      </c>
      <c r="AE1586" s="61">
        <v>0.2593320235756385</v>
      </c>
      <c r="AF1586" s="61">
        <v>0</v>
      </c>
      <c r="AG1586" s="61">
        <v>5.6974459724950882E-2</v>
      </c>
      <c r="AH1586" s="61">
        <v>1.37524557956778E-2</v>
      </c>
      <c r="AI1586" s="61">
        <v>0.94302554027504915</v>
      </c>
      <c r="AJ1586" s="59">
        <v>0.78781925343811399</v>
      </c>
      <c r="AK1586" s="59">
        <v>0.13555992141453832</v>
      </c>
      <c r="AL1586" s="4">
        <v>0</v>
      </c>
      <c r="AM1586" s="4">
        <v>0</v>
      </c>
      <c r="AN1586" s="4">
        <v>18</v>
      </c>
      <c r="AO1586" s="4">
        <v>101</v>
      </c>
      <c r="AP1586" s="4">
        <v>125</v>
      </c>
      <c r="AQ1586" s="4">
        <v>128</v>
      </c>
      <c r="AR1586" s="4">
        <v>137</v>
      </c>
      <c r="AS1586" s="59">
        <v>0.15126050420168066</v>
      </c>
      <c r="AT1586" s="3">
        <v>9</v>
      </c>
      <c r="AU1586" s="3">
        <v>2</v>
      </c>
      <c r="AV1586" s="49">
        <v>66.412213740458</v>
      </c>
      <c r="AW1586" s="49">
        <v>24.0458015267176</v>
      </c>
      <c r="AX1586" s="49">
        <v>8.7786259541984695</v>
      </c>
      <c r="AY1586" s="67">
        <v>0.76335877862595403</v>
      </c>
      <c r="AZ1586" s="63">
        <v>4.19075144508671E-2</v>
      </c>
      <c r="BA1586" s="63">
        <v>0.14884393063583801</v>
      </c>
      <c r="BB1586" s="80">
        <v>90.5</v>
      </c>
      <c r="BC1586" s="80"/>
      <c r="BD1586" s="80"/>
      <c r="BE1586" s="80"/>
      <c r="BF1586" s="80"/>
      <c r="BG1586" s="80"/>
      <c r="BH1586" s="80"/>
      <c r="BI1586" s="80"/>
      <c r="BJ1586" s="3">
        <v>17.5</v>
      </c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29" t="s">
        <v>448</v>
      </c>
      <c r="CJ1586" s="18" t="s">
        <v>548</v>
      </c>
      <c r="CK1586" s="30" t="s">
        <v>521</v>
      </c>
    </row>
    <row r="1587" spans="1:89" x14ac:dyDescent="0.25">
      <c r="A1587" s="18" t="s">
        <v>548</v>
      </c>
      <c r="B1587" s="29" t="s">
        <v>559</v>
      </c>
      <c r="C1587" s="29" t="s">
        <v>499</v>
      </c>
      <c r="D1587" s="6">
        <v>6</v>
      </c>
      <c r="E1587" s="6">
        <v>0</v>
      </c>
      <c r="F1587" s="6">
        <v>6</v>
      </c>
      <c r="N1587" s="115">
        <v>6.5573770491803296E-3</v>
      </c>
      <c r="O1587" s="115">
        <v>7.6433121019108298E-3</v>
      </c>
      <c r="P1587" s="116" t="s">
        <v>83</v>
      </c>
      <c r="Q1587" s="115">
        <v>0</v>
      </c>
      <c r="R1587" s="115">
        <v>0</v>
      </c>
      <c r="S1587" s="115">
        <v>0</v>
      </c>
      <c r="T1587" s="115">
        <v>9.3896713615023494E-3</v>
      </c>
      <c r="U1587" s="115">
        <v>1.04712041884817E-2</v>
      </c>
      <c r="V1587" s="115">
        <v>1.2500000000000001E-2</v>
      </c>
      <c r="W1587" s="6">
        <v>865</v>
      </c>
      <c r="X1587" s="40">
        <f t="shared" si="106"/>
        <v>741</v>
      </c>
      <c r="Y1587" s="40">
        <f t="shared" si="107"/>
        <v>865</v>
      </c>
      <c r="Z1587" s="59">
        <v>0.38381502890173408</v>
      </c>
      <c r="AA1587" s="59">
        <v>0.61618497109826587</v>
      </c>
      <c r="AB1587" s="61">
        <v>6.9364161849710983E-3</v>
      </c>
      <c r="AC1587" s="61">
        <v>1.2716763005780347E-2</v>
      </c>
      <c r="AD1587" s="61">
        <v>0.35953757225433525</v>
      </c>
      <c r="AE1587" s="61">
        <v>0.27052023121387281</v>
      </c>
      <c r="AF1587" s="61">
        <v>0</v>
      </c>
      <c r="AG1587" s="61">
        <v>0.31676300578034683</v>
      </c>
      <c r="AH1587" s="61">
        <v>3.3526011560693639E-2</v>
      </c>
      <c r="AI1587" s="61">
        <v>0.68323699421965323</v>
      </c>
      <c r="AJ1587" s="59">
        <v>0.74797687861271678</v>
      </c>
      <c r="AK1587" s="59">
        <v>9.8265895953757232E-2</v>
      </c>
      <c r="AL1587" s="4">
        <v>0</v>
      </c>
      <c r="AM1587" s="4">
        <v>124</v>
      </c>
      <c r="AN1587" s="4">
        <v>12</v>
      </c>
      <c r="AO1587" s="4">
        <v>199</v>
      </c>
      <c r="AP1587" s="4">
        <v>198</v>
      </c>
      <c r="AQ1587" s="4">
        <v>177</v>
      </c>
      <c r="AR1587" s="4">
        <v>155</v>
      </c>
      <c r="AS1587" s="59">
        <v>5.6872037914691941E-2</v>
      </c>
      <c r="AT1587" s="3">
        <v>8</v>
      </c>
      <c r="AU1587" s="3">
        <v>2</v>
      </c>
      <c r="AV1587" s="49">
        <v>40.625</v>
      </c>
      <c r="AW1587" s="49">
        <v>51.704545454545503</v>
      </c>
      <c r="AX1587" s="49">
        <v>7.6704545454545494</v>
      </c>
      <c r="AY1587" s="67">
        <v>0</v>
      </c>
      <c r="AZ1587" s="63">
        <v>0.30625686059275498</v>
      </c>
      <c r="BA1587" s="63">
        <v>0.127332601536773</v>
      </c>
      <c r="BB1587" s="80">
        <v>94.7</v>
      </c>
      <c r="BC1587" s="80"/>
      <c r="BD1587" s="80"/>
      <c r="BE1587" s="80"/>
      <c r="BF1587" s="80"/>
      <c r="BG1587" s="80"/>
      <c r="BH1587" s="80"/>
      <c r="BI1587" s="80"/>
      <c r="BJ1587" s="3">
        <v>20</v>
      </c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29" t="s">
        <v>499</v>
      </c>
      <c r="CJ1587" s="18" t="s">
        <v>548</v>
      </c>
      <c r="CK1587" s="30" t="s">
        <v>522</v>
      </c>
    </row>
    <row r="1588" spans="1:89" x14ac:dyDescent="0.25">
      <c r="A1588" s="18" t="s">
        <v>548</v>
      </c>
      <c r="B1588" s="29" t="s">
        <v>557</v>
      </c>
      <c r="C1588" s="29" t="s">
        <v>523</v>
      </c>
      <c r="D1588" s="6">
        <v>2</v>
      </c>
      <c r="E1588" s="6">
        <v>0</v>
      </c>
      <c r="F1588" s="6">
        <v>2</v>
      </c>
      <c r="N1588" s="115">
        <v>5.40540540540541E-3</v>
      </c>
      <c r="O1588" s="115">
        <v>0.01</v>
      </c>
      <c r="P1588" s="115">
        <v>0</v>
      </c>
      <c r="Q1588" s="115">
        <v>0</v>
      </c>
      <c r="R1588" s="115">
        <v>0</v>
      </c>
      <c r="S1588" s="115">
        <v>1.02040816326531E-2</v>
      </c>
      <c r="T1588" s="115">
        <v>1.20481927710843E-2</v>
      </c>
      <c r="U1588" s="116" t="s">
        <v>83</v>
      </c>
      <c r="V1588" s="116" t="s">
        <v>83</v>
      </c>
      <c r="W1588" s="6">
        <v>996</v>
      </c>
      <c r="X1588" s="40">
        <f t="shared" si="106"/>
        <v>172</v>
      </c>
      <c r="Y1588" s="40">
        <f t="shared" si="107"/>
        <v>331</v>
      </c>
      <c r="Z1588" s="59">
        <v>0.46184738955823296</v>
      </c>
      <c r="AA1588" s="59">
        <v>0.5381526104417671</v>
      </c>
      <c r="AB1588" s="61">
        <v>0</v>
      </c>
      <c r="AC1588" s="61">
        <v>6.024096385542169E-3</v>
      </c>
      <c r="AD1588" s="61">
        <v>0.51204819277108438</v>
      </c>
      <c r="AE1588" s="61">
        <v>0.16666666666666666</v>
      </c>
      <c r="AF1588" s="61">
        <v>0</v>
      </c>
      <c r="AG1588" s="61">
        <v>0.26807228915662651</v>
      </c>
      <c r="AH1588" s="61">
        <v>4.7188755020080318E-2</v>
      </c>
      <c r="AI1588" s="61">
        <v>0.73192771084337349</v>
      </c>
      <c r="AJ1588" s="59">
        <v>0.68172690763052213</v>
      </c>
      <c r="AK1588" s="59">
        <v>7.0281124497991967E-2</v>
      </c>
      <c r="AL1588" s="4">
        <v>80</v>
      </c>
      <c r="AM1588" s="4">
        <v>79</v>
      </c>
      <c r="AN1588" s="4">
        <v>19</v>
      </c>
      <c r="AO1588" s="4">
        <v>87</v>
      </c>
      <c r="AP1588" s="4">
        <v>66</v>
      </c>
      <c r="AQ1588" s="4">
        <v>0</v>
      </c>
      <c r="AR1588" s="4">
        <v>0</v>
      </c>
      <c r="AS1588" s="59">
        <v>0.17924528301886791</v>
      </c>
      <c r="AT1588" s="3">
        <v>1</v>
      </c>
      <c r="AU1588" s="3">
        <v>10</v>
      </c>
      <c r="AV1588" s="49">
        <v>45.093457943925202</v>
      </c>
      <c r="AW1588" s="49">
        <v>26.635514018691598</v>
      </c>
      <c r="AX1588" s="49">
        <v>28.037383177570103</v>
      </c>
      <c r="AY1588" s="67">
        <v>0.233644859813084</v>
      </c>
      <c r="AZ1588" s="63">
        <v>2.9665071770334901E-2</v>
      </c>
      <c r="BA1588" s="63">
        <v>3.9234449760765601E-2</v>
      </c>
      <c r="BB1588" s="79">
        <v>91.9</v>
      </c>
      <c r="BC1588" s="79"/>
      <c r="BD1588" s="79"/>
      <c r="BE1588" s="79"/>
      <c r="BF1588" s="79"/>
      <c r="BG1588" s="79"/>
      <c r="BH1588" s="79"/>
      <c r="BI1588" s="79"/>
      <c r="BJ1588" s="79"/>
      <c r="BK1588" s="79"/>
      <c r="BL1588" s="79"/>
      <c r="BM1588" s="79"/>
      <c r="BN1588" s="79"/>
      <c r="BO1588" s="79"/>
      <c r="BP1588" s="79"/>
      <c r="BQ1588" s="79"/>
      <c r="BR1588" s="79"/>
      <c r="BS1588" s="79"/>
      <c r="BT1588" s="79"/>
      <c r="BU1588" s="79"/>
      <c r="BV1588" s="79"/>
      <c r="BW1588" s="79"/>
      <c r="BX1588" s="79"/>
      <c r="BY1588" s="79"/>
      <c r="BZ1588" s="79"/>
      <c r="CA1588" s="79"/>
      <c r="CB1588" s="79"/>
      <c r="CC1588" s="79"/>
      <c r="CD1588" s="79"/>
      <c r="CE1588" s="79"/>
      <c r="CF1588" s="79"/>
      <c r="CG1588" s="79"/>
      <c r="CH1588" s="79"/>
      <c r="CI1588" s="29" t="s">
        <v>523</v>
      </c>
      <c r="CJ1588" s="18" t="s">
        <v>548</v>
      </c>
      <c r="CK1588" s="30" t="s">
        <v>523</v>
      </c>
    </row>
    <row r="1589" spans="1:89" x14ac:dyDescent="0.25">
      <c r="A1589" s="18" t="s">
        <v>548</v>
      </c>
      <c r="B1589" s="29" t="s">
        <v>557</v>
      </c>
      <c r="C1589" s="29" t="s">
        <v>524</v>
      </c>
      <c r="D1589" s="6">
        <v>6</v>
      </c>
      <c r="E1589" s="40" t="s">
        <v>83</v>
      </c>
      <c r="F1589" s="6">
        <v>6</v>
      </c>
      <c r="N1589" s="115">
        <v>9.6774193548387101E-3</v>
      </c>
      <c r="O1589" s="115">
        <v>9.6774193548387101E-3</v>
      </c>
      <c r="P1589" s="116" t="s">
        <v>83</v>
      </c>
      <c r="Q1589" s="116" t="s">
        <v>83</v>
      </c>
      <c r="R1589" s="115">
        <v>0</v>
      </c>
      <c r="S1589" s="115">
        <v>6.7567567567567597E-3</v>
      </c>
      <c r="T1589" s="115">
        <v>1.1764705882352899E-2</v>
      </c>
      <c r="U1589" s="115">
        <v>1.9607843137254902E-2</v>
      </c>
      <c r="V1589" s="115">
        <v>0</v>
      </c>
      <c r="W1589" s="6">
        <v>593</v>
      </c>
      <c r="X1589" s="40">
        <f t="shared" si="106"/>
        <v>593</v>
      </c>
      <c r="Y1589" s="40">
        <f t="shared" si="107"/>
        <v>593</v>
      </c>
      <c r="Z1589" s="59">
        <v>0.47554806070826305</v>
      </c>
      <c r="AA1589" s="59">
        <v>0.52445193929173695</v>
      </c>
      <c r="AB1589" s="61">
        <v>3.3726812816188868E-3</v>
      </c>
      <c r="AC1589" s="61">
        <v>4.3844856661045532E-2</v>
      </c>
      <c r="AD1589" s="61">
        <v>0.90556492411467115</v>
      </c>
      <c r="AE1589" s="61">
        <v>2.5295109612141653E-2</v>
      </c>
      <c r="AF1589" s="61">
        <v>3.3726812816188868E-3</v>
      </c>
      <c r="AG1589" s="61">
        <v>1.5177065767284991E-2</v>
      </c>
      <c r="AH1589" s="61">
        <v>3.3726812816188868E-3</v>
      </c>
      <c r="AI1589" s="61">
        <v>0.98482293423271505</v>
      </c>
      <c r="AJ1589" s="59">
        <v>1</v>
      </c>
      <c r="AK1589" s="59">
        <v>7.2512647554806076E-2</v>
      </c>
      <c r="AL1589" s="4">
        <v>0</v>
      </c>
      <c r="AM1589" s="4">
        <v>0</v>
      </c>
      <c r="AN1589" s="4">
        <v>25</v>
      </c>
      <c r="AO1589" s="4">
        <v>141</v>
      </c>
      <c r="AP1589" s="4">
        <v>161</v>
      </c>
      <c r="AQ1589" s="4">
        <v>147</v>
      </c>
      <c r="AR1589" s="4">
        <v>119</v>
      </c>
      <c r="AS1589" s="59">
        <v>0.15060240963855423</v>
      </c>
      <c r="AT1589" s="3">
        <v>9</v>
      </c>
      <c r="AU1589" s="3">
        <v>10</v>
      </c>
      <c r="AV1589" s="49">
        <v>45.893719806763301</v>
      </c>
      <c r="AW1589" s="49">
        <v>21.256038647343001</v>
      </c>
      <c r="AX1589" s="49">
        <v>30.434782608695699</v>
      </c>
      <c r="AY1589" s="67">
        <v>2.4154589371980699</v>
      </c>
      <c r="AZ1589" s="63">
        <v>0.34253246753246802</v>
      </c>
      <c r="BA1589" s="63">
        <v>0.19480519480519501</v>
      </c>
      <c r="BB1589" s="79">
        <v>93.9</v>
      </c>
      <c r="BC1589" s="79"/>
      <c r="BD1589" s="79"/>
      <c r="BE1589" s="79"/>
      <c r="BF1589" s="79"/>
      <c r="BG1589" s="79"/>
      <c r="BH1589" s="79"/>
      <c r="BI1589" s="79"/>
      <c r="BJ1589" s="3">
        <v>17.100000000000001</v>
      </c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29" t="s">
        <v>524</v>
      </c>
      <c r="CJ1589" s="18" t="s">
        <v>548</v>
      </c>
      <c r="CK1589" s="30" t="s">
        <v>525</v>
      </c>
    </row>
    <row r="1590" spans="1:89" x14ac:dyDescent="0.25">
      <c r="A1590" s="18" t="s">
        <v>548</v>
      </c>
      <c r="B1590" s="29" t="s">
        <v>557</v>
      </c>
      <c r="C1590" s="29" t="s">
        <v>526</v>
      </c>
      <c r="D1590" s="6">
        <v>39</v>
      </c>
      <c r="E1590" s="40" t="s">
        <v>83</v>
      </c>
      <c r="F1590" s="6">
        <v>39</v>
      </c>
      <c r="N1590" s="115">
        <v>3.95939086294416E-2</v>
      </c>
      <c r="O1590" s="115">
        <v>3.95939086294416E-2</v>
      </c>
      <c r="P1590" s="116" t="s">
        <v>83</v>
      </c>
      <c r="Q1590" s="116" t="s">
        <v>83</v>
      </c>
      <c r="R1590" s="115">
        <v>0</v>
      </c>
      <c r="S1590" s="115">
        <v>3.7634408602150497E-2</v>
      </c>
      <c r="T1590" s="115">
        <v>5.4166666666666703E-2</v>
      </c>
      <c r="U1590" s="115">
        <v>5.7017543859649099E-2</v>
      </c>
      <c r="V1590" s="115">
        <v>2.0761245674740501E-2</v>
      </c>
      <c r="W1590" s="6">
        <v>868</v>
      </c>
      <c r="X1590" s="40">
        <f t="shared" si="106"/>
        <v>868</v>
      </c>
      <c r="Y1590" s="40">
        <f t="shared" si="107"/>
        <v>868</v>
      </c>
      <c r="Z1590" s="59">
        <v>0.43663594470046085</v>
      </c>
      <c r="AA1590" s="59">
        <v>0.56336405529953915</v>
      </c>
      <c r="AB1590" s="61">
        <v>2.304147465437788E-3</v>
      </c>
      <c r="AC1590" s="61">
        <v>1.2672811059907835E-2</v>
      </c>
      <c r="AD1590" s="61">
        <v>0.90092165898617516</v>
      </c>
      <c r="AE1590" s="61">
        <v>7.9493087557603689E-2</v>
      </c>
      <c r="AF1590" s="61">
        <v>0</v>
      </c>
      <c r="AG1590" s="61">
        <v>4.608294930875576E-3</v>
      </c>
      <c r="AH1590" s="61">
        <v>0</v>
      </c>
      <c r="AI1590" s="61">
        <v>0.99539170506912444</v>
      </c>
      <c r="AJ1590" s="59">
        <v>0.91705069124423966</v>
      </c>
      <c r="AK1590" s="59">
        <v>8.6405529953917051E-2</v>
      </c>
      <c r="AL1590" s="4">
        <v>0</v>
      </c>
      <c r="AM1590" s="4">
        <v>0</v>
      </c>
      <c r="AN1590" s="4">
        <v>41</v>
      </c>
      <c r="AO1590" s="4">
        <v>165</v>
      </c>
      <c r="AP1590" s="4">
        <v>190</v>
      </c>
      <c r="AQ1590" s="4">
        <v>205</v>
      </c>
      <c r="AR1590" s="4">
        <v>267</v>
      </c>
      <c r="AS1590" s="59">
        <v>0.19902912621359223</v>
      </c>
      <c r="AT1590" s="3">
        <v>9</v>
      </c>
      <c r="AU1590" s="3">
        <v>10</v>
      </c>
      <c r="AV1590" s="49">
        <v>36.890243902439003</v>
      </c>
      <c r="AW1590" s="49">
        <v>13.109756097561002</v>
      </c>
      <c r="AX1590" s="49">
        <v>28.353658536585403</v>
      </c>
      <c r="AY1590" s="67">
        <v>21.646341463414601</v>
      </c>
      <c r="AZ1590" s="63">
        <v>0</v>
      </c>
      <c r="BA1590" s="63">
        <v>0.11909650924024601</v>
      </c>
      <c r="BB1590" s="80">
        <v>85.9</v>
      </c>
      <c r="BC1590" s="80"/>
      <c r="BD1590" s="80"/>
      <c r="BE1590" s="80"/>
      <c r="BF1590" s="80"/>
      <c r="BG1590" s="80"/>
      <c r="BH1590" s="80"/>
      <c r="BI1590" s="80"/>
      <c r="BJ1590" s="3">
        <v>15.9</v>
      </c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29" t="s">
        <v>526</v>
      </c>
      <c r="CJ1590" s="18" t="s">
        <v>548</v>
      </c>
      <c r="CK1590" s="30" t="s">
        <v>525</v>
      </c>
    </row>
    <row r="1591" spans="1:89" x14ac:dyDescent="0.25">
      <c r="A1591" s="18" t="s">
        <v>548</v>
      </c>
      <c r="B1591" s="29" t="s">
        <v>557</v>
      </c>
      <c r="C1591" s="29" t="s">
        <v>504</v>
      </c>
      <c r="D1591" s="6">
        <v>4</v>
      </c>
      <c r="E1591" s="40" t="s">
        <v>83</v>
      </c>
      <c r="F1591" s="6">
        <v>4</v>
      </c>
      <c r="N1591" s="115">
        <v>7.9051383399209498E-3</v>
      </c>
      <c r="O1591" s="115">
        <v>7.9051383399209498E-3</v>
      </c>
      <c r="P1591" s="116" t="s">
        <v>83</v>
      </c>
      <c r="Q1591" s="116" t="s">
        <v>83</v>
      </c>
      <c r="R1591" s="115">
        <v>0</v>
      </c>
      <c r="S1591" s="115">
        <v>1.2345679012345699E-2</v>
      </c>
      <c r="T1591" s="115">
        <v>5.8823529411764696E-3</v>
      </c>
      <c r="U1591" s="115">
        <v>6.8027210884353704E-3</v>
      </c>
      <c r="V1591" s="116" t="s">
        <v>83</v>
      </c>
      <c r="W1591" s="6">
        <v>482</v>
      </c>
      <c r="X1591" s="40">
        <f t="shared" si="106"/>
        <v>482</v>
      </c>
      <c r="Y1591" s="40">
        <f t="shared" si="107"/>
        <v>482</v>
      </c>
      <c r="Z1591" s="59">
        <v>0.53112033195020747</v>
      </c>
      <c r="AA1591" s="59">
        <v>0.46887966804979253</v>
      </c>
      <c r="AB1591" s="61">
        <v>2.0746887966804979E-3</v>
      </c>
      <c r="AC1591" s="61">
        <v>4.1493775933609959E-3</v>
      </c>
      <c r="AD1591" s="61">
        <v>0.93568464730290457</v>
      </c>
      <c r="AE1591" s="61">
        <v>4.3568464730290454E-2</v>
      </c>
      <c r="AF1591" s="61">
        <v>0</v>
      </c>
      <c r="AG1591" s="61">
        <v>1.4522821576763486E-2</v>
      </c>
      <c r="AH1591" s="61">
        <v>0</v>
      </c>
      <c r="AI1591" s="61">
        <v>0.98547717842323657</v>
      </c>
      <c r="AJ1591" s="59">
        <v>1</v>
      </c>
      <c r="AK1591" s="59">
        <v>2.6970954356846474E-2</v>
      </c>
      <c r="AL1591" s="4">
        <v>0</v>
      </c>
      <c r="AM1591" s="4">
        <v>0</v>
      </c>
      <c r="AN1591" s="4">
        <v>27</v>
      </c>
      <c r="AO1591" s="4">
        <v>150</v>
      </c>
      <c r="AP1591" s="4">
        <v>162</v>
      </c>
      <c r="AQ1591" s="4">
        <v>143</v>
      </c>
      <c r="AR1591" s="4">
        <v>0</v>
      </c>
      <c r="AS1591" s="59">
        <v>0.15254237288135594</v>
      </c>
      <c r="AT1591" s="3">
        <v>9</v>
      </c>
      <c r="AU1591" s="3">
        <v>10</v>
      </c>
      <c r="AV1591" s="49">
        <v>32.484076433121004</v>
      </c>
      <c r="AW1591" s="49">
        <v>25.4777070063694</v>
      </c>
      <c r="AX1591" s="49">
        <v>34.394904458598702</v>
      </c>
      <c r="AY1591" s="67">
        <v>7.6433121019108308</v>
      </c>
      <c r="AZ1591" s="63">
        <v>1.7892644135188901E-2</v>
      </c>
      <c r="BA1591" s="63">
        <v>7.1570576540755507E-2</v>
      </c>
      <c r="BB1591" s="79">
        <v>91.8</v>
      </c>
      <c r="BC1591" s="79"/>
      <c r="BD1591" s="79"/>
      <c r="BE1591" s="79"/>
      <c r="BF1591" s="79"/>
      <c r="BG1591" s="79"/>
      <c r="BH1591" s="79"/>
      <c r="BI1591" s="79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29" t="s">
        <v>504</v>
      </c>
      <c r="CJ1591" s="18" t="s">
        <v>548</v>
      </c>
      <c r="CK1591" s="30" t="s">
        <v>525</v>
      </c>
    </row>
    <row r="1592" spans="1:89" x14ac:dyDescent="0.25">
      <c r="A1592" s="18" t="s">
        <v>548</v>
      </c>
      <c r="B1592" s="29" t="s">
        <v>557</v>
      </c>
      <c r="C1592" s="29" t="s">
        <v>503</v>
      </c>
      <c r="D1592" s="6">
        <v>44</v>
      </c>
      <c r="E1592" s="40" t="s">
        <v>83</v>
      </c>
      <c r="F1592" s="6">
        <v>44</v>
      </c>
      <c r="N1592" s="115">
        <v>0.100917431192661</v>
      </c>
      <c r="O1592" s="115">
        <v>0.100917431192661</v>
      </c>
      <c r="P1592" s="116" t="s">
        <v>83</v>
      </c>
      <c r="Q1592" s="116" t="s">
        <v>83</v>
      </c>
      <c r="R1592" s="115">
        <v>4.8780487804878099E-2</v>
      </c>
      <c r="S1592" s="115">
        <v>0.19178082191780799</v>
      </c>
      <c r="T1592" s="115">
        <v>0.08</v>
      </c>
      <c r="U1592" s="115">
        <v>9.7345132743362803E-2</v>
      </c>
      <c r="V1592" s="115">
        <v>8.2568807339449504E-2</v>
      </c>
      <c r="W1592" s="6">
        <v>348</v>
      </c>
      <c r="X1592" s="40">
        <f t="shared" si="106"/>
        <v>348</v>
      </c>
      <c r="Y1592" s="40">
        <f t="shared" si="107"/>
        <v>348</v>
      </c>
      <c r="Z1592" s="59">
        <v>0.46551724137931033</v>
      </c>
      <c r="AA1592" s="59">
        <v>0.53448275862068961</v>
      </c>
      <c r="AB1592" s="61">
        <v>2.8735632183908046E-3</v>
      </c>
      <c r="AC1592" s="61">
        <v>2.8735632183908046E-3</v>
      </c>
      <c r="AD1592" s="61">
        <v>0.70114942528735635</v>
      </c>
      <c r="AE1592" s="61">
        <v>0.2557471264367816</v>
      </c>
      <c r="AF1592" s="61">
        <v>2.8735632183908046E-3</v>
      </c>
      <c r="AG1592" s="61">
        <v>3.4482758620689655E-2</v>
      </c>
      <c r="AH1592" s="61">
        <v>0</v>
      </c>
      <c r="AI1592" s="61">
        <v>0.96551724137931039</v>
      </c>
      <c r="AJ1592" s="59">
        <v>0.91666666666666663</v>
      </c>
      <c r="AK1592" s="59">
        <v>0.2442528735632184</v>
      </c>
      <c r="AL1592" s="4">
        <v>0</v>
      </c>
      <c r="AM1592" s="4">
        <v>0</v>
      </c>
      <c r="AN1592" s="4">
        <v>0</v>
      </c>
      <c r="AO1592" s="4">
        <v>76</v>
      </c>
      <c r="AP1592" s="4">
        <v>80</v>
      </c>
      <c r="AQ1592" s="4">
        <v>91</v>
      </c>
      <c r="AR1592" s="4">
        <v>101</v>
      </c>
      <c r="AS1592" s="59">
        <v>0</v>
      </c>
      <c r="AT1592" s="3">
        <v>9</v>
      </c>
      <c r="AU1592" s="3">
        <v>10</v>
      </c>
      <c r="AV1592" s="49">
        <v>89.634146341463406</v>
      </c>
      <c r="AW1592" s="49">
        <v>7.3170731707317094</v>
      </c>
      <c r="AX1592" s="49">
        <v>1.2195121951219501</v>
      </c>
      <c r="AY1592" s="67">
        <v>1.8292682926829298</v>
      </c>
      <c r="AZ1592" s="63">
        <v>0</v>
      </c>
      <c r="BA1592" s="63">
        <v>0.17266187050359699</v>
      </c>
      <c r="BB1592" s="80">
        <v>88.1</v>
      </c>
      <c r="BC1592" s="80"/>
      <c r="BD1592" s="80"/>
      <c r="BE1592" s="80"/>
      <c r="BF1592" s="80"/>
      <c r="BG1592" s="80"/>
      <c r="BH1592" s="80"/>
      <c r="BI1592" s="80"/>
      <c r="BJ1592" s="3">
        <v>16.3</v>
      </c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29" t="s">
        <v>503</v>
      </c>
      <c r="CJ1592" s="18" t="s">
        <v>548</v>
      </c>
      <c r="CK1592" s="30" t="s">
        <v>527</v>
      </c>
    </row>
    <row r="1593" spans="1:89" x14ac:dyDescent="0.25">
      <c r="A1593" s="18" t="s">
        <v>548</v>
      </c>
      <c r="B1593" s="29" t="s">
        <v>557</v>
      </c>
      <c r="C1593" s="29" t="s">
        <v>463</v>
      </c>
      <c r="D1593" s="6">
        <v>13</v>
      </c>
      <c r="E1593" s="40" t="s">
        <v>83</v>
      </c>
      <c r="F1593" s="6">
        <v>13</v>
      </c>
      <c r="N1593" s="115">
        <v>1.09612141652614E-2</v>
      </c>
      <c r="O1593" s="115">
        <v>1.09612141652614E-2</v>
      </c>
      <c r="P1593" s="116" t="s">
        <v>83</v>
      </c>
      <c r="Q1593" s="116" t="s">
        <v>83</v>
      </c>
      <c r="R1593" s="116" t="s">
        <v>83</v>
      </c>
      <c r="S1593" s="115">
        <v>4.0160642570281103E-3</v>
      </c>
      <c r="T1593" s="115">
        <v>6.5573770491803296E-3</v>
      </c>
      <c r="U1593" s="115">
        <v>9.8684210526315801E-3</v>
      </c>
      <c r="V1593" s="115">
        <v>2.1341463414634099E-2</v>
      </c>
      <c r="W1593" s="6">
        <v>1029</v>
      </c>
      <c r="X1593" s="40">
        <f t="shared" si="106"/>
        <v>1029</v>
      </c>
      <c r="Y1593" s="40">
        <f t="shared" si="107"/>
        <v>1029</v>
      </c>
      <c r="Z1593" s="59">
        <v>0.45675413022351796</v>
      </c>
      <c r="AA1593" s="59">
        <v>0.54324586977648204</v>
      </c>
      <c r="AB1593" s="61">
        <v>0</v>
      </c>
      <c r="AC1593" s="61">
        <v>1.9436345966958211E-3</v>
      </c>
      <c r="AD1593" s="61">
        <v>0.95626822157434399</v>
      </c>
      <c r="AE1593" s="61">
        <v>3.69290573372206E-2</v>
      </c>
      <c r="AF1593" s="61">
        <v>9.7181729834791054E-4</v>
      </c>
      <c r="AG1593" s="61">
        <v>2.9154518950437317E-3</v>
      </c>
      <c r="AH1593" s="61">
        <v>9.7181729834791054E-4</v>
      </c>
      <c r="AI1593" s="61">
        <v>0.99708454810495628</v>
      </c>
      <c r="AJ1593" s="59">
        <v>1</v>
      </c>
      <c r="AK1593" s="59">
        <v>3.8872691933916424E-2</v>
      </c>
      <c r="AL1593" s="4">
        <v>0</v>
      </c>
      <c r="AM1593" s="4">
        <v>0</v>
      </c>
      <c r="AN1593" s="4">
        <v>0</v>
      </c>
      <c r="AO1593" s="4">
        <v>210</v>
      </c>
      <c r="AP1593" s="4">
        <v>259</v>
      </c>
      <c r="AQ1593" s="4">
        <v>261</v>
      </c>
      <c r="AR1593" s="4">
        <v>299</v>
      </c>
      <c r="AS1593" s="59">
        <v>0</v>
      </c>
      <c r="AT1593" s="3">
        <v>9</v>
      </c>
      <c r="AU1593" s="3">
        <v>10</v>
      </c>
      <c r="AV1593" s="49">
        <v>40.720221606648202</v>
      </c>
      <c r="AW1593" s="49">
        <v>16.6204986149584</v>
      </c>
      <c r="AX1593" s="49">
        <v>27.7008310249308</v>
      </c>
      <c r="AY1593" s="67">
        <v>14.9584487534626</v>
      </c>
      <c r="AZ1593" s="63">
        <v>7.6793248945147705E-2</v>
      </c>
      <c r="BA1593" s="63">
        <v>0.24894514767932499</v>
      </c>
      <c r="BB1593" s="79">
        <v>86.5</v>
      </c>
      <c r="BC1593" s="79"/>
      <c r="BD1593" s="79"/>
      <c r="BE1593" s="79"/>
      <c r="BF1593" s="79"/>
      <c r="BG1593" s="79"/>
      <c r="BH1593" s="79"/>
      <c r="BI1593" s="79"/>
      <c r="BJ1593" s="3">
        <v>15.2</v>
      </c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29" t="s">
        <v>463</v>
      </c>
      <c r="CJ1593" s="18" t="s">
        <v>548</v>
      </c>
      <c r="CK1593" s="30" t="s">
        <v>528</v>
      </c>
    </row>
    <row r="1594" spans="1:89" x14ac:dyDescent="0.25">
      <c r="A1594" s="18" t="s">
        <v>548</v>
      </c>
      <c r="B1594" s="29" t="s">
        <v>557</v>
      </c>
      <c r="C1594" s="29" t="s">
        <v>466</v>
      </c>
      <c r="D1594" s="6">
        <v>19</v>
      </c>
      <c r="E1594" s="40" t="s">
        <v>83</v>
      </c>
      <c r="F1594" s="6">
        <v>19</v>
      </c>
      <c r="N1594" s="115">
        <v>3.4990791896869197E-2</v>
      </c>
      <c r="O1594" s="115">
        <v>3.4990791896869197E-2</v>
      </c>
      <c r="P1594" s="116" t="s">
        <v>83</v>
      </c>
      <c r="Q1594" s="116" t="s">
        <v>83</v>
      </c>
      <c r="R1594" s="116" t="s">
        <v>83</v>
      </c>
      <c r="S1594" s="115">
        <v>2.8169014084507001E-2</v>
      </c>
      <c r="T1594" s="115">
        <v>2.2222222222222199E-2</v>
      </c>
      <c r="U1594" s="115">
        <v>7.2992700729927001E-2</v>
      </c>
      <c r="V1594" s="115">
        <v>1.5503875968992199E-2</v>
      </c>
      <c r="W1594" s="6">
        <v>555</v>
      </c>
      <c r="X1594" s="40">
        <f t="shared" si="106"/>
        <v>555</v>
      </c>
      <c r="Y1594" s="40">
        <f t="shared" si="107"/>
        <v>555</v>
      </c>
      <c r="Z1594" s="59">
        <v>0.53693693693693689</v>
      </c>
      <c r="AA1594" s="59">
        <v>0.46306306306306305</v>
      </c>
      <c r="AB1594" s="61">
        <v>1.8018018018018018E-3</v>
      </c>
      <c r="AC1594" s="61">
        <v>1.8018018018018018E-3</v>
      </c>
      <c r="AD1594" s="61">
        <v>0.92792792792792789</v>
      </c>
      <c r="AE1594" s="61">
        <v>5.0450450450450449E-2</v>
      </c>
      <c r="AF1594" s="61">
        <v>1.8018018018018018E-3</v>
      </c>
      <c r="AG1594" s="61">
        <v>1.0810810810810811E-2</v>
      </c>
      <c r="AH1594" s="61">
        <v>5.4054054054054057E-3</v>
      </c>
      <c r="AI1594" s="61">
        <v>0.98918918918918919</v>
      </c>
      <c r="AJ1594" s="59">
        <v>0.99099099099099097</v>
      </c>
      <c r="AK1594" s="59">
        <v>2.8828828828828829E-2</v>
      </c>
      <c r="AL1594" s="4">
        <v>0</v>
      </c>
      <c r="AM1594" s="4">
        <v>0</v>
      </c>
      <c r="AN1594" s="4">
        <v>0</v>
      </c>
      <c r="AO1594" s="4">
        <v>146</v>
      </c>
      <c r="AP1594" s="4">
        <v>140</v>
      </c>
      <c r="AQ1594" s="4">
        <v>134</v>
      </c>
      <c r="AR1594" s="4">
        <v>135</v>
      </c>
      <c r="AS1594" s="59">
        <v>0</v>
      </c>
      <c r="AT1594" s="3">
        <v>9</v>
      </c>
      <c r="AU1594" s="3">
        <v>10</v>
      </c>
      <c r="AV1594" s="49">
        <v>45.023696682464497</v>
      </c>
      <c r="AW1594" s="49">
        <v>27.962085308056899</v>
      </c>
      <c r="AX1594" s="49">
        <v>20.3791469194313</v>
      </c>
      <c r="AY1594" s="67">
        <v>6.6350710900473899</v>
      </c>
      <c r="AZ1594" s="63">
        <v>0</v>
      </c>
      <c r="BA1594" s="63">
        <v>8.4812623274161697E-2</v>
      </c>
      <c r="BB1594" s="80">
        <v>98</v>
      </c>
      <c r="BC1594" s="80"/>
      <c r="BD1594" s="80"/>
      <c r="BE1594" s="80"/>
      <c r="BF1594" s="80"/>
      <c r="BG1594" s="80"/>
      <c r="BH1594" s="80"/>
      <c r="BI1594" s="80"/>
      <c r="BJ1594" s="3">
        <v>16.100000000000001</v>
      </c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29" t="s">
        <v>466</v>
      </c>
      <c r="CJ1594" s="18" t="s">
        <v>548</v>
      </c>
      <c r="CK1594" s="30" t="s">
        <v>529</v>
      </c>
    </row>
    <row r="1595" spans="1:89" x14ac:dyDescent="0.25">
      <c r="A1595" s="18" t="s">
        <v>548</v>
      </c>
      <c r="B1595" s="29" t="s">
        <v>557</v>
      </c>
      <c r="C1595" s="29" t="s">
        <v>530</v>
      </c>
      <c r="D1595" s="6">
        <v>12</v>
      </c>
      <c r="E1595" s="40" t="s">
        <v>83</v>
      </c>
      <c r="F1595" s="6">
        <v>12</v>
      </c>
      <c r="N1595" s="115">
        <v>1.8927444794952699E-2</v>
      </c>
      <c r="O1595" s="115">
        <v>1.8927444794952699E-2</v>
      </c>
      <c r="P1595" s="116" t="s">
        <v>83</v>
      </c>
      <c r="Q1595" s="116" t="s">
        <v>83</v>
      </c>
      <c r="R1595" s="116" t="s">
        <v>83</v>
      </c>
      <c r="S1595" s="115">
        <v>2.3529411764705899E-2</v>
      </c>
      <c r="T1595" s="115">
        <v>6.2500000000000003E-3</v>
      </c>
      <c r="U1595" s="115">
        <v>0</v>
      </c>
      <c r="V1595" s="115">
        <v>5.1470588235294101E-2</v>
      </c>
      <c r="W1595" s="6">
        <v>587</v>
      </c>
      <c r="X1595" s="40">
        <f t="shared" si="106"/>
        <v>587</v>
      </c>
      <c r="Y1595" s="40">
        <f t="shared" si="107"/>
        <v>587</v>
      </c>
      <c r="Z1595" s="59">
        <v>0.50425894378194203</v>
      </c>
      <c r="AA1595" s="59">
        <v>0.49574105621805792</v>
      </c>
      <c r="AB1595" s="61">
        <v>3.4071550255536627E-3</v>
      </c>
      <c r="AC1595" s="61">
        <v>3.4071550255536627E-3</v>
      </c>
      <c r="AD1595" s="61">
        <v>0.92163543441226581</v>
      </c>
      <c r="AE1595" s="61">
        <v>4.2589437819420782E-2</v>
      </c>
      <c r="AF1595" s="61">
        <v>1.7035775127768314E-3</v>
      </c>
      <c r="AG1595" s="61">
        <v>1.3628620102214651E-2</v>
      </c>
      <c r="AH1595" s="61">
        <v>1.3628620102214651E-2</v>
      </c>
      <c r="AI1595" s="61">
        <v>0.98637137989778534</v>
      </c>
      <c r="AJ1595" s="59">
        <v>0.858603066439523</v>
      </c>
      <c r="AK1595" s="59">
        <v>2.8960817717206135E-2</v>
      </c>
      <c r="AL1595" s="4">
        <v>0</v>
      </c>
      <c r="AM1595" s="4">
        <v>0</v>
      </c>
      <c r="AN1595" s="4">
        <v>0</v>
      </c>
      <c r="AO1595" s="4">
        <v>177</v>
      </c>
      <c r="AP1595" s="4">
        <v>156</v>
      </c>
      <c r="AQ1595" s="4">
        <v>127</v>
      </c>
      <c r="AR1595" s="4">
        <v>127</v>
      </c>
      <c r="AS1595" s="59">
        <v>0</v>
      </c>
      <c r="AT1595" s="3">
        <v>9</v>
      </c>
      <c r="AU1595" s="3">
        <v>10</v>
      </c>
      <c r="AV1595" s="49">
        <v>31.122448979591798</v>
      </c>
      <c r="AW1595" s="49">
        <v>28.571428571428598</v>
      </c>
      <c r="AX1595" s="49">
        <v>30.102040816326497</v>
      </c>
      <c r="AY1595" s="67">
        <v>10.2040816326531</v>
      </c>
      <c r="AZ1595" s="63">
        <v>0</v>
      </c>
      <c r="BA1595" s="63">
        <v>7.7654516640253607E-2</v>
      </c>
      <c r="BB1595" s="79">
        <v>83.9</v>
      </c>
      <c r="BC1595" s="79"/>
      <c r="BD1595" s="79"/>
      <c r="BE1595" s="79"/>
      <c r="BF1595" s="79"/>
      <c r="BG1595" s="79"/>
      <c r="BH1595" s="79"/>
      <c r="BI1595" s="79"/>
      <c r="BJ1595" s="3">
        <v>18.100000000000001</v>
      </c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29" t="s">
        <v>530</v>
      </c>
      <c r="CJ1595" s="18" t="s">
        <v>548</v>
      </c>
      <c r="CK1595" s="30" t="s">
        <v>531</v>
      </c>
    </row>
    <row r="1596" spans="1:89" x14ac:dyDescent="0.25">
      <c r="A1596" s="18" t="s">
        <v>548</v>
      </c>
      <c r="B1596" s="29" t="s">
        <v>557</v>
      </c>
      <c r="C1596" s="29" t="s">
        <v>560</v>
      </c>
      <c r="D1596" s="6">
        <v>7</v>
      </c>
      <c r="E1596" s="40" t="s">
        <v>83</v>
      </c>
      <c r="F1596" s="6">
        <v>7</v>
      </c>
      <c r="N1596" s="115">
        <v>1.6548463356973998E-2</v>
      </c>
      <c r="O1596" s="115">
        <v>1.6548463356973998E-2</v>
      </c>
      <c r="P1596" s="116" t="s">
        <v>83</v>
      </c>
      <c r="Q1596" s="116" t="s">
        <v>83</v>
      </c>
      <c r="R1596" s="116" t="s">
        <v>83</v>
      </c>
      <c r="S1596" s="115">
        <v>1.4285714285714299E-2</v>
      </c>
      <c r="T1596" s="115">
        <v>7.3529411764705899E-3</v>
      </c>
      <c r="U1596" s="115">
        <v>3.0769230769230799E-2</v>
      </c>
      <c r="V1596" s="116" t="s">
        <v>83</v>
      </c>
      <c r="W1596" s="6">
        <v>386</v>
      </c>
      <c r="X1596" s="40">
        <f t="shared" si="106"/>
        <v>386</v>
      </c>
      <c r="Y1596" s="40">
        <f t="shared" si="107"/>
        <v>386</v>
      </c>
      <c r="Z1596" s="59">
        <v>0.47150259067357514</v>
      </c>
      <c r="AA1596" s="59">
        <v>0.52849740932642486</v>
      </c>
      <c r="AB1596" s="61">
        <v>0</v>
      </c>
      <c r="AC1596" s="61">
        <v>0</v>
      </c>
      <c r="AD1596" s="61">
        <v>0.92487046632124348</v>
      </c>
      <c r="AE1596" s="61">
        <v>6.7357512953367879E-2</v>
      </c>
      <c r="AF1596" s="61">
        <v>0</v>
      </c>
      <c r="AG1596" s="61">
        <v>2.5906735751295338E-3</v>
      </c>
      <c r="AH1596" s="61">
        <v>5.1813471502590676E-3</v>
      </c>
      <c r="AI1596" s="61">
        <v>0.99740932642487046</v>
      </c>
      <c r="AJ1596" s="59">
        <v>0.90673575129533679</v>
      </c>
      <c r="AK1596" s="59">
        <v>4.145077720207254E-2</v>
      </c>
      <c r="AL1596" s="4">
        <v>0</v>
      </c>
      <c r="AM1596" s="4">
        <v>0</v>
      </c>
      <c r="AN1596" s="4">
        <v>0</v>
      </c>
      <c r="AO1596" s="4">
        <v>147</v>
      </c>
      <c r="AP1596" s="4">
        <v>118</v>
      </c>
      <c r="AQ1596" s="4">
        <v>121</v>
      </c>
      <c r="AR1596" s="4">
        <v>0</v>
      </c>
      <c r="AS1596" s="59">
        <v>0</v>
      </c>
      <c r="AT1596" s="3">
        <v>9</v>
      </c>
      <c r="AU1596" s="3">
        <v>10</v>
      </c>
      <c r="AV1596" s="49">
        <v>33.064516129032299</v>
      </c>
      <c r="AW1596" s="49">
        <v>32.258064516128997</v>
      </c>
      <c r="AX1596" s="49">
        <v>32.258064516128997</v>
      </c>
      <c r="AY1596" s="67">
        <v>2.4193548387096802</v>
      </c>
      <c r="AZ1596" s="63">
        <v>2.3809523809523799E-3</v>
      </c>
      <c r="BA1596" s="63">
        <v>0.13095238095238099</v>
      </c>
      <c r="BB1596" s="80">
        <v>89.9</v>
      </c>
      <c r="BC1596" s="80"/>
      <c r="BD1596" s="80"/>
      <c r="BE1596" s="80"/>
      <c r="BF1596" s="80"/>
      <c r="BG1596" s="80"/>
      <c r="BH1596" s="80"/>
      <c r="BI1596" s="80"/>
      <c r="BJ1596" s="80"/>
      <c r="BK1596" s="80"/>
      <c r="BL1596" s="80"/>
      <c r="BM1596" s="80"/>
      <c r="BN1596" s="80"/>
      <c r="BO1596" s="80"/>
      <c r="BP1596" s="80"/>
      <c r="BQ1596" s="80"/>
      <c r="BR1596" s="80"/>
      <c r="BS1596" s="80"/>
      <c r="BT1596" s="80"/>
      <c r="BU1596" s="80"/>
      <c r="BV1596" s="80"/>
      <c r="BW1596" s="80"/>
      <c r="BX1596" s="80"/>
      <c r="BY1596" s="80"/>
      <c r="BZ1596" s="80"/>
      <c r="CA1596" s="80"/>
      <c r="CB1596" s="80"/>
      <c r="CC1596" s="80"/>
      <c r="CD1596" s="80"/>
      <c r="CE1596" s="80"/>
      <c r="CF1596" s="80"/>
      <c r="CG1596" s="80"/>
      <c r="CH1596" s="80"/>
      <c r="CI1596" s="29" t="s">
        <v>560</v>
      </c>
      <c r="CJ1596" s="18" t="s">
        <v>548</v>
      </c>
      <c r="CK1596" s="30" t="s">
        <v>531</v>
      </c>
    </row>
    <row r="1597" spans="1:89" x14ac:dyDescent="0.25">
      <c r="A1597" s="18" t="s">
        <v>548</v>
      </c>
      <c r="B1597" s="29" t="s">
        <v>557</v>
      </c>
      <c r="C1597" s="29" t="s">
        <v>470</v>
      </c>
      <c r="D1597" s="6">
        <v>6</v>
      </c>
      <c r="E1597" s="40" t="s">
        <v>83</v>
      </c>
      <c r="F1597" s="6">
        <v>6</v>
      </c>
      <c r="N1597" s="115">
        <v>0.12765957446808501</v>
      </c>
      <c r="O1597" s="115">
        <v>0.12765957446808501</v>
      </c>
      <c r="P1597" s="116" t="s">
        <v>83</v>
      </c>
      <c r="Q1597" s="116" t="s">
        <v>83</v>
      </c>
      <c r="R1597" s="116" t="s">
        <v>83</v>
      </c>
      <c r="S1597" s="116" t="s">
        <v>83</v>
      </c>
      <c r="T1597" s="116" t="s">
        <v>83</v>
      </c>
      <c r="U1597" s="115">
        <v>1</v>
      </c>
      <c r="V1597" s="115">
        <v>8.8888888888888906E-2</v>
      </c>
      <c r="W1597" s="6">
        <v>43</v>
      </c>
      <c r="X1597" s="40">
        <f t="shared" si="106"/>
        <v>43</v>
      </c>
      <c r="Y1597" s="40">
        <f t="shared" si="107"/>
        <v>43</v>
      </c>
      <c r="Z1597" s="59">
        <v>0.44186046511627908</v>
      </c>
      <c r="AA1597" s="59">
        <v>0.55813953488372092</v>
      </c>
      <c r="AB1597" s="61">
        <v>0</v>
      </c>
      <c r="AC1597" s="61">
        <v>0</v>
      </c>
      <c r="AD1597" s="61">
        <v>0.95348837209302328</v>
      </c>
      <c r="AE1597" s="61">
        <v>4.6511627906976744E-2</v>
      </c>
      <c r="AF1597" s="61">
        <v>0</v>
      </c>
      <c r="AG1597" s="61">
        <v>0</v>
      </c>
      <c r="AH1597" s="61">
        <v>0</v>
      </c>
      <c r="AI1597" s="61">
        <v>1</v>
      </c>
      <c r="AJ1597" s="59">
        <v>0.81395348837209303</v>
      </c>
      <c r="AK1597" s="59">
        <v>2.3255813953488372E-2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1</v>
      </c>
      <c r="AR1597" s="4">
        <v>42</v>
      </c>
      <c r="AS1597" s="59" t="s">
        <v>83</v>
      </c>
      <c r="AT1597" s="3">
        <v>11</v>
      </c>
      <c r="AU1597" s="3">
        <v>10</v>
      </c>
      <c r="AV1597" s="49">
        <v>86.956521739130395</v>
      </c>
      <c r="AW1597" s="49">
        <v>13.043478260869602</v>
      </c>
      <c r="AX1597" s="49">
        <v>0</v>
      </c>
      <c r="AY1597" s="67">
        <v>0</v>
      </c>
      <c r="AZ1597" s="63">
        <v>0.34883720930232598</v>
      </c>
      <c r="BA1597" s="63">
        <v>0.25581395348837199</v>
      </c>
      <c r="BB1597" s="79">
        <v>93.4</v>
      </c>
      <c r="BC1597" s="79"/>
      <c r="BD1597" s="79"/>
      <c r="BE1597" s="79"/>
      <c r="BF1597" s="79"/>
      <c r="BG1597" s="79"/>
      <c r="BH1597" s="79"/>
      <c r="BI1597" s="79"/>
      <c r="BJ1597" s="3">
        <v>15.1</v>
      </c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29" t="s">
        <v>470</v>
      </c>
      <c r="CJ1597" s="18" t="s">
        <v>548</v>
      </c>
      <c r="CK1597" s="30" t="s">
        <v>533</v>
      </c>
    </row>
    <row r="1598" spans="1:89" x14ac:dyDescent="0.25">
      <c r="A1598" s="18" t="s">
        <v>548</v>
      </c>
      <c r="B1598" s="29" t="s">
        <v>561</v>
      </c>
      <c r="C1598" s="29" t="s">
        <v>478</v>
      </c>
      <c r="D1598" s="6">
        <v>33</v>
      </c>
      <c r="E1598" s="40" t="s">
        <v>83</v>
      </c>
      <c r="F1598" s="6">
        <v>33</v>
      </c>
      <c r="N1598" s="115">
        <v>7.2687224669603506E-2</v>
      </c>
      <c r="O1598" s="115">
        <v>7.2687224669603506E-2</v>
      </c>
      <c r="P1598" s="116" t="s">
        <v>83</v>
      </c>
      <c r="Q1598" s="116" t="s">
        <v>83</v>
      </c>
      <c r="R1598" s="115">
        <v>7.69230769230769E-2</v>
      </c>
      <c r="S1598" s="115">
        <v>0</v>
      </c>
      <c r="T1598" s="115">
        <v>5.0724637681159403E-2</v>
      </c>
      <c r="U1598" s="115">
        <v>0.108108108108108</v>
      </c>
      <c r="V1598" s="115">
        <v>0.12745098039215699</v>
      </c>
      <c r="W1598" s="6">
        <v>368</v>
      </c>
      <c r="X1598" s="40">
        <f t="shared" si="106"/>
        <v>368</v>
      </c>
      <c r="Y1598" s="40">
        <f t="shared" si="107"/>
        <v>368</v>
      </c>
      <c r="Z1598" s="59">
        <v>0.5</v>
      </c>
      <c r="AA1598" s="59">
        <v>0.5</v>
      </c>
      <c r="AB1598" s="61">
        <v>0</v>
      </c>
      <c r="AC1598" s="61">
        <v>0</v>
      </c>
      <c r="AD1598" s="61">
        <v>0.98913043478260865</v>
      </c>
      <c r="AE1598" s="61">
        <v>5.434782608695652E-3</v>
      </c>
      <c r="AF1598" s="61">
        <v>0</v>
      </c>
      <c r="AG1598" s="61">
        <v>2.717391304347826E-3</v>
      </c>
      <c r="AH1598" s="61">
        <v>2.717391304347826E-3</v>
      </c>
      <c r="AI1598" s="61">
        <v>0.99728260869565222</v>
      </c>
      <c r="AJ1598" s="59">
        <v>0.95923913043478259</v>
      </c>
      <c r="AK1598" s="59">
        <v>0</v>
      </c>
      <c r="AL1598" s="4">
        <v>0</v>
      </c>
      <c r="AM1598" s="4">
        <v>0</v>
      </c>
      <c r="AN1598" s="4">
        <v>11</v>
      </c>
      <c r="AO1598" s="4">
        <v>61</v>
      </c>
      <c r="AP1598" s="4">
        <v>116</v>
      </c>
      <c r="AQ1598" s="4">
        <v>95</v>
      </c>
      <c r="AR1598" s="4">
        <v>85</v>
      </c>
      <c r="AS1598" s="59">
        <v>0.15277777777777779</v>
      </c>
      <c r="AT1598" s="3">
        <v>9</v>
      </c>
      <c r="AU1598" s="3">
        <v>5</v>
      </c>
      <c r="AV1598" s="49">
        <v>36.842105263157897</v>
      </c>
      <c r="AW1598" s="49">
        <v>44.7368421052632</v>
      </c>
      <c r="AX1598" s="49">
        <v>18.421052631578899</v>
      </c>
      <c r="AY1598" s="67">
        <v>0</v>
      </c>
      <c r="AZ1598" s="63">
        <v>2.26244343891403E-3</v>
      </c>
      <c r="BA1598" s="63">
        <v>0.361990950226244</v>
      </c>
      <c r="BB1598" s="80">
        <v>73.599999999999994</v>
      </c>
      <c r="BC1598" s="80"/>
      <c r="BD1598" s="80"/>
      <c r="BE1598" s="80"/>
      <c r="BF1598" s="80"/>
      <c r="BG1598" s="80"/>
      <c r="BH1598" s="80"/>
      <c r="BI1598" s="80"/>
      <c r="BJ1598" s="3">
        <v>14.3</v>
      </c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29" t="s">
        <v>478</v>
      </c>
      <c r="CJ1598" s="18" t="s">
        <v>548</v>
      </c>
      <c r="CK1598" s="30" t="s">
        <v>535</v>
      </c>
    </row>
    <row r="1599" spans="1:89" x14ac:dyDescent="0.25">
      <c r="A1599" s="18" t="s">
        <v>548</v>
      </c>
      <c r="B1599" s="29" t="s">
        <v>557</v>
      </c>
      <c r="C1599" s="29" t="s">
        <v>461</v>
      </c>
      <c r="D1599" s="6">
        <v>29</v>
      </c>
      <c r="E1599" s="6">
        <v>1</v>
      </c>
      <c r="F1599" s="6">
        <v>28</v>
      </c>
      <c r="N1599" s="115">
        <v>4.8252911813643898E-2</v>
      </c>
      <c r="O1599" s="115">
        <v>5.7851239669421503E-2</v>
      </c>
      <c r="P1599" s="115">
        <v>0</v>
      </c>
      <c r="Q1599" s="115">
        <v>1.7543859649122799E-2</v>
      </c>
      <c r="R1599" s="116" t="s">
        <v>83</v>
      </c>
      <c r="S1599" s="115">
        <v>6.5934065934065894E-2</v>
      </c>
      <c r="T1599" s="115">
        <v>4.7619047619047603E-2</v>
      </c>
      <c r="U1599" s="115">
        <v>8.7248322147651006E-2</v>
      </c>
      <c r="V1599" s="115">
        <v>2.5423728813559299E-2</v>
      </c>
      <c r="W1599" s="6">
        <v>1023</v>
      </c>
      <c r="X1599" s="40">
        <f t="shared" si="106"/>
        <v>415</v>
      </c>
      <c r="Y1599" s="40">
        <f t="shared" si="107"/>
        <v>524</v>
      </c>
      <c r="Z1599" s="59">
        <v>0.51906158357771259</v>
      </c>
      <c r="AA1599" s="59">
        <v>0.48093841642228741</v>
      </c>
      <c r="AB1599" s="61">
        <v>9.7751710654936461E-4</v>
      </c>
      <c r="AC1599" s="61">
        <v>0</v>
      </c>
      <c r="AD1599" s="61">
        <v>0.978494623655914</v>
      </c>
      <c r="AE1599" s="61">
        <v>1.5640273704789834E-2</v>
      </c>
      <c r="AF1599" s="61">
        <v>0</v>
      </c>
      <c r="AG1599" s="61">
        <v>2.9325513196480938E-3</v>
      </c>
      <c r="AH1599" s="61">
        <v>1.9550342130987292E-3</v>
      </c>
      <c r="AI1599" s="61">
        <v>0.99706744868035191</v>
      </c>
      <c r="AJ1599" s="59">
        <v>0.93646138807429125</v>
      </c>
      <c r="AK1599" s="59">
        <v>2.9325513196480938E-3</v>
      </c>
      <c r="AL1599" s="4">
        <v>56</v>
      </c>
      <c r="AM1599" s="4">
        <v>53</v>
      </c>
      <c r="AN1599" s="4">
        <v>0</v>
      </c>
      <c r="AO1599" s="4">
        <v>65</v>
      </c>
      <c r="AP1599" s="4">
        <v>108</v>
      </c>
      <c r="AQ1599" s="4">
        <v>142</v>
      </c>
      <c r="AR1599" s="4">
        <v>100</v>
      </c>
      <c r="AS1599" s="59">
        <v>0</v>
      </c>
      <c r="AT1599" s="3">
        <v>1</v>
      </c>
      <c r="AU1599" s="3">
        <v>10</v>
      </c>
      <c r="AV1599" s="49">
        <v>61.5131578947368</v>
      </c>
      <c r="AW1599" s="49">
        <v>26.644736842105299</v>
      </c>
      <c r="AX1599" s="49">
        <v>10.526315789473701</v>
      </c>
      <c r="AY1599" s="67">
        <v>1.31578947368421</v>
      </c>
      <c r="AZ1599" s="63">
        <v>8.8573959255978702E-4</v>
      </c>
      <c r="BA1599" s="63">
        <v>0.162090345438441</v>
      </c>
      <c r="BB1599" s="80">
        <v>92.6</v>
      </c>
      <c r="BC1599" s="80"/>
      <c r="BD1599" s="80"/>
      <c r="BE1599" s="80"/>
      <c r="BF1599" s="80"/>
      <c r="BG1599" s="80"/>
      <c r="BH1599" s="80"/>
      <c r="BI1599" s="80"/>
      <c r="BJ1599" s="3">
        <v>15.5</v>
      </c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29" t="s">
        <v>461</v>
      </c>
      <c r="CJ1599" s="18" t="s">
        <v>548</v>
      </c>
      <c r="CK1599" s="30" t="s">
        <v>538</v>
      </c>
    </row>
    <row r="1600" spans="1:89" x14ac:dyDescent="0.25">
      <c r="A1600" s="18" t="s">
        <v>548</v>
      </c>
      <c r="B1600" s="29" t="s">
        <v>559</v>
      </c>
      <c r="C1600" s="29" t="s">
        <v>500</v>
      </c>
      <c r="D1600" s="6">
        <v>5</v>
      </c>
      <c r="E1600" s="6">
        <v>0</v>
      </c>
      <c r="F1600" s="6">
        <v>5</v>
      </c>
      <c r="N1600" s="115">
        <v>1.9607843137254902E-2</v>
      </c>
      <c r="O1600" s="115">
        <v>2.9940119760479E-2</v>
      </c>
      <c r="P1600" s="115">
        <v>0</v>
      </c>
      <c r="Q1600" s="115">
        <v>0</v>
      </c>
      <c r="R1600" s="115">
        <v>0</v>
      </c>
      <c r="S1600" s="115">
        <v>5.7692307692307702E-2</v>
      </c>
      <c r="T1600" s="115">
        <v>2.6315789473684199E-2</v>
      </c>
      <c r="U1600" s="115">
        <v>0</v>
      </c>
      <c r="V1600" s="115">
        <v>2.5641025641025599E-2</v>
      </c>
      <c r="W1600" s="6">
        <v>456</v>
      </c>
      <c r="X1600" s="40">
        <f t="shared" si="106"/>
        <v>154</v>
      </c>
      <c r="Y1600" s="40">
        <f t="shared" si="107"/>
        <v>227</v>
      </c>
      <c r="Z1600" s="59">
        <v>0.47807017543859648</v>
      </c>
      <c r="AA1600" s="59">
        <v>0.52192982456140347</v>
      </c>
      <c r="AB1600" s="61">
        <v>4.3859649122807015E-3</v>
      </c>
      <c r="AC1600" s="61">
        <v>0</v>
      </c>
      <c r="AD1600" s="61">
        <v>0.80701754385964908</v>
      </c>
      <c r="AE1600" s="61">
        <v>3.7280701754385963E-2</v>
      </c>
      <c r="AF1600" s="61">
        <v>0</v>
      </c>
      <c r="AG1600" s="61">
        <v>8.1140350877192985E-2</v>
      </c>
      <c r="AH1600" s="61">
        <v>7.0175438596491224E-2</v>
      </c>
      <c r="AI1600" s="61">
        <v>0.91885964912280704</v>
      </c>
      <c r="AJ1600" s="59">
        <v>0.81578947368421051</v>
      </c>
      <c r="AK1600" s="59">
        <v>8.771929824561403E-3</v>
      </c>
      <c r="AL1600" s="4">
        <v>37</v>
      </c>
      <c r="AM1600" s="4">
        <v>36</v>
      </c>
      <c r="AN1600" s="4">
        <v>2</v>
      </c>
      <c r="AO1600" s="4">
        <v>48</v>
      </c>
      <c r="AP1600" s="4">
        <v>33</v>
      </c>
      <c r="AQ1600" s="4">
        <v>32</v>
      </c>
      <c r="AR1600" s="4">
        <v>39</v>
      </c>
      <c r="AS1600" s="59">
        <v>0.04</v>
      </c>
      <c r="AT1600" s="3">
        <v>1</v>
      </c>
      <c r="AU1600" s="3">
        <v>2</v>
      </c>
      <c r="AV1600" s="49">
        <v>87.096774193548399</v>
      </c>
      <c r="AW1600" s="49">
        <v>12.4423963133641</v>
      </c>
      <c r="AX1600" s="49">
        <v>0.46082949308755805</v>
      </c>
      <c r="AY1600" s="67">
        <v>0</v>
      </c>
      <c r="AZ1600" s="63">
        <v>3.1936127744511003E-2</v>
      </c>
      <c r="BA1600" s="63">
        <v>0.13173652694610799</v>
      </c>
      <c r="BB1600" s="79">
        <v>94.4</v>
      </c>
      <c r="BC1600" s="79"/>
      <c r="BD1600" s="79"/>
      <c r="BE1600" s="79"/>
      <c r="BF1600" s="79"/>
      <c r="BG1600" s="79"/>
      <c r="BH1600" s="79"/>
      <c r="BI1600" s="79"/>
      <c r="BJ1600" s="3">
        <v>16.399999999999999</v>
      </c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29" t="s">
        <v>500</v>
      </c>
      <c r="CJ1600" s="18" t="s">
        <v>548</v>
      </c>
      <c r="CK1600" s="30" t="s">
        <v>539</v>
      </c>
    </row>
    <row r="1601" spans="1:99" x14ac:dyDescent="0.25">
      <c r="A1601" s="18" t="s">
        <v>548</v>
      </c>
      <c r="B1601" s="29" t="s">
        <v>559</v>
      </c>
      <c r="C1601" s="29" t="s">
        <v>501</v>
      </c>
      <c r="D1601" s="6">
        <v>1</v>
      </c>
      <c r="E1601" s="6">
        <v>0</v>
      </c>
      <c r="F1601" s="6">
        <v>1</v>
      </c>
      <c r="N1601" s="115">
        <v>4.6296296296296302E-3</v>
      </c>
      <c r="O1601" s="115">
        <v>7.1942446043165497E-3</v>
      </c>
      <c r="P1601" s="115">
        <v>0</v>
      </c>
      <c r="Q1601" s="115">
        <v>0</v>
      </c>
      <c r="R1601" s="116" t="s">
        <v>83</v>
      </c>
      <c r="S1601" s="115">
        <v>2.8571428571428598E-2</v>
      </c>
      <c r="T1601" s="115">
        <v>0</v>
      </c>
      <c r="U1601" s="115">
        <v>0</v>
      </c>
      <c r="V1601" s="115">
        <v>0</v>
      </c>
      <c r="W1601" s="6">
        <v>485</v>
      </c>
      <c r="X1601" s="40">
        <f t="shared" si="106"/>
        <v>137</v>
      </c>
      <c r="Y1601" s="40">
        <f t="shared" si="107"/>
        <v>214</v>
      </c>
      <c r="Z1601" s="59">
        <v>0.48659793814432989</v>
      </c>
      <c r="AA1601" s="59">
        <v>0.51340206185567006</v>
      </c>
      <c r="AB1601" s="61">
        <v>4.1237113402061857E-3</v>
      </c>
      <c r="AC1601" s="61">
        <v>0</v>
      </c>
      <c r="AD1601" s="61">
        <v>0.28659793814432988</v>
      </c>
      <c r="AE1601" s="61">
        <v>1.2371134020618556E-2</v>
      </c>
      <c r="AF1601" s="61">
        <v>0</v>
      </c>
      <c r="AG1601" s="61">
        <v>0.6865979381443299</v>
      </c>
      <c r="AH1601" s="61">
        <v>1.0309278350515464E-2</v>
      </c>
      <c r="AI1601" s="61">
        <v>0.3134020618556701</v>
      </c>
      <c r="AJ1601" s="59">
        <v>0.57525773195876284</v>
      </c>
      <c r="AK1601" s="59">
        <v>0</v>
      </c>
      <c r="AL1601" s="4">
        <v>36</v>
      </c>
      <c r="AM1601" s="4">
        <v>41</v>
      </c>
      <c r="AN1601" s="4">
        <v>0</v>
      </c>
      <c r="AO1601" s="4">
        <v>33</v>
      </c>
      <c r="AP1601" s="4">
        <v>32</v>
      </c>
      <c r="AQ1601" s="4">
        <v>44</v>
      </c>
      <c r="AR1601" s="4">
        <v>28</v>
      </c>
      <c r="AS1601" s="59">
        <v>0</v>
      </c>
      <c r="AT1601" s="3">
        <v>1</v>
      </c>
      <c r="AU1601" s="3">
        <v>2</v>
      </c>
      <c r="AV1601" s="49">
        <v>73.762376237623798</v>
      </c>
      <c r="AW1601" s="49">
        <v>18.8118811881188</v>
      </c>
      <c r="AX1601" s="49">
        <v>4.4554455445544603</v>
      </c>
      <c r="AY1601" s="67">
        <v>2.9702970297029703</v>
      </c>
      <c r="AZ1601" s="63">
        <v>4.6370967741935498E-2</v>
      </c>
      <c r="BA1601" s="63">
        <v>6.25E-2</v>
      </c>
      <c r="BB1601" s="80">
        <v>94.6</v>
      </c>
      <c r="BC1601" s="80"/>
      <c r="BD1601" s="80"/>
      <c r="BE1601" s="80"/>
      <c r="BF1601" s="80"/>
      <c r="BG1601" s="80"/>
      <c r="BH1601" s="80"/>
      <c r="BI1601" s="80"/>
      <c r="BJ1601" s="3">
        <v>21.5</v>
      </c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29" t="s">
        <v>501</v>
      </c>
      <c r="CJ1601" s="18" t="s">
        <v>548</v>
      </c>
      <c r="CK1601" s="30" t="s">
        <v>540</v>
      </c>
    </row>
    <row r="1602" spans="1:99" x14ac:dyDescent="0.25">
      <c r="A1602" s="18" t="s">
        <v>548</v>
      </c>
      <c r="B1602" s="29" t="s">
        <v>559</v>
      </c>
      <c r="C1602" s="29" t="s">
        <v>440</v>
      </c>
      <c r="D1602" s="6">
        <v>14</v>
      </c>
      <c r="E1602" s="40" t="s">
        <v>83</v>
      </c>
      <c r="F1602" s="6">
        <v>14</v>
      </c>
      <c r="N1602" s="115">
        <v>2.8056112224448902E-2</v>
      </c>
      <c r="O1602" s="115">
        <v>2.8056112224448902E-2</v>
      </c>
      <c r="P1602" s="116" t="s">
        <v>83</v>
      </c>
      <c r="Q1602" s="116" t="s">
        <v>83</v>
      </c>
      <c r="R1602" s="115">
        <v>0</v>
      </c>
      <c r="S1602" s="115">
        <v>7.5757575757575803E-3</v>
      </c>
      <c r="T1602" s="115">
        <v>5.1094890510948898E-2</v>
      </c>
      <c r="U1602" s="115">
        <v>2.4390243902439001E-2</v>
      </c>
      <c r="V1602" s="115">
        <v>2.80373831775701E-2</v>
      </c>
      <c r="W1602" s="6">
        <v>455</v>
      </c>
      <c r="X1602" s="40">
        <f t="shared" si="106"/>
        <v>455</v>
      </c>
      <c r="Y1602" s="40">
        <f t="shared" si="107"/>
        <v>455</v>
      </c>
      <c r="Z1602" s="59">
        <v>0.49890109890109891</v>
      </c>
      <c r="AA1602" s="59">
        <v>0.50109890109890109</v>
      </c>
      <c r="AB1602" s="61">
        <v>0</v>
      </c>
      <c r="AC1602" s="61">
        <v>2.4175824175824177E-2</v>
      </c>
      <c r="AD1602" s="61">
        <v>0.84615384615384615</v>
      </c>
      <c r="AE1602" s="61">
        <v>3.9560439560439559E-2</v>
      </c>
      <c r="AF1602" s="61">
        <v>1.9780219780219779E-2</v>
      </c>
      <c r="AG1602" s="61">
        <v>7.032967032967033E-2</v>
      </c>
      <c r="AH1602" s="61">
        <v>0</v>
      </c>
      <c r="AI1602" s="61">
        <v>0.9296703296703297</v>
      </c>
      <c r="AJ1602" s="59">
        <v>0.71868131868131868</v>
      </c>
      <c r="AK1602" s="59">
        <v>3.2967032967032968E-2</v>
      </c>
      <c r="AL1602" s="4">
        <v>0</v>
      </c>
      <c r="AM1602" s="4">
        <v>0</v>
      </c>
      <c r="AN1602" s="4">
        <v>38</v>
      </c>
      <c r="AO1602" s="4">
        <v>88</v>
      </c>
      <c r="AP1602" s="4">
        <v>122</v>
      </c>
      <c r="AQ1602" s="4">
        <v>110</v>
      </c>
      <c r="AR1602" s="4">
        <v>97</v>
      </c>
      <c r="AS1602" s="59">
        <v>0.30158730158730157</v>
      </c>
      <c r="AT1602" s="3">
        <v>9</v>
      </c>
      <c r="AU1602" s="3">
        <v>2</v>
      </c>
      <c r="AV1602" s="49">
        <v>66.517857142857096</v>
      </c>
      <c r="AW1602" s="49">
        <v>19.196428571428601</v>
      </c>
      <c r="AX1602" s="49">
        <v>12.9464285714286</v>
      </c>
      <c r="AY1602" s="67">
        <v>1.33928571428571</v>
      </c>
      <c r="AZ1602" s="63">
        <v>4.2944785276073601E-2</v>
      </c>
      <c r="BA1602" s="63">
        <v>0.24948875255623701</v>
      </c>
      <c r="BB1602" s="79">
        <v>92.2</v>
      </c>
      <c r="BC1602" s="79"/>
      <c r="BD1602" s="79"/>
      <c r="BE1602" s="79"/>
      <c r="BF1602" s="79"/>
      <c r="BG1602" s="79"/>
      <c r="BH1602" s="79"/>
      <c r="BI1602" s="79"/>
      <c r="BJ1602" s="3">
        <v>16.3</v>
      </c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29" t="s">
        <v>440</v>
      </c>
      <c r="CJ1602" s="18" t="s">
        <v>548</v>
      </c>
      <c r="CK1602" s="30" t="s">
        <v>541</v>
      </c>
    </row>
    <row r="1603" spans="1:99" x14ac:dyDescent="0.25">
      <c r="A1603" s="18" t="s">
        <v>548</v>
      </c>
      <c r="B1603" s="29" t="s">
        <v>559</v>
      </c>
      <c r="C1603" s="29" t="s">
        <v>476</v>
      </c>
      <c r="D1603" s="6">
        <v>0</v>
      </c>
      <c r="E1603" s="6">
        <v>0</v>
      </c>
      <c r="F1603" s="6">
        <v>0</v>
      </c>
      <c r="N1603" s="115">
        <v>0</v>
      </c>
      <c r="O1603" s="115">
        <v>0</v>
      </c>
      <c r="P1603" s="115">
        <v>0</v>
      </c>
      <c r="Q1603" s="115">
        <v>0</v>
      </c>
      <c r="R1603" s="116" t="s">
        <v>83</v>
      </c>
      <c r="S1603" s="115">
        <v>0</v>
      </c>
      <c r="T1603" s="115">
        <v>0</v>
      </c>
      <c r="U1603" s="115">
        <v>0</v>
      </c>
      <c r="V1603" s="115">
        <v>0</v>
      </c>
      <c r="W1603" s="6">
        <v>181</v>
      </c>
      <c r="X1603" s="40">
        <f t="shared" si="106"/>
        <v>45</v>
      </c>
      <c r="Y1603" s="40">
        <f t="shared" si="107"/>
        <v>81</v>
      </c>
      <c r="Z1603" s="59">
        <v>0.50828729281767959</v>
      </c>
      <c r="AA1603" s="59">
        <v>0.49171270718232046</v>
      </c>
      <c r="AB1603" s="61">
        <v>0</v>
      </c>
      <c r="AC1603" s="61">
        <v>0</v>
      </c>
      <c r="AD1603" s="61">
        <v>0.53038674033149169</v>
      </c>
      <c r="AE1603" s="61">
        <v>3.8674033149171269E-2</v>
      </c>
      <c r="AF1603" s="61">
        <v>0</v>
      </c>
      <c r="AG1603" s="61">
        <v>0.425414364640884</v>
      </c>
      <c r="AH1603" s="61">
        <v>5.5248618784530384E-3</v>
      </c>
      <c r="AI1603" s="61">
        <v>0.574585635359116</v>
      </c>
      <c r="AJ1603" s="59">
        <v>0.82872928176795579</v>
      </c>
      <c r="AK1603" s="59">
        <v>0</v>
      </c>
      <c r="AL1603" s="4">
        <v>21</v>
      </c>
      <c r="AM1603" s="4">
        <v>15</v>
      </c>
      <c r="AN1603" s="4">
        <v>0</v>
      </c>
      <c r="AO1603" s="4">
        <v>11</v>
      </c>
      <c r="AP1603" s="4">
        <v>11</v>
      </c>
      <c r="AQ1603" s="4">
        <v>11</v>
      </c>
      <c r="AR1603" s="4">
        <v>12</v>
      </c>
      <c r="AS1603" s="59">
        <v>0</v>
      </c>
      <c r="AT1603" s="3">
        <v>1</v>
      </c>
      <c r="AU1603" s="3">
        <v>2</v>
      </c>
      <c r="AV1603" s="49">
        <v>99.099099099099092</v>
      </c>
      <c r="AW1603" s="49">
        <v>0.90090090090090102</v>
      </c>
      <c r="AX1603" s="49">
        <v>0</v>
      </c>
      <c r="AY1603" s="67">
        <v>0</v>
      </c>
      <c r="AZ1603" s="63">
        <v>2.5252525252525301E-2</v>
      </c>
      <c r="BA1603" s="63">
        <v>4.5454545454545497E-2</v>
      </c>
      <c r="BB1603" s="80">
        <v>95.5</v>
      </c>
      <c r="BC1603" s="80"/>
      <c r="BD1603" s="80"/>
      <c r="BE1603" s="80"/>
      <c r="BF1603" s="80"/>
      <c r="BG1603" s="80"/>
      <c r="BH1603" s="80"/>
      <c r="BI1603" s="80"/>
      <c r="BJ1603" s="3">
        <v>18</v>
      </c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29" t="s">
        <v>476</v>
      </c>
      <c r="CJ1603" s="18" t="s">
        <v>548</v>
      </c>
      <c r="CK1603" s="30" t="s">
        <v>475</v>
      </c>
    </row>
    <row r="1604" spans="1:99" x14ac:dyDescent="0.25">
      <c r="A1604" s="18" t="s">
        <v>548</v>
      </c>
      <c r="B1604" s="29" t="s">
        <v>559</v>
      </c>
      <c r="C1604" s="29" t="s">
        <v>451</v>
      </c>
      <c r="D1604" s="6">
        <v>2</v>
      </c>
      <c r="E1604" s="6">
        <v>2</v>
      </c>
      <c r="F1604" s="6">
        <v>0</v>
      </c>
      <c r="N1604" s="115">
        <v>8.9285714285714298E-3</v>
      </c>
      <c r="O1604" s="115">
        <v>0</v>
      </c>
      <c r="P1604" s="115">
        <v>2.4390243902439001E-2</v>
      </c>
      <c r="Q1604" s="115">
        <v>2.1739130434782601E-2</v>
      </c>
      <c r="R1604" s="115">
        <v>0</v>
      </c>
      <c r="S1604" s="115">
        <v>0</v>
      </c>
      <c r="T1604" s="115">
        <v>0</v>
      </c>
      <c r="U1604" s="115">
        <v>0</v>
      </c>
      <c r="V1604" s="115">
        <v>0</v>
      </c>
      <c r="W1604" s="6">
        <v>232</v>
      </c>
      <c r="X1604" s="40">
        <f t="shared" si="106"/>
        <v>122</v>
      </c>
      <c r="Y1604" s="40">
        <f t="shared" si="107"/>
        <v>191</v>
      </c>
      <c r="Z1604" s="59">
        <v>0.48706896551724138</v>
      </c>
      <c r="AA1604" s="59">
        <v>0.51293103448275867</v>
      </c>
      <c r="AB1604" s="61">
        <v>0</v>
      </c>
      <c r="AC1604" s="61">
        <v>0</v>
      </c>
      <c r="AD1604" s="61">
        <v>0.99568965517241381</v>
      </c>
      <c r="AE1604" s="61">
        <v>0</v>
      </c>
      <c r="AF1604" s="61">
        <v>0</v>
      </c>
      <c r="AG1604" s="61">
        <v>4.3103448275862068E-3</v>
      </c>
      <c r="AH1604" s="61">
        <v>0</v>
      </c>
      <c r="AI1604" s="61">
        <v>0.99568965517241381</v>
      </c>
      <c r="AJ1604" s="59">
        <v>0.99568965517241381</v>
      </c>
      <c r="AK1604" s="59">
        <v>0</v>
      </c>
      <c r="AL1604" s="4">
        <v>33</v>
      </c>
      <c r="AM1604" s="4">
        <v>36</v>
      </c>
      <c r="AN1604" s="4">
        <v>15</v>
      </c>
      <c r="AO1604" s="4">
        <v>18</v>
      </c>
      <c r="AP1604" s="4">
        <v>33</v>
      </c>
      <c r="AQ1604" s="4">
        <v>37</v>
      </c>
      <c r="AR1604" s="4">
        <v>19</v>
      </c>
      <c r="AS1604" s="59">
        <v>0.45454545454545453</v>
      </c>
      <c r="AT1604" s="3">
        <v>5</v>
      </c>
      <c r="AU1604" s="3">
        <v>2</v>
      </c>
      <c r="AV1604" s="49">
        <v>91</v>
      </c>
      <c r="AW1604" s="49">
        <v>5</v>
      </c>
      <c r="AX1604" s="49">
        <v>2</v>
      </c>
      <c r="AY1604" s="67">
        <v>2</v>
      </c>
      <c r="AZ1604" s="63">
        <v>0</v>
      </c>
      <c r="BA1604" s="63">
        <v>6.2730627306273101E-2</v>
      </c>
      <c r="BB1604" s="79">
        <v>98.5</v>
      </c>
      <c r="BC1604" s="79"/>
      <c r="BD1604" s="79"/>
      <c r="BE1604" s="79"/>
      <c r="BF1604" s="79"/>
      <c r="BG1604" s="79"/>
      <c r="BH1604" s="79"/>
      <c r="BI1604" s="79"/>
      <c r="BJ1604" s="3">
        <v>15.4</v>
      </c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29" t="s">
        <v>451</v>
      </c>
      <c r="CJ1604" s="18" t="s">
        <v>548</v>
      </c>
      <c r="CK1604" s="30" t="s">
        <v>450</v>
      </c>
    </row>
    <row r="1605" spans="1:99" x14ac:dyDescent="0.25">
      <c r="A1605" s="18" t="s">
        <v>548</v>
      </c>
      <c r="B1605" s="29" t="s">
        <v>557</v>
      </c>
      <c r="C1605" s="29" t="s">
        <v>280</v>
      </c>
      <c r="D1605" s="6">
        <v>9</v>
      </c>
      <c r="E1605" s="40" t="s">
        <v>83</v>
      </c>
      <c r="F1605" s="6">
        <v>9</v>
      </c>
      <c r="N1605" s="115">
        <v>8.9020771513353102E-3</v>
      </c>
      <c r="O1605" s="115">
        <v>8.9020771513353102E-3</v>
      </c>
      <c r="P1605" s="116" t="s">
        <v>83</v>
      </c>
      <c r="Q1605" s="116" t="s">
        <v>83</v>
      </c>
      <c r="R1605" s="116" t="s">
        <v>83</v>
      </c>
      <c r="S1605" s="115">
        <v>2.4390243902439001E-2</v>
      </c>
      <c r="T1605" s="115">
        <v>1.0563380281690101E-2</v>
      </c>
      <c r="U1605" s="115">
        <v>0</v>
      </c>
      <c r="V1605" s="115">
        <v>0</v>
      </c>
      <c r="W1605" s="6">
        <v>995</v>
      </c>
      <c r="X1605" s="40">
        <f t="shared" si="106"/>
        <v>995</v>
      </c>
      <c r="Y1605" s="40">
        <f t="shared" si="107"/>
        <v>995</v>
      </c>
      <c r="Z1605" s="59">
        <v>0.58994974874371864</v>
      </c>
      <c r="AA1605" s="59">
        <v>0.41005025125628142</v>
      </c>
      <c r="AB1605" s="61">
        <v>8.0402010050251264E-3</v>
      </c>
      <c r="AC1605" s="61">
        <v>0.19095477386934673</v>
      </c>
      <c r="AD1605" s="61">
        <v>0.29748743718592963</v>
      </c>
      <c r="AE1605" s="61">
        <v>5.5276381909547742E-2</v>
      </c>
      <c r="AF1605" s="61">
        <v>1.0050251256281408E-3</v>
      </c>
      <c r="AG1605" s="61">
        <v>0.37286432160804023</v>
      </c>
      <c r="AH1605" s="61">
        <v>7.4371859296482407E-2</v>
      </c>
      <c r="AI1605" s="61">
        <v>0.62713567839195983</v>
      </c>
      <c r="AJ1605" s="59">
        <v>0.3507537688442211</v>
      </c>
      <c r="AK1605" s="59">
        <v>0</v>
      </c>
      <c r="AL1605" s="4">
        <v>0</v>
      </c>
      <c r="AM1605" s="4">
        <v>0</v>
      </c>
      <c r="AN1605" s="4">
        <v>0</v>
      </c>
      <c r="AO1605" s="4">
        <v>238</v>
      </c>
      <c r="AP1605" s="4">
        <v>277</v>
      </c>
      <c r="AQ1605" s="4">
        <v>254</v>
      </c>
      <c r="AR1605" s="4">
        <v>226</v>
      </c>
      <c r="AS1605" s="59">
        <v>0</v>
      </c>
      <c r="AT1605" s="3">
        <v>9</v>
      </c>
      <c r="AU1605" s="3">
        <v>9</v>
      </c>
      <c r="AV1605" s="49">
        <v>53.758542141230102</v>
      </c>
      <c r="AW1605" s="49">
        <v>38.952164009111598</v>
      </c>
      <c r="AX1605" s="49">
        <v>5.2391799544419104</v>
      </c>
      <c r="AY1605" s="67">
        <v>2.0501138952163998</v>
      </c>
      <c r="AZ1605" s="63">
        <v>8.9910089910089901E-3</v>
      </c>
      <c r="BA1605" s="63">
        <v>9.99000999000999E-3</v>
      </c>
      <c r="BB1605" s="79">
        <v>96.8</v>
      </c>
      <c r="BC1605" s="79"/>
      <c r="BD1605" s="79"/>
      <c r="BE1605" s="79"/>
      <c r="BF1605" s="79"/>
      <c r="BG1605" s="79"/>
      <c r="BH1605" s="79"/>
      <c r="BI1605" s="79"/>
      <c r="BJ1605" s="3">
        <v>27.9</v>
      </c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29" t="s">
        <v>280</v>
      </c>
      <c r="CJ1605" s="18" t="s">
        <v>548</v>
      </c>
      <c r="CK1605" s="30" t="s">
        <v>562</v>
      </c>
    </row>
    <row r="1606" spans="1:99" x14ac:dyDescent="0.25">
      <c r="A1606" s="18" t="s">
        <v>548</v>
      </c>
      <c r="B1606" s="29" t="s">
        <v>557</v>
      </c>
      <c r="C1606" s="29" t="s">
        <v>281</v>
      </c>
      <c r="D1606" s="6">
        <v>8</v>
      </c>
      <c r="E1606" s="40" t="s">
        <v>83</v>
      </c>
      <c r="F1606" s="6">
        <v>8</v>
      </c>
      <c r="N1606" s="115">
        <v>7.1813285457809697E-3</v>
      </c>
      <c r="O1606" s="115">
        <v>7.1813285457809697E-3</v>
      </c>
      <c r="P1606" s="116" t="s">
        <v>83</v>
      </c>
      <c r="Q1606" s="116" t="s">
        <v>83</v>
      </c>
      <c r="R1606" s="116" t="s">
        <v>83</v>
      </c>
      <c r="S1606" s="115">
        <v>1.4285714285714299E-2</v>
      </c>
      <c r="T1606" s="115">
        <v>1.4084507042253501E-2</v>
      </c>
      <c r="U1606" s="115">
        <v>0</v>
      </c>
      <c r="V1606" s="115">
        <v>0</v>
      </c>
      <c r="W1606" s="6">
        <v>1083</v>
      </c>
      <c r="X1606" s="40">
        <f t="shared" si="106"/>
        <v>1083</v>
      </c>
      <c r="Y1606" s="40">
        <f t="shared" si="107"/>
        <v>1083</v>
      </c>
      <c r="Z1606" s="59">
        <v>0.50323176361957522</v>
      </c>
      <c r="AA1606" s="59">
        <v>0.49676823638042472</v>
      </c>
      <c r="AB1606" s="61">
        <v>4.6168051708217915E-3</v>
      </c>
      <c r="AC1606" s="61">
        <v>9.2336103416435829E-3</v>
      </c>
      <c r="AD1606" s="61">
        <v>0.97137580794090495</v>
      </c>
      <c r="AE1606" s="61">
        <v>1.2003693444136657E-2</v>
      </c>
      <c r="AF1606" s="61">
        <v>0</v>
      </c>
      <c r="AG1606" s="61">
        <v>2.7700831024930748E-3</v>
      </c>
      <c r="AH1606" s="61">
        <v>0</v>
      </c>
      <c r="AI1606" s="61">
        <v>0.99722991689750695</v>
      </c>
      <c r="AJ1606" s="59">
        <v>0.75253924284395202</v>
      </c>
      <c r="AK1606" s="59">
        <v>1.1080332409972299E-2</v>
      </c>
      <c r="AL1606" s="4">
        <v>0</v>
      </c>
      <c r="AM1606" s="4">
        <v>0</v>
      </c>
      <c r="AN1606" s="4">
        <v>0</v>
      </c>
      <c r="AO1606" s="4">
        <v>269</v>
      </c>
      <c r="AP1606" s="4">
        <v>273</v>
      </c>
      <c r="AQ1606" s="4">
        <v>270</v>
      </c>
      <c r="AR1606" s="4">
        <v>271</v>
      </c>
      <c r="AS1606" s="59">
        <v>0</v>
      </c>
      <c r="AT1606" s="3">
        <v>9</v>
      </c>
      <c r="AU1606" s="3">
        <v>3</v>
      </c>
      <c r="AV1606" s="49">
        <v>43.697478991596597</v>
      </c>
      <c r="AW1606" s="49">
        <v>23.7394957983193</v>
      </c>
      <c r="AX1606" s="49">
        <v>29.831932773109198</v>
      </c>
      <c r="AY1606" s="67">
        <v>2.73109243697479</v>
      </c>
      <c r="AZ1606" s="63">
        <v>0</v>
      </c>
      <c r="BA1606" s="63">
        <v>0.180505415162455</v>
      </c>
      <c r="BB1606" s="80">
        <v>91.8</v>
      </c>
      <c r="BC1606" s="80"/>
      <c r="BD1606" s="80"/>
      <c r="BE1606" s="80"/>
      <c r="BF1606" s="80"/>
      <c r="BG1606" s="80"/>
      <c r="BH1606" s="80"/>
      <c r="BI1606" s="80"/>
      <c r="BJ1606" s="3">
        <v>18</v>
      </c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29" t="s">
        <v>281</v>
      </c>
      <c r="CJ1606" s="18" t="s">
        <v>548</v>
      </c>
      <c r="CK1606" s="30" t="s">
        <v>543</v>
      </c>
    </row>
    <row r="1607" spans="1:99" x14ac:dyDescent="0.25">
      <c r="A1607" s="18" t="s">
        <v>548</v>
      </c>
      <c r="B1607" s="29" t="s">
        <v>557</v>
      </c>
      <c r="C1607" s="29" t="s">
        <v>282</v>
      </c>
      <c r="D1607" s="6">
        <v>1</v>
      </c>
      <c r="E1607" s="6">
        <v>0</v>
      </c>
      <c r="F1607" s="6">
        <v>1</v>
      </c>
      <c r="N1607" s="115">
        <v>9.9206349206349201E-4</v>
      </c>
      <c r="O1607" s="115">
        <v>1.5060240963855401E-3</v>
      </c>
      <c r="P1607" s="115">
        <v>0</v>
      </c>
      <c r="Q1607" s="115">
        <v>0</v>
      </c>
      <c r="R1607" s="116" t="s">
        <v>83</v>
      </c>
      <c r="S1607" s="115">
        <v>0</v>
      </c>
      <c r="T1607" s="115">
        <v>5.5555555555555601E-3</v>
      </c>
      <c r="U1607" s="115">
        <v>0</v>
      </c>
      <c r="V1607" s="115">
        <v>0</v>
      </c>
      <c r="W1607" s="6">
        <v>1825</v>
      </c>
      <c r="X1607" s="40">
        <f t="shared" si="106"/>
        <v>661</v>
      </c>
      <c r="Y1607" s="40">
        <f t="shared" si="107"/>
        <v>1005</v>
      </c>
      <c r="Z1607" s="59">
        <v>0.52273972602739727</v>
      </c>
      <c r="AA1607" s="59">
        <v>0.47726027397260273</v>
      </c>
      <c r="AB1607" s="61">
        <v>1.095890410958904E-3</v>
      </c>
      <c r="AC1607" s="61">
        <v>3.287671232876712E-2</v>
      </c>
      <c r="AD1607" s="61">
        <v>0.24547945205479452</v>
      </c>
      <c r="AE1607" s="61">
        <v>7.6164383561643831E-2</v>
      </c>
      <c r="AF1607" s="61">
        <v>1.095890410958904E-3</v>
      </c>
      <c r="AG1607" s="61">
        <v>0.58082191780821912</v>
      </c>
      <c r="AH1607" s="61">
        <v>6.2465753424657537E-2</v>
      </c>
      <c r="AI1607" s="61">
        <v>0.41917808219178082</v>
      </c>
      <c r="AJ1607" s="59">
        <v>0.21534246575342467</v>
      </c>
      <c r="AK1607" s="59">
        <v>3.8356164383561643E-3</v>
      </c>
      <c r="AL1607" s="4">
        <v>156</v>
      </c>
      <c r="AM1607" s="4">
        <v>188</v>
      </c>
      <c r="AN1607" s="4">
        <v>0</v>
      </c>
      <c r="AO1607" s="4">
        <v>178</v>
      </c>
      <c r="AP1607" s="4">
        <v>179</v>
      </c>
      <c r="AQ1607" s="4">
        <v>156</v>
      </c>
      <c r="AR1607" s="4">
        <v>148</v>
      </c>
      <c r="AS1607" s="59">
        <v>0</v>
      </c>
      <c r="AT1607" s="3">
        <v>1</v>
      </c>
      <c r="AU1607" s="3">
        <v>3</v>
      </c>
      <c r="AV1607" s="49">
        <v>59.411764705882398</v>
      </c>
      <c r="AW1607" s="49">
        <v>35.196078431372598</v>
      </c>
      <c r="AX1607" s="49">
        <v>5.3921568627450993</v>
      </c>
      <c r="AY1607" s="67">
        <v>0</v>
      </c>
      <c r="AZ1607" s="63">
        <v>1.6402405686167299E-3</v>
      </c>
      <c r="BA1607" s="63">
        <v>3.5538545653362501E-2</v>
      </c>
      <c r="BB1607" s="79">
        <v>97</v>
      </c>
      <c r="BC1607" s="79"/>
      <c r="BD1607" s="79"/>
      <c r="BE1607" s="79"/>
      <c r="BF1607" s="79"/>
      <c r="BG1607" s="79"/>
      <c r="BH1607" s="79"/>
      <c r="BI1607" s="79"/>
      <c r="BJ1607" s="3">
        <v>27.1</v>
      </c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29" t="s">
        <v>282</v>
      </c>
      <c r="CJ1607" s="18" t="s">
        <v>548</v>
      </c>
      <c r="CK1607" s="30" t="s">
        <v>544</v>
      </c>
    </row>
    <row r="1608" spans="1:99" x14ac:dyDescent="0.25">
      <c r="A1608" s="18" t="s">
        <v>548</v>
      </c>
      <c r="B1608" s="29" t="s">
        <v>557</v>
      </c>
      <c r="C1608" s="29" t="s">
        <v>284</v>
      </c>
      <c r="D1608" s="6">
        <v>27</v>
      </c>
      <c r="E1608" s="40" t="s">
        <v>83</v>
      </c>
      <c r="F1608" s="6">
        <v>27</v>
      </c>
      <c r="N1608" s="115">
        <v>2.8601694915254199E-2</v>
      </c>
      <c r="O1608" s="115">
        <v>2.86320254506893E-2</v>
      </c>
      <c r="P1608" s="116" t="s">
        <v>83</v>
      </c>
      <c r="Q1608" s="116" t="s">
        <v>83</v>
      </c>
      <c r="R1608" s="116" t="s">
        <v>83</v>
      </c>
      <c r="S1608" s="115">
        <v>5.9859154929577503E-2</v>
      </c>
      <c r="T1608" s="115">
        <v>3.0188679245282998E-2</v>
      </c>
      <c r="U1608" s="115">
        <v>8.9686098654708502E-3</v>
      </c>
      <c r="V1608" s="115">
        <v>0</v>
      </c>
      <c r="W1608" s="6">
        <v>850</v>
      </c>
      <c r="X1608" s="40">
        <f t="shared" si="106"/>
        <v>850</v>
      </c>
      <c r="Y1608" s="40">
        <f t="shared" si="107"/>
        <v>850</v>
      </c>
      <c r="Z1608" s="59">
        <v>0.52941176470588236</v>
      </c>
      <c r="AA1608" s="59">
        <v>0.47058823529411764</v>
      </c>
      <c r="AB1608" s="61">
        <v>0</v>
      </c>
      <c r="AC1608" s="61">
        <v>3.5294117647058825E-3</v>
      </c>
      <c r="AD1608" s="61">
        <v>0.95764705882352941</v>
      </c>
      <c r="AE1608" s="61">
        <v>3.5294117647058823E-2</v>
      </c>
      <c r="AF1608" s="61">
        <v>0</v>
      </c>
      <c r="AG1608" s="61">
        <v>3.5294117647058825E-3</v>
      </c>
      <c r="AH1608" s="61">
        <v>0</v>
      </c>
      <c r="AI1608" s="61">
        <v>0.99647058823529411</v>
      </c>
      <c r="AJ1608" s="59">
        <v>0.8411764705882353</v>
      </c>
      <c r="AK1608" s="59">
        <v>2.5882352941176471E-2</v>
      </c>
      <c r="AL1608" s="4">
        <v>0</v>
      </c>
      <c r="AM1608" s="4">
        <v>0</v>
      </c>
      <c r="AN1608" s="4">
        <v>0</v>
      </c>
      <c r="AO1608" s="4">
        <v>252</v>
      </c>
      <c r="AP1608" s="4">
        <v>229</v>
      </c>
      <c r="AQ1608" s="4">
        <v>202</v>
      </c>
      <c r="AR1608" s="4">
        <v>167</v>
      </c>
      <c r="AS1608" s="59">
        <v>0</v>
      </c>
      <c r="AT1608" s="3">
        <v>9</v>
      </c>
      <c r="AU1608" s="3">
        <v>3</v>
      </c>
      <c r="AV1608" s="49">
        <v>46.648793565683597</v>
      </c>
      <c r="AW1608" s="49">
        <v>37.265415549597904</v>
      </c>
      <c r="AX1608" s="49">
        <v>15.281501340482601</v>
      </c>
      <c r="AY1608" s="67">
        <v>0.80428954423592491</v>
      </c>
      <c r="AZ1608" s="63">
        <v>0</v>
      </c>
      <c r="BA1608" s="63">
        <v>0.13888888888888901</v>
      </c>
      <c r="BB1608" s="80">
        <v>89.5</v>
      </c>
      <c r="BC1608" s="80"/>
      <c r="BD1608" s="80"/>
      <c r="BE1608" s="80"/>
      <c r="BF1608" s="80"/>
      <c r="BG1608" s="80"/>
      <c r="BH1608" s="80"/>
      <c r="BI1608" s="80"/>
      <c r="BJ1608" s="3">
        <v>17.100000000000001</v>
      </c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29" t="s">
        <v>284</v>
      </c>
      <c r="CJ1608" s="18" t="s">
        <v>548</v>
      </c>
      <c r="CK1608" s="30" t="s">
        <v>543</v>
      </c>
    </row>
    <row r="1609" spans="1:99" x14ac:dyDescent="0.25">
      <c r="A1609" s="18" t="s">
        <v>548</v>
      </c>
      <c r="B1609" s="29" t="s">
        <v>557</v>
      </c>
      <c r="C1609" s="29" t="s">
        <v>285</v>
      </c>
      <c r="D1609" s="6">
        <v>11</v>
      </c>
      <c r="E1609" s="40" t="s">
        <v>83</v>
      </c>
      <c r="F1609" s="6">
        <v>11</v>
      </c>
      <c r="N1609" s="115">
        <v>2.1113243761996199E-2</v>
      </c>
      <c r="O1609" s="115">
        <v>2.1113243761996199E-2</v>
      </c>
      <c r="P1609" s="116" t="s">
        <v>83</v>
      </c>
      <c r="Q1609" s="116" t="s">
        <v>83</v>
      </c>
      <c r="R1609" s="115">
        <v>1</v>
      </c>
      <c r="S1609" s="115">
        <v>6.8027210884353704E-3</v>
      </c>
      <c r="T1609" s="115">
        <v>2.2900763358778602E-2</v>
      </c>
      <c r="U1609" s="115">
        <v>3.2258064516128997E-2</v>
      </c>
      <c r="V1609" s="115">
        <v>1.6949152542372899E-2</v>
      </c>
      <c r="W1609" s="6">
        <v>487</v>
      </c>
      <c r="X1609" s="40">
        <f t="shared" si="106"/>
        <v>487</v>
      </c>
      <c r="Y1609" s="40">
        <f t="shared" si="107"/>
        <v>487</v>
      </c>
      <c r="Z1609" s="59">
        <v>0.50513347022587274</v>
      </c>
      <c r="AA1609" s="59">
        <v>0.49486652977412732</v>
      </c>
      <c r="AB1609" s="61">
        <v>8.2135523613963042E-3</v>
      </c>
      <c r="AC1609" s="61">
        <v>1.4373716632443531E-2</v>
      </c>
      <c r="AD1609" s="61">
        <v>0.78234086242299794</v>
      </c>
      <c r="AE1609" s="61">
        <v>7.8028747433264892E-2</v>
      </c>
      <c r="AF1609" s="61">
        <v>0</v>
      </c>
      <c r="AG1609" s="61">
        <v>8.4188911704312114E-2</v>
      </c>
      <c r="AH1609" s="61">
        <v>3.2854209445585217E-2</v>
      </c>
      <c r="AI1609" s="61">
        <v>0.91581108829568791</v>
      </c>
      <c r="AJ1609" s="59">
        <v>0.68788501026694049</v>
      </c>
      <c r="AK1609" s="59">
        <v>2.4640657084188913E-2</v>
      </c>
      <c r="AL1609" s="4">
        <v>0</v>
      </c>
      <c r="AM1609" s="4">
        <v>0</v>
      </c>
      <c r="AN1609" s="4">
        <v>10</v>
      </c>
      <c r="AO1609" s="4">
        <v>124</v>
      </c>
      <c r="AP1609" s="4">
        <v>120</v>
      </c>
      <c r="AQ1609" s="4">
        <v>120</v>
      </c>
      <c r="AR1609" s="4">
        <v>113</v>
      </c>
      <c r="AS1609" s="59">
        <v>7.4626865671641784E-2</v>
      </c>
      <c r="AT1609" s="3">
        <v>9</v>
      </c>
      <c r="AU1609" s="3">
        <v>3</v>
      </c>
      <c r="AV1609" s="49">
        <v>61.6666666666667</v>
      </c>
      <c r="AW1609" s="49">
        <v>32.6666666666667</v>
      </c>
      <c r="AX1609" s="49">
        <v>5.3333333333333304</v>
      </c>
      <c r="AY1609" s="67">
        <v>0.33333333333333298</v>
      </c>
      <c r="AZ1609" s="63">
        <v>1.7307692307692302E-2</v>
      </c>
      <c r="BA1609" s="63">
        <v>0.144230769230769</v>
      </c>
      <c r="BB1609" s="79">
        <v>92.3</v>
      </c>
      <c r="BC1609" s="79"/>
      <c r="BD1609" s="79"/>
      <c r="BE1609" s="79"/>
      <c r="BF1609" s="79"/>
      <c r="BG1609" s="79"/>
      <c r="BH1609" s="79"/>
      <c r="BI1609" s="79"/>
      <c r="BJ1609" s="3">
        <v>18</v>
      </c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29" t="s">
        <v>285</v>
      </c>
      <c r="CJ1609" s="18" t="s">
        <v>548</v>
      </c>
      <c r="CK1609" s="30" t="s">
        <v>545</v>
      </c>
    </row>
    <row r="1610" spans="1:99" x14ac:dyDescent="0.25">
      <c r="A1610" s="18" t="s">
        <v>548</v>
      </c>
      <c r="B1610" s="29" t="s">
        <v>557</v>
      </c>
      <c r="C1610" s="29" t="s">
        <v>495</v>
      </c>
      <c r="D1610" s="6">
        <v>4</v>
      </c>
      <c r="E1610" s="40" t="s">
        <v>83</v>
      </c>
      <c r="F1610" s="6">
        <v>4</v>
      </c>
      <c r="N1610" s="115">
        <v>1.4440433212996401E-2</v>
      </c>
      <c r="O1610" s="115">
        <v>1.4440433212996401E-2</v>
      </c>
      <c r="P1610" s="116" t="s">
        <v>83</v>
      </c>
      <c r="Q1610" s="116" t="s">
        <v>83</v>
      </c>
      <c r="R1610" s="115">
        <v>0</v>
      </c>
      <c r="S1610" s="115">
        <v>2.1505376344085999E-2</v>
      </c>
      <c r="T1610" s="115">
        <v>1.1904761904761901E-2</v>
      </c>
      <c r="U1610" s="115">
        <v>1.1494252873563199E-2</v>
      </c>
      <c r="V1610" s="116" t="s">
        <v>83</v>
      </c>
      <c r="W1610" s="6">
        <v>287</v>
      </c>
      <c r="X1610" s="40">
        <f t="shared" si="106"/>
        <v>287</v>
      </c>
      <c r="Y1610" s="40">
        <f t="shared" si="107"/>
        <v>287</v>
      </c>
      <c r="Z1610" s="59">
        <v>0.39372822299651566</v>
      </c>
      <c r="AA1610" s="59">
        <v>0.60627177700348434</v>
      </c>
      <c r="AB1610" s="61">
        <v>0</v>
      </c>
      <c r="AC1610" s="61">
        <v>0.18118466898954705</v>
      </c>
      <c r="AD1610" s="61">
        <v>0.57491289198606277</v>
      </c>
      <c r="AE1610" s="61">
        <v>0.24041811846689895</v>
      </c>
      <c r="AF1610" s="61">
        <v>0</v>
      </c>
      <c r="AG1610" s="61">
        <v>3.4843205574912892E-3</v>
      </c>
      <c r="AH1610" s="61">
        <v>0</v>
      </c>
      <c r="AI1610" s="61">
        <v>0.99651567944250874</v>
      </c>
      <c r="AJ1610" s="59">
        <v>0.83275261324041816</v>
      </c>
      <c r="AK1610" s="59">
        <v>0.20905923344947736</v>
      </c>
      <c r="AL1610" s="4">
        <v>0</v>
      </c>
      <c r="AM1610" s="4">
        <v>0</v>
      </c>
      <c r="AN1610" s="4">
        <v>15</v>
      </c>
      <c r="AO1610" s="4">
        <v>96</v>
      </c>
      <c r="AP1610" s="4">
        <v>91</v>
      </c>
      <c r="AQ1610" s="4">
        <v>85</v>
      </c>
      <c r="AR1610" s="4">
        <v>0</v>
      </c>
      <c r="AS1610" s="59">
        <v>0.13513513513513514</v>
      </c>
      <c r="AT1610" s="3">
        <v>9</v>
      </c>
      <c r="AU1610" s="3">
        <v>1</v>
      </c>
      <c r="AV1610" s="49">
        <v>68.456375838926192</v>
      </c>
      <c r="AW1610" s="49">
        <v>20.134228187919501</v>
      </c>
      <c r="AX1610" s="49">
        <v>11.4093959731544</v>
      </c>
      <c r="AY1610" s="67">
        <v>0</v>
      </c>
      <c r="AZ1610" s="63">
        <v>7.8947368421052599E-2</v>
      </c>
      <c r="BA1610" s="63">
        <v>0.191729323308271</v>
      </c>
      <c r="BB1610" s="80">
        <v>89.9</v>
      </c>
      <c r="BC1610" s="80"/>
      <c r="BD1610" s="80"/>
      <c r="BE1610" s="80"/>
      <c r="BF1610" s="80"/>
      <c r="BG1610" s="80"/>
      <c r="BH1610" s="80"/>
      <c r="BI1610" s="80"/>
      <c r="BJ1610" s="80"/>
      <c r="BK1610" s="80"/>
      <c r="BL1610" s="80"/>
      <c r="BM1610" s="80"/>
      <c r="BN1610" s="80"/>
      <c r="BO1610" s="80"/>
      <c r="BP1610" s="80"/>
      <c r="BQ1610" s="80"/>
      <c r="BR1610" s="80"/>
      <c r="BS1610" s="80"/>
      <c r="BT1610" s="80"/>
      <c r="BU1610" s="80"/>
      <c r="BV1610" s="80"/>
      <c r="BW1610" s="80"/>
      <c r="BX1610" s="80"/>
      <c r="BY1610" s="80"/>
      <c r="BZ1610" s="80"/>
      <c r="CA1610" s="80"/>
      <c r="CB1610" s="80"/>
      <c r="CC1610" s="80"/>
      <c r="CD1610" s="80"/>
      <c r="CE1610" s="80"/>
      <c r="CF1610" s="80"/>
      <c r="CG1610" s="80"/>
      <c r="CH1610" s="80"/>
      <c r="CI1610" s="29" t="s">
        <v>495</v>
      </c>
      <c r="CJ1610" s="18" t="s">
        <v>548</v>
      </c>
      <c r="CK1610" s="30" t="s">
        <v>546</v>
      </c>
    </row>
    <row r="1611" spans="1:99" x14ac:dyDescent="0.25">
      <c r="A1611" s="18" t="s">
        <v>548</v>
      </c>
      <c r="B1611" s="29" t="s">
        <v>559</v>
      </c>
      <c r="C1611" s="29" t="s">
        <v>563</v>
      </c>
      <c r="D1611" s="6">
        <v>0</v>
      </c>
      <c r="E1611" s="40" t="s">
        <v>83</v>
      </c>
      <c r="F1611" s="6">
        <v>0</v>
      </c>
      <c r="N1611" s="115">
        <v>0</v>
      </c>
      <c r="O1611" s="115">
        <v>0</v>
      </c>
      <c r="P1611" s="116" t="s">
        <v>83</v>
      </c>
      <c r="Q1611" s="116" t="s">
        <v>83</v>
      </c>
      <c r="R1611" s="116" t="s">
        <v>83</v>
      </c>
      <c r="S1611" s="115">
        <v>0</v>
      </c>
      <c r="T1611" s="116" t="s">
        <v>83</v>
      </c>
      <c r="U1611" s="116" t="s">
        <v>83</v>
      </c>
      <c r="V1611" s="116" t="s">
        <v>83</v>
      </c>
      <c r="W1611" s="6">
        <v>43</v>
      </c>
      <c r="X1611" s="40">
        <f t="shared" si="106"/>
        <v>43</v>
      </c>
      <c r="Y1611" s="40">
        <f t="shared" si="107"/>
        <v>43</v>
      </c>
      <c r="Z1611" s="59">
        <v>0.58139534883720934</v>
      </c>
      <c r="AA1611" s="59">
        <v>0.41860465116279072</v>
      </c>
      <c r="AB1611" s="61">
        <v>0</v>
      </c>
      <c r="AC1611" s="61">
        <v>0</v>
      </c>
      <c r="AD1611" s="61">
        <v>0.58139534883720934</v>
      </c>
      <c r="AE1611" s="61">
        <v>9.3023255813953487E-2</v>
      </c>
      <c r="AF1611" s="61">
        <v>0</v>
      </c>
      <c r="AG1611" s="61">
        <v>0.32558139534883723</v>
      </c>
      <c r="AH1611" s="61">
        <v>0</v>
      </c>
      <c r="AI1611" s="61">
        <v>0.67441860465116277</v>
      </c>
      <c r="AJ1611" s="59">
        <v>0.58139534883720934</v>
      </c>
      <c r="AK1611" s="59">
        <v>0</v>
      </c>
      <c r="AL1611" s="4">
        <v>0</v>
      </c>
      <c r="AM1611" s="4">
        <v>0</v>
      </c>
      <c r="AN1611" s="4">
        <v>0</v>
      </c>
      <c r="AO1611" s="4">
        <v>43</v>
      </c>
      <c r="AP1611" s="4">
        <v>0</v>
      </c>
      <c r="AQ1611" s="4">
        <v>0</v>
      </c>
      <c r="AR1611" s="4">
        <v>0</v>
      </c>
      <c r="AS1611" s="59">
        <v>0</v>
      </c>
      <c r="AT1611" s="3">
        <v>9</v>
      </c>
      <c r="AU1611" s="3">
        <v>2</v>
      </c>
      <c r="AV1611" s="49">
        <v>46.153846153846203</v>
      </c>
      <c r="AW1611" s="49">
        <v>38.461538461538503</v>
      </c>
      <c r="AX1611" s="49">
        <v>0</v>
      </c>
      <c r="AY1611" s="67">
        <v>15.384615384615399</v>
      </c>
      <c r="AZ1611" s="63">
        <v>0</v>
      </c>
      <c r="BA1611" s="63">
        <v>0</v>
      </c>
      <c r="BB1611" s="80">
        <v>96.8</v>
      </c>
      <c r="BC1611" s="80"/>
      <c r="BD1611" s="80"/>
      <c r="BE1611" s="80"/>
      <c r="BF1611" s="80"/>
      <c r="BG1611" s="80"/>
      <c r="BH1611" s="80"/>
      <c r="BI1611" s="80"/>
      <c r="BJ1611" s="80"/>
      <c r="BK1611" s="80"/>
      <c r="BL1611" s="80"/>
      <c r="BM1611" s="80"/>
      <c r="BN1611" s="80"/>
      <c r="BO1611" s="80"/>
      <c r="BP1611" s="80"/>
      <c r="BQ1611" s="80"/>
      <c r="BR1611" s="80"/>
      <c r="BS1611" s="80"/>
      <c r="BT1611" s="80"/>
      <c r="BU1611" s="80"/>
      <c r="BV1611" s="80"/>
      <c r="BW1611" s="80"/>
      <c r="BX1611" s="80"/>
      <c r="BY1611" s="80"/>
      <c r="BZ1611" s="80"/>
      <c r="CA1611" s="80"/>
      <c r="CB1611" s="80"/>
      <c r="CC1611" s="80"/>
      <c r="CD1611" s="80"/>
      <c r="CE1611" s="80"/>
      <c r="CF1611" s="80"/>
      <c r="CG1611" s="80"/>
      <c r="CH1611" s="80"/>
      <c r="CI1611" s="29" t="s">
        <v>563</v>
      </c>
      <c r="CJ1611" s="18" t="s">
        <v>548</v>
      </c>
      <c r="CK1611" s="30" t="s">
        <v>563</v>
      </c>
    </row>
    <row r="1612" spans="1:99" x14ac:dyDescent="0.25">
      <c r="A1612" s="18" t="s">
        <v>548</v>
      </c>
      <c r="B1612" s="29" t="s">
        <v>557</v>
      </c>
      <c r="C1612" s="29" t="s">
        <v>564</v>
      </c>
      <c r="D1612" s="6">
        <v>0</v>
      </c>
      <c r="E1612" s="40" t="s">
        <v>83</v>
      </c>
      <c r="F1612" s="6">
        <v>0</v>
      </c>
      <c r="N1612" s="115">
        <v>0</v>
      </c>
      <c r="O1612" s="115">
        <v>0</v>
      </c>
      <c r="P1612" s="116" t="s">
        <v>83</v>
      </c>
      <c r="Q1612" s="116" t="s">
        <v>83</v>
      </c>
      <c r="R1612" s="115">
        <v>0</v>
      </c>
      <c r="S1612" s="115">
        <v>0</v>
      </c>
      <c r="T1612" s="116" t="s">
        <v>83</v>
      </c>
      <c r="U1612" s="116" t="s">
        <v>83</v>
      </c>
      <c r="V1612" s="116" t="s">
        <v>83</v>
      </c>
      <c r="W1612" s="6">
        <v>161</v>
      </c>
      <c r="X1612" s="40">
        <f t="shared" si="106"/>
        <v>161</v>
      </c>
      <c r="Y1612" s="40">
        <f t="shared" si="107"/>
        <v>161</v>
      </c>
      <c r="Z1612" s="59">
        <v>0.54658385093167705</v>
      </c>
      <c r="AA1612" s="59">
        <v>0.453416149068323</v>
      </c>
      <c r="AB1612" s="61">
        <v>1.2422360248447204E-2</v>
      </c>
      <c r="AC1612" s="61">
        <v>1.2422360248447204E-2</v>
      </c>
      <c r="AD1612" s="61">
        <v>0.89440993788819878</v>
      </c>
      <c r="AE1612" s="61">
        <v>8.0745341614906832E-2</v>
      </c>
      <c r="AF1612" s="61">
        <v>0</v>
      </c>
      <c r="AG1612" s="61">
        <v>0</v>
      </c>
      <c r="AH1612" s="61">
        <v>0</v>
      </c>
      <c r="AI1612" s="61">
        <v>1</v>
      </c>
      <c r="AJ1612" s="59">
        <v>0.90062111801242239</v>
      </c>
      <c r="AK1612" s="59">
        <v>4.9689440993788817E-2</v>
      </c>
      <c r="AL1612" s="4">
        <v>0</v>
      </c>
      <c r="AM1612" s="4">
        <v>0</v>
      </c>
      <c r="AN1612" s="4">
        <v>19</v>
      </c>
      <c r="AO1612" s="4">
        <v>142</v>
      </c>
      <c r="AP1612" s="4">
        <v>0</v>
      </c>
      <c r="AQ1612" s="4">
        <v>0</v>
      </c>
      <c r="AR1612" s="4">
        <v>0</v>
      </c>
      <c r="AS1612" s="59">
        <v>0.11801242236024845</v>
      </c>
      <c r="AT1612" s="3">
        <v>9</v>
      </c>
      <c r="AU1612" s="3">
        <v>1</v>
      </c>
      <c r="AV1612" s="49">
        <v>36.956521739130402</v>
      </c>
      <c r="AW1612" s="49">
        <v>32.6086956521739</v>
      </c>
      <c r="AX1612" s="49">
        <v>28.260869565217401</v>
      </c>
      <c r="AY1612" s="67">
        <v>2.1739130434782603</v>
      </c>
      <c r="AZ1612" s="63">
        <v>0.18023255813953501</v>
      </c>
      <c r="BA1612" s="63">
        <v>0.19767441860465099</v>
      </c>
      <c r="BB1612" s="79">
        <v>96.4</v>
      </c>
      <c r="BC1612" s="79"/>
      <c r="BD1612" s="79"/>
      <c r="BE1612" s="79"/>
      <c r="BF1612" s="79"/>
      <c r="BG1612" s="79"/>
      <c r="BH1612" s="79"/>
      <c r="BI1612" s="79"/>
      <c r="BJ1612" s="79"/>
      <c r="BK1612" s="79"/>
      <c r="BL1612" s="79"/>
      <c r="BM1612" s="79"/>
      <c r="BN1612" s="79"/>
      <c r="BO1612" s="79"/>
      <c r="BP1612" s="79"/>
      <c r="BQ1612" s="79"/>
      <c r="BR1612" s="79"/>
      <c r="BS1612" s="79"/>
      <c r="BT1612" s="79"/>
      <c r="BU1612" s="79"/>
      <c r="BV1612" s="79"/>
      <c r="BW1612" s="79"/>
      <c r="BX1612" s="79"/>
      <c r="BY1612" s="79"/>
      <c r="BZ1612" s="79"/>
      <c r="CA1612" s="79"/>
      <c r="CB1612" s="79"/>
      <c r="CC1612" s="79"/>
      <c r="CD1612" s="79"/>
      <c r="CE1612" s="79"/>
      <c r="CF1612" s="79"/>
      <c r="CG1612" s="79"/>
      <c r="CH1612" s="79"/>
      <c r="CI1612" s="29" t="s">
        <v>564</v>
      </c>
      <c r="CJ1612" s="18" t="s">
        <v>548</v>
      </c>
      <c r="CK1612" s="30" t="s">
        <v>525</v>
      </c>
    </row>
    <row r="1613" spans="1:99" x14ac:dyDescent="0.25">
      <c r="A1613" s="18" t="s">
        <v>548</v>
      </c>
      <c r="B1613" s="29" t="s">
        <v>559</v>
      </c>
      <c r="C1613" s="29" t="s">
        <v>547</v>
      </c>
      <c r="D1613" s="6">
        <v>15</v>
      </c>
      <c r="E1613" s="40" t="s">
        <v>83</v>
      </c>
      <c r="F1613" s="6">
        <v>15</v>
      </c>
      <c r="N1613" s="115">
        <v>5.2631578947368397E-2</v>
      </c>
      <c r="O1613" s="115">
        <v>5.2631578947368397E-2</v>
      </c>
      <c r="P1613" s="116" t="s">
        <v>83</v>
      </c>
      <c r="Q1613" s="116" t="s">
        <v>83</v>
      </c>
      <c r="R1613" s="115">
        <v>0.5</v>
      </c>
      <c r="S1613" s="115">
        <v>5.7803468208092498E-2</v>
      </c>
      <c r="T1613" s="115">
        <v>3.125E-2</v>
      </c>
      <c r="U1613" s="116" t="s">
        <v>83</v>
      </c>
      <c r="V1613" s="116" t="s">
        <v>83</v>
      </c>
      <c r="W1613" s="6">
        <v>275</v>
      </c>
      <c r="X1613" s="40">
        <f t="shared" si="106"/>
        <v>275</v>
      </c>
      <c r="Y1613" s="40">
        <f t="shared" si="107"/>
        <v>275</v>
      </c>
      <c r="Z1613" s="59">
        <v>0.50181818181818183</v>
      </c>
      <c r="AA1613" s="59">
        <v>0.49818181818181817</v>
      </c>
      <c r="AB1613" s="61">
        <v>0</v>
      </c>
      <c r="AC1613" s="61">
        <v>0</v>
      </c>
      <c r="AD1613" s="61">
        <v>0.95636363636363642</v>
      </c>
      <c r="AE1613" s="61">
        <v>1.8181818181818181E-2</v>
      </c>
      <c r="AF1613" s="61">
        <v>0</v>
      </c>
      <c r="AG1613" s="61">
        <v>2.5454545454545455E-2</v>
      </c>
      <c r="AH1613" s="61">
        <v>0</v>
      </c>
      <c r="AI1613" s="61">
        <v>0.97454545454545449</v>
      </c>
      <c r="AJ1613" s="59">
        <v>0.89454545454545453</v>
      </c>
      <c r="AK1613" s="59">
        <v>3.6363636363636364E-3</v>
      </c>
      <c r="AL1613" s="4">
        <v>0</v>
      </c>
      <c r="AM1613" s="4">
        <v>0</v>
      </c>
      <c r="AN1613" s="4">
        <v>1</v>
      </c>
      <c r="AO1613" s="4">
        <v>152</v>
      </c>
      <c r="AP1613" s="4">
        <v>122</v>
      </c>
      <c r="AQ1613" s="4">
        <v>0</v>
      </c>
      <c r="AR1613" s="4">
        <v>0</v>
      </c>
      <c r="AS1613" s="59">
        <v>6.5359477124183009E-3</v>
      </c>
      <c r="AT1613" s="3">
        <v>9</v>
      </c>
      <c r="AU1613" s="3">
        <v>2</v>
      </c>
      <c r="AV1613" s="49">
        <v>35.185185185185205</v>
      </c>
      <c r="AW1613" s="49">
        <v>26.851851851851897</v>
      </c>
      <c r="AX1613" s="49">
        <v>31.481481481481499</v>
      </c>
      <c r="AY1613" s="67">
        <v>6.4814814814814801</v>
      </c>
      <c r="AZ1613" s="63">
        <v>0.26351351351351299</v>
      </c>
      <c r="BA1613" s="63">
        <v>0.38175675675675702</v>
      </c>
      <c r="BB1613" s="79">
        <v>88</v>
      </c>
      <c r="BC1613" s="79"/>
      <c r="BD1613" s="79"/>
      <c r="BE1613" s="79"/>
      <c r="BF1613" s="79"/>
      <c r="BG1613" s="79"/>
      <c r="BH1613" s="79"/>
      <c r="BI1613" s="79"/>
      <c r="BJ1613" s="79"/>
      <c r="BK1613" s="79"/>
      <c r="BL1613" s="79"/>
      <c r="BM1613" s="79"/>
      <c r="BN1613" s="79"/>
      <c r="BO1613" s="79"/>
      <c r="BP1613" s="79"/>
      <c r="BQ1613" s="79"/>
      <c r="BR1613" s="79"/>
      <c r="BS1613" s="79"/>
      <c r="BT1613" s="79"/>
      <c r="BU1613" s="79"/>
      <c r="BV1613" s="79"/>
      <c r="BW1613" s="79"/>
      <c r="BX1613" s="79"/>
      <c r="BY1613" s="79"/>
      <c r="BZ1613" s="79"/>
      <c r="CA1613" s="79"/>
      <c r="CB1613" s="79"/>
      <c r="CC1613" s="79"/>
      <c r="CD1613" s="79"/>
      <c r="CE1613" s="79"/>
      <c r="CF1613" s="79"/>
      <c r="CG1613" s="79"/>
      <c r="CH1613" s="79"/>
      <c r="CI1613" s="29" t="s">
        <v>547</v>
      </c>
      <c r="CJ1613" s="18" t="s">
        <v>548</v>
      </c>
      <c r="CK1613" s="30" t="s">
        <v>525</v>
      </c>
    </row>
    <row r="1614" spans="1:99" s="1" customFormat="1" ht="21" customHeight="1" thickBot="1" x14ac:dyDescent="0.3">
      <c r="A1614" s="31" t="s">
        <v>0</v>
      </c>
      <c r="B1614" s="32" t="s">
        <v>1</v>
      </c>
      <c r="C1614" s="32" t="s">
        <v>2</v>
      </c>
      <c r="D1614" s="10" t="s">
        <v>3</v>
      </c>
      <c r="E1614" s="10" t="s">
        <v>4</v>
      </c>
      <c r="F1614" s="10" t="s">
        <v>5</v>
      </c>
      <c r="G1614" s="167"/>
      <c r="H1614" s="168"/>
      <c r="I1614" s="168"/>
      <c r="J1614" s="168"/>
      <c r="K1614" s="168"/>
      <c r="L1614" s="168"/>
      <c r="M1614" s="168"/>
      <c r="N1614" s="122" t="s">
        <v>6</v>
      </c>
      <c r="O1614" s="122" t="s">
        <v>7</v>
      </c>
      <c r="P1614" s="122" t="s">
        <v>8</v>
      </c>
      <c r="Q1614" s="122" t="s">
        <v>9</v>
      </c>
      <c r="R1614" s="122" t="s">
        <v>10</v>
      </c>
      <c r="S1614" s="122" t="s">
        <v>11</v>
      </c>
      <c r="T1614" s="122" t="s">
        <v>12</v>
      </c>
      <c r="U1614" s="122" t="s">
        <v>13</v>
      </c>
      <c r="V1614" s="122" t="s">
        <v>14</v>
      </c>
      <c r="W1614" s="46" t="s">
        <v>15</v>
      </c>
      <c r="X1614" s="46" t="s">
        <v>16</v>
      </c>
      <c r="Y1614" s="46" t="s">
        <v>17</v>
      </c>
      <c r="Z1614" s="113" t="s">
        <v>18</v>
      </c>
      <c r="AA1614" s="113" t="s">
        <v>19</v>
      </c>
      <c r="AB1614" s="96" t="s">
        <v>20</v>
      </c>
      <c r="AC1614" s="96" t="s">
        <v>21</v>
      </c>
      <c r="AD1614" s="96" t="s">
        <v>22</v>
      </c>
      <c r="AE1614" s="96" t="s">
        <v>23</v>
      </c>
      <c r="AF1614" s="96" t="s">
        <v>24</v>
      </c>
      <c r="AG1614" s="96" t="s">
        <v>25</v>
      </c>
      <c r="AH1614" s="96" t="s">
        <v>26</v>
      </c>
      <c r="AI1614" s="96" t="s">
        <v>27</v>
      </c>
      <c r="AJ1614" s="96" t="s">
        <v>28</v>
      </c>
      <c r="AK1614" s="113" t="s">
        <v>29</v>
      </c>
      <c r="AL1614" s="47" t="s">
        <v>30</v>
      </c>
      <c r="AM1614" s="47" t="s">
        <v>31</v>
      </c>
      <c r="AN1614" s="47" t="s">
        <v>32</v>
      </c>
      <c r="AO1614" s="47" t="s">
        <v>33</v>
      </c>
      <c r="AP1614" s="47" t="s">
        <v>34</v>
      </c>
      <c r="AQ1614" s="47" t="s">
        <v>35</v>
      </c>
      <c r="AR1614" s="47" t="s">
        <v>36</v>
      </c>
      <c r="AS1614" s="151" t="s">
        <v>37</v>
      </c>
      <c r="AT1614" s="46" t="s">
        <v>38</v>
      </c>
      <c r="AU1614" s="33" t="s">
        <v>39</v>
      </c>
      <c r="AV1614" s="152" t="s">
        <v>40</v>
      </c>
      <c r="AW1614" s="152" t="s">
        <v>41</v>
      </c>
      <c r="AX1614" s="152" t="s">
        <v>42</v>
      </c>
      <c r="AY1614" s="153" t="s">
        <v>43</v>
      </c>
      <c r="AZ1614" s="154" t="s">
        <v>44</v>
      </c>
      <c r="BA1614" s="154" t="s">
        <v>45</v>
      </c>
      <c r="BB1614" s="155" t="s">
        <v>46</v>
      </c>
      <c r="BC1614" s="155" t="s">
        <v>47</v>
      </c>
      <c r="BD1614" s="156" t="s">
        <v>48</v>
      </c>
      <c r="BE1614" s="156" t="s">
        <v>49</v>
      </c>
      <c r="BF1614" s="156" t="s">
        <v>50</v>
      </c>
      <c r="BG1614" s="156" t="s">
        <v>51</v>
      </c>
      <c r="BH1614" s="156" t="s">
        <v>52</v>
      </c>
      <c r="BI1614" s="156" t="s">
        <v>53</v>
      </c>
      <c r="BJ1614" s="157" t="s">
        <v>54</v>
      </c>
      <c r="BK1614" s="158" t="s">
        <v>55</v>
      </c>
      <c r="BL1614" s="158" t="s">
        <v>56</v>
      </c>
      <c r="BM1614" s="158" t="s">
        <v>57</v>
      </c>
      <c r="BN1614" s="158" t="s">
        <v>58</v>
      </c>
      <c r="BO1614" s="159" t="s">
        <v>59</v>
      </c>
      <c r="BP1614" s="159" t="s">
        <v>60</v>
      </c>
      <c r="BQ1614" s="159" t="s">
        <v>61</v>
      </c>
      <c r="BR1614" s="159" t="s">
        <v>62</v>
      </c>
      <c r="BS1614" s="159" t="s">
        <v>63</v>
      </c>
      <c r="BT1614" s="159" t="s">
        <v>64</v>
      </c>
      <c r="BU1614" s="159" t="s">
        <v>65</v>
      </c>
      <c r="BV1614" s="160" t="s">
        <v>66</v>
      </c>
      <c r="BW1614" s="160" t="s">
        <v>67</v>
      </c>
      <c r="BX1614" s="160" t="s">
        <v>68</v>
      </c>
      <c r="BY1614" s="160" t="s">
        <v>69</v>
      </c>
      <c r="BZ1614" s="160" t="s">
        <v>70</v>
      </c>
      <c r="CA1614" s="160" t="s">
        <v>71</v>
      </c>
      <c r="CB1614" s="160" t="s">
        <v>72</v>
      </c>
      <c r="CC1614" s="158" t="s">
        <v>73</v>
      </c>
      <c r="CD1614" s="158" t="s">
        <v>74</v>
      </c>
      <c r="CE1614" s="158" t="s">
        <v>75</v>
      </c>
      <c r="CF1614" s="158" t="s">
        <v>76</v>
      </c>
      <c r="CG1614" s="158" t="s">
        <v>77</v>
      </c>
      <c r="CH1614" s="158" t="s">
        <v>78</v>
      </c>
      <c r="CI1614" s="32" t="s">
        <v>2</v>
      </c>
      <c r="CJ1614" s="31" t="s">
        <v>0</v>
      </c>
      <c r="CK1614" s="34" t="s">
        <v>79</v>
      </c>
      <c r="CL1614"/>
      <c r="CM1614"/>
      <c r="CN1614"/>
      <c r="CO1614"/>
      <c r="CP1614"/>
      <c r="CQ1614"/>
      <c r="CR1614"/>
      <c r="CS1614"/>
      <c r="CT1614"/>
      <c r="CU1614"/>
    </row>
    <row r="1615" spans="1:99" x14ac:dyDescent="0.25">
      <c r="AZ1615"/>
      <c r="BA1615"/>
    </row>
    <row r="1616" spans="1:99" x14ac:dyDescent="0.25">
      <c r="A1616"/>
      <c r="W1616"/>
      <c r="X1616"/>
      <c r="Y1616"/>
      <c r="Z1616" s="98"/>
      <c r="AA1616" s="98"/>
      <c r="AB1616" s="98"/>
      <c r="AC1616" s="98"/>
      <c r="AD1616" s="98"/>
      <c r="AE1616" s="98"/>
      <c r="AF1616" s="98"/>
      <c r="AG1616" s="98"/>
      <c r="AH1616" s="98"/>
      <c r="AI1616" s="98"/>
      <c r="AJ1616" s="98"/>
      <c r="AK1616" s="98"/>
      <c r="AL1616"/>
      <c r="AM1616"/>
      <c r="AN1616"/>
      <c r="AO1616"/>
      <c r="AP1616"/>
      <c r="AQ1616"/>
      <c r="AR1616"/>
      <c r="AS1616" s="98"/>
      <c r="AT1616"/>
      <c r="AU1616"/>
      <c r="AZ1616"/>
      <c r="BA1616"/>
      <c r="CJ1616"/>
      <c r="CK1616"/>
    </row>
    <row r="1617" spans="1:89" x14ac:dyDescent="0.25">
      <c r="A1617"/>
      <c r="W1617"/>
      <c r="X1617"/>
      <c r="Y1617"/>
      <c r="Z1617" s="98"/>
      <c r="AA1617" s="98"/>
      <c r="AB1617" s="98"/>
      <c r="AC1617" s="98"/>
      <c r="AD1617" s="98"/>
      <c r="AE1617" s="98"/>
      <c r="AF1617" s="98"/>
      <c r="AG1617" s="98"/>
      <c r="AH1617" s="98"/>
      <c r="AI1617" s="98"/>
      <c r="AJ1617" s="98"/>
      <c r="AK1617" s="98"/>
      <c r="AL1617"/>
      <c r="AM1617"/>
      <c r="AN1617"/>
      <c r="AO1617"/>
      <c r="AP1617"/>
      <c r="AQ1617"/>
      <c r="AR1617"/>
      <c r="AS1617" s="98"/>
      <c r="AT1617"/>
      <c r="AU1617"/>
      <c r="AZ1617"/>
      <c r="BA1617"/>
      <c r="CJ1617"/>
      <c r="CK1617"/>
    </row>
    <row r="1618" spans="1:89" x14ac:dyDescent="0.25">
      <c r="A1618"/>
      <c r="W1618"/>
      <c r="X1618"/>
      <c r="Y1618"/>
      <c r="Z1618" s="98"/>
      <c r="AA1618" s="98"/>
      <c r="AB1618" s="98"/>
      <c r="AC1618" s="98"/>
      <c r="AD1618" s="98"/>
      <c r="AE1618" s="98"/>
      <c r="AF1618" s="98"/>
      <c r="AG1618" s="98"/>
      <c r="AH1618" s="98"/>
      <c r="AI1618" s="98"/>
      <c r="AJ1618" s="98"/>
      <c r="AK1618" s="98"/>
      <c r="AL1618"/>
      <c r="AM1618"/>
      <c r="AN1618"/>
      <c r="AO1618"/>
      <c r="AP1618"/>
      <c r="AQ1618"/>
      <c r="AR1618"/>
      <c r="AS1618" s="98"/>
      <c r="AT1618"/>
      <c r="AU1618"/>
      <c r="AZ1618"/>
      <c r="BA1618"/>
      <c r="CJ1618"/>
      <c r="CK1618"/>
    </row>
    <row r="1619" spans="1:89" x14ac:dyDescent="0.25">
      <c r="A1619"/>
      <c r="W1619"/>
      <c r="X1619"/>
      <c r="Y1619"/>
      <c r="Z1619" s="98"/>
      <c r="AA1619" s="98"/>
      <c r="AB1619" s="98"/>
      <c r="AC1619" s="98"/>
      <c r="AD1619" s="98"/>
      <c r="AE1619" s="98"/>
      <c r="AF1619" s="98"/>
      <c r="AG1619" s="98"/>
      <c r="AH1619" s="98"/>
      <c r="AI1619" s="98"/>
      <c r="AJ1619" s="98"/>
      <c r="AK1619" s="98"/>
      <c r="AL1619"/>
      <c r="AM1619"/>
      <c r="AN1619"/>
      <c r="AO1619"/>
      <c r="AP1619"/>
      <c r="AQ1619"/>
      <c r="AR1619"/>
      <c r="AS1619" s="98"/>
      <c r="AT1619"/>
      <c r="AU1619"/>
      <c r="AZ1619"/>
      <c r="BA1619"/>
      <c r="CJ1619"/>
      <c r="CK1619"/>
    </row>
    <row r="1620" spans="1:89" x14ac:dyDescent="0.25">
      <c r="A1620"/>
      <c r="W1620"/>
      <c r="X1620"/>
      <c r="Y1620"/>
      <c r="Z1620" s="98"/>
      <c r="AA1620" s="98"/>
      <c r="AB1620" s="98"/>
      <c r="AC1620" s="98"/>
      <c r="AD1620" s="98"/>
      <c r="AE1620" s="98"/>
      <c r="AF1620" s="98"/>
      <c r="AG1620" s="98"/>
      <c r="AH1620" s="98"/>
      <c r="AI1620" s="98"/>
      <c r="AJ1620" s="98"/>
      <c r="AK1620" s="98"/>
      <c r="AL1620"/>
      <c r="AM1620"/>
      <c r="AN1620"/>
      <c r="AO1620"/>
      <c r="AP1620"/>
      <c r="AQ1620"/>
      <c r="AR1620"/>
      <c r="AS1620" s="98"/>
      <c r="AT1620"/>
      <c r="AU1620"/>
      <c r="AZ1620"/>
      <c r="BA1620"/>
      <c r="CJ1620"/>
      <c r="CK1620"/>
    </row>
    <row r="1621" spans="1:89" x14ac:dyDescent="0.25">
      <c r="A1621"/>
      <c r="W1621"/>
      <c r="X1621"/>
      <c r="Y1621"/>
      <c r="Z1621" s="98"/>
      <c r="AA1621" s="98"/>
      <c r="AB1621" s="98"/>
      <c r="AC1621" s="98"/>
      <c r="AD1621" s="98"/>
      <c r="AE1621" s="98"/>
      <c r="AF1621" s="98"/>
      <c r="AG1621" s="98"/>
      <c r="AH1621" s="98"/>
      <c r="AI1621" s="98"/>
      <c r="AJ1621" s="98"/>
      <c r="AK1621" s="98"/>
      <c r="AL1621"/>
      <c r="AM1621"/>
      <c r="AN1621"/>
      <c r="AO1621"/>
      <c r="AP1621"/>
      <c r="AQ1621"/>
      <c r="AR1621"/>
      <c r="AS1621" s="98"/>
      <c r="AT1621"/>
      <c r="AU1621"/>
      <c r="AZ1621"/>
      <c r="BA1621"/>
      <c r="CJ1621"/>
      <c r="CK1621"/>
    </row>
    <row r="1622" spans="1:89" x14ac:dyDescent="0.25">
      <c r="A1622"/>
      <c r="W1622"/>
      <c r="X1622"/>
      <c r="Y1622"/>
      <c r="Z1622" s="98"/>
      <c r="AA1622" s="98"/>
      <c r="AB1622" s="98"/>
      <c r="AC1622" s="98"/>
      <c r="AD1622" s="98"/>
      <c r="AE1622" s="98"/>
      <c r="AF1622" s="98"/>
      <c r="AG1622" s="98"/>
      <c r="AH1622" s="98"/>
      <c r="AI1622" s="98"/>
      <c r="AJ1622" s="98"/>
      <c r="AK1622" s="98"/>
      <c r="AL1622"/>
      <c r="AM1622"/>
      <c r="AN1622"/>
      <c r="AO1622"/>
      <c r="AP1622"/>
      <c r="AQ1622"/>
      <c r="AR1622"/>
      <c r="AS1622" s="98"/>
      <c r="AT1622"/>
      <c r="AU1622"/>
      <c r="AZ1622"/>
      <c r="BA1622"/>
      <c r="CJ1622"/>
      <c r="CK1622"/>
    </row>
    <row r="1623" spans="1:89" x14ac:dyDescent="0.25">
      <c r="A1623"/>
      <c r="W1623"/>
      <c r="X1623"/>
      <c r="Y1623"/>
      <c r="Z1623" s="98"/>
      <c r="AA1623" s="98"/>
      <c r="AB1623" s="98"/>
      <c r="AC1623" s="98"/>
      <c r="AD1623" s="98"/>
      <c r="AE1623" s="98"/>
      <c r="AF1623" s="98"/>
      <c r="AG1623" s="98"/>
      <c r="AH1623" s="98"/>
      <c r="AI1623" s="98"/>
      <c r="AJ1623" s="98"/>
      <c r="AK1623" s="98"/>
      <c r="AL1623"/>
      <c r="AM1623"/>
      <c r="AN1623"/>
      <c r="AO1623"/>
      <c r="AP1623"/>
      <c r="AQ1623"/>
      <c r="AR1623"/>
      <c r="AS1623" s="98"/>
      <c r="AT1623"/>
      <c r="AU1623"/>
      <c r="AZ1623"/>
      <c r="BA1623"/>
      <c r="CJ1623"/>
      <c r="CK1623"/>
    </row>
    <row r="1624" spans="1:89" x14ac:dyDescent="0.25">
      <c r="A1624"/>
      <c r="W1624"/>
      <c r="X1624"/>
      <c r="Y1624"/>
      <c r="Z1624" s="98"/>
      <c r="AA1624" s="98"/>
      <c r="AB1624" s="98"/>
      <c r="AC1624" s="98"/>
      <c r="AD1624" s="98"/>
      <c r="AE1624" s="98"/>
      <c r="AF1624" s="98"/>
      <c r="AG1624" s="98"/>
      <c r="AH1624" s="98"/>
      <c r="AI1624" s="98"/>
      <c r="AJ1624" s="98"/>
      <c r="AK1624" s="98"/>
      <c r="AL1624"/>
      <c r="AM1624"/>
      <c r="AN1624"/>
      <c r="AO1624"/>
      <c r="AP1624"/>
      <c r="AQ1624"/>
      <c r="AR1624"/>
      <c r="AS1624" s="98"/>
      <c r="AT1624"/>
      <c r="AU1624"/>
      <c r="AZ1624"/>
      <c r="BA1624"/>
      <c r="CJ1624"/>
      <c r="CK1624"/>
    </row>
    <row r="1625" spans="1:89" x14ac:dyDescent="0.25">
      <c r="A1625"/>
      <c r="W1625"/>
      <c r="X1625"/>
      <c r="Y1625"/>
      <c r="Z1625" s="98"/>
      <c r="AA1625" s="98"/>
      <c r="AB1625" s="98"/>
      <c r="AC1625" s="98"/>
      <c r="AD1625" s="98"/>
      <c r="AE1625" s="98"/>
      <c r="AF1625" s="98"/>
      <c r="AG1625" s="98"/>
      <c r="AH1625" s="98"/>
      <c r="AI1625" s="98"/>
      <c r="AJ1625" s="98"/>
      <c r="AK1625" s="98"/>
      <c r="AL1625"/>
      <c r="AM1625"/>
      <c r="AN1625"/>
      <c r="AO1625"/>
      <c r="AP1625"/>
      <c r="AQ1625"/>
      <c r="AR1625"/>
      <c r="AS1625" s="98"/>
      <c r="AT1625"/>
      <c r="AU1625"/>
      <c r="AZ1625"/>
      <c r="BA1625"/>
      <c r="CJ1625"/>
      <c r="CK1625"/>
    </row>
    <row r="1626" spans="1:89" x14ac:dyDescent="0.25">
      <c r="A1626"/>
      <c r="W1626"/>
      <c r="X1626"/>
      <c r="Y1626"/>
      <c r="Z1626" s="98"/>
      <c r="AA1626" s="98"/>
      <c r="AB1626" s="98"/>
      <c r="AC1626" s="98"/>
      <c r="AD1626" s="98"/>
      <c r="AE1626" s="98"/>
      <c r="AF1626" s="98"/>
      <c r="AG1626" s="98"/>
      <c r="AH1626" s="98"/>
      <c r="AI1626" s="98"/>
      <c r="AJ1626" s="98"/>
      <c r="AK1626" s="98"/>
      <c r="AL1626"/>
      <c r="AM1626"/>
      <c r="AN1626"/>
      <c r="AO1626"/>
      <c r="AP1626"/>
      <c r="AQ1626"/>
      <c r="AR1626"/>
      <c r="AS1626" s="98"/>
      <c r="AT1626"/>
      <c r="AU1626"/>
      <c r="AZ1626"/>
      <c r="BA1626"/>
      <c r="CJ1626"/>
      <c r="CK1626"/>
    </row>
    <row r="1627" spans="1:89" x14ac:dyDescent="0.25">
      <c r="A1627"/>
      <c r="W1627"/>
      <c r="X1627"/>
      <c r="Y1627"/>
      <c r="Z1627" s="98"/>
      <c r="AA1627" s="98"/>
      <c r="AB1627" s="98"/>
      <c r="AC1627" s="98"/>
      <c r="AD1627" s="98"/>
      <c r="AE1627" s="98"/>
      <c r="AF1627" s="98"/>
      <c r="AG1627" s="98"/>
      <c r="AH1627" s="98"/>
      <c r="AI1627" s="98"/>
      <c r="AJ1627" s="98"/>
      <c r="AK1627" s="98"/>
      <c r="AL1627"/>
      <c r="AM1627"/>
      <c r="AN1627"/>
      <c r="AO1627"/>
      <c r="AP1627"/>
      <c r="AQ1627"/>
      <c r="AR1627"/>
      <c r="AS1627" s="98"/>
      <c r="AT1627"/>
      <c r="AU1627"/>
      <c r="AZ1627"/>
      <c r="BA1627"/>
      <c r="CJ1627"/>
      <c r="CK1627"/>
    </row>
    <row r="1628" spans="1:89" x14ac:dyDescent="0.25">
      <c r="A1628"/>
      <c r="W1628"/>
      <c r="X1628"/>
      <c r="Y1628"/>
      <c r="Z1628" s="98"/>
      <c r="AA1628" s="98"/>
      <c r="AB1628" s="98"/>
      <c r="AC1628" s="98"/>
      <c r="AD1628" s="98"/>
      <c r="AE1628" s="98"/>
      <c r="AF1628" s="98"/>
      <c r="AG1628" s="98"/>
      <c r="AH1628" s="98"/>
      <c r="AI1628" s="98"/>
      <c r="AJ1628" s="98"/>
      <c r="AK1628" s="98"/>
      <c r="AL1628"/>
      <c r="AM1628"/>
      <c r="AN1628"/>
      <c r="AO1628"/>
      <c r="AP1628"/>
      <c r="AQ1628"/>
      <c r="AR1628"/>
      <c r="AS1628" s="98"/>
      <c r="AT1628"/>
      <c r="AU1628"/>
      <c r="AZ1628"/>
      <c r="BA1628"/>
      <c r="CJ1628"/>
      <c r="CK1628"/>
    </row>
    <row r="1629" spans="1:89" x14ac:dyDescent="0.25">
      <c r="A1629"/>
      <c r="W1629"/>
      <c r="X1629"/>
      <c r="Y1629"/>
      <c r="Z1629" s="98"/>
      <c r="AA1629" s="98"/>
      <c r="AB1629" s="98"/>
      <c r="AC1629" s="98"/>
      <c r="AD1629" s="98"/>
      <c r="AE1629" s="98"/>
      <c r="AF1629" s="98"/>
      <c r="AG1629" s="98"/>
      <c r="AH1629" s="98"/>
      <c r="AI1629" s="98"/>
      <c r="AJ1629" s="98"/>
      <c r="AK1629" s="98"/>
      <c r="AL1629"/>
      <c r="AM1629"/>
      <c r="AN1629"/>
      <c r="AO1629"/>
      <c r="AP1629"/>
      <c r="AQ1629"/>
      <c r="AR1629"/>
      <c r="AS1629" s="98"/>
      <c r="AT1629"/>
      <c r="AU1629"/>
      <c r="AZ1629"/>
      <c r="BA1629"/>
      <c r="CJ1629"/>
      <c r="CK1629"/>
    </row>
    <row r="1630" spans="1:89" x14ac:dyDescent="0.25">
      <c r="A1630"/>
      <c r="W1630"/>
      <c r="X1630"/>
      <c r="Y1630"/>
      <c r="Z1630" s="98"/>
      <c r="AA1630" s="98"/>
      <c r="AB1630" s="98"/>
      <c r="AC1630" s="98"/>
      <c r="AD1630" s="98"/>
      <c r="AE1630" s="98"/>
      <c r="AF1630" s="98"/>
      <c r="AG1630" s="98"/>
      <c r="AH1630" s="98"/>
      <c r="AI1630" s="98"/>
      <c r="AJ1630" s="98"/>
      <c r="AK1630" s="98"/>
      <c r="AL1630"/>
      <c r="AM1630"/>
      <c r="AN1630"/>
      <c r="AO1630"/>
      <c r="AP1630"/>
      <c r="AQ1630"/>
      <c r="AR1630"/>
      <c r="AS1630" s="98"/>
      <c r="AT1630"/>
      <c r="AU1630"/>
      <c r="AZ1630"/>
      <c r="BA1630"/>
      <c r="CJ1630"/>
      <c r="CK1630"/>
    </row>
    <row r="1631" spans="1:89" x14ac:dyDescent="0.25">
      <c r="A1631"/>
      <c r="W1631"/>
      <c r="X1631"/>
      <c r="Y1631"/>
      <c r="Z1631" s="98"/>
      <c r="AA1631" s="98"/>
      <c r="AB1631" s="98"/>
      <c r="AC1631" s="98"/>
      <c r="AD1631" s="98"/>
      <c r="AE1631" s="98"/>
      <c r="AF1631" s="98"/>
      <c r="AG1631" s="98"/>
      <c r="AH1631" s="98"/>
      <c r="AI1631" s="98"/>
      <c r="AJ1631" s="98"/>
      <c r="AK1631" s="98"/>
      <c r="AL1631"/>
      <c r="AM1631"/>
      <c r="AN1631"/>
      <c r="AO1631"/>
      <c r="AP1631"/>
      <c r="AQ1631"/>
      <c r="AR1631"/>
      <c r="AS1631" s="98"/>
      <c r="AT1631"/>
      <c r="AU1631"/>
      <c r="AZ1631"/>
      <c r="BA1631"/>
      <c r="CJ1631"/>
      <c r="CK1631"/>
    </row>
    <row r="1632" spans="1:89" x14ac:dyDescent="0.25">
      <c r="A1632"/>
      <c r="W1632"/>
      <c r="X1632"/>
      <c r="Y1632"/>
      <c r="Z1632" s="98"/>
      <c r="AA1632" s="98"/>
      <c r="AB1632" s="98"/>
      <c r="AC1632" s="98"/>
      <c r="AD1632" s="98"/>
      <c r="AE1632" s="98"/>
      <c r="AF1632" s="98"/>
      <c r="AG1632" s="98"/>
      <c r="AH1632" s="98"/>
      <c r="AI1632" s="98"/>
      <c r="AJ1632" s="98"/>
      <c r="AK1632" s="98"/>
      <c r="AL1632"/>
      <c r="AM1632"/>
      <c r="AN1632"/>
      <c r="AO1632"/>
      <c r="AP1632"/>
      <c r="AQ1632"/>
      <c r="AR1632"/>
      <c r="AS1632" s="98"/>
      <c r="AT1632"/>
      <c r="AU1632"/>
      <c r="AZ1632"/>
      <c r="BA1632"/>
      <c r="CJ1632"/>
      <c r="CK1632"/>
    </row>
    <row r="1633" spans="1:89" x14ac:dyDescent="0.25">
      <c r="A1633"/>
      <c r="W1633"/>
      <c r="X1633"/>
      <c r="Y1633"/>
      <c r="Z1633" s="98"/>
      <c r="AA1633" s="98"/>
      <c r="AB1633" s="98"/>
      <c r="AC1633" s="98"/>
      <c r="AD1633" s="98"/>
      <c r="AE1633" s="98"/>
      <c r="AF1633" s="98"/>
      <c r="AG1633" s="98"/>
      <c r="AH1633" s="98"/>
      <c r="AI1633" s="98"/>
      <c r="AJ1633" s="98"/>
      <c r="AK1633" s="98"/>
      <c r="AL1633"/>
      <c r="AM1633"/>
      <c r="AN1633"/>
      <c r="AO1633"/>
      <c r="AP1633"/>
      <c r="AQ1633"/>
      <c r="AR1633"/>
      <c r="AS1633" s="98"/>
      <c r="AT1633"/>
      <c r="AU1633"/>
      <c r="AZ1633"/>
      <c r="BA1633"/>
      <c r="CJ1633"/>
      <c r="CK1633"/>
    </row>
    <row r="1634" spans="1:89" x14ac:dyDescent="0.25">
      <c r="A1634"/>
      <c r="W1634"/>
      <c r="X1634"/>
      <c r="Y1634"/>
      <c r="Z1634" s="98"/>
      <c r="AA1634" s="98"/>
      <c r="AB1634" s="98"/>
      <c r="AC1634" s="98"/>
      <c r="AD1634" s="98"/>
      <c r="AE1634" s="98"/>
      <c r="AF1634" s="98"/>
      <c r="AG1634" s="98"/>
      <c r="AH1634" s="98"/>
      <c r="AI1634" s="98"/>
      <c r="AJ1634" s="98"/>
      <c r="AK1634" s="98"/>
      <c r="AL1634"/>
      <c r="AM1634"/>
      <c r="AN1634"/>
      <c r="AO1634"/>
      <c r="AP1634"/>
      <c r="AQ1634"/>
      <c r="AR1634"/>
      <c r="AS1634" s="98"/>
      <c r="AT1634"/>
      <c r="AU1634"/>
      <c r="AZ1634"/>
      <c r="BA1634"/>
      <c r="CJ1634"/>
      <c r="CK1634"/>
    </row>
    <row r="1635" spans="1:89" x14ac:dyDescent="0.25">
      <c r="A1635"/>
      <c r="W1635"/>
      <c r="X1635"/>
      <c r="Y1635"/>
      <c r="Z1635" s="98"/>
      <c r="AA1635" s="98"/>
      <c r="AB1635" s="98"/>
      <c r="AC1635" s="98"/>
      <c r="AD1635" s="98"/>
      <c r="AE1635" s="98"/>
      <c r="AF1635" s="98"/>
      <c r="AG1635" s="98"/>
      <c r="AH1635" s="98"/>
      <c r="AI1635" s="98"/>
      <c r="AJ1635" s="98"/>
      <c r="AK1635" s="98"/>
      <c r="AL1635"/>
      <c r="AM1635"/>
      <c r="AN1635"/>
      <c r="AO1635"/>
      <c r="AP1635"/>
      <c r="AQ1635"/>
      <c r="AR1635"/>
      <c r="AS1635" s="98"/>
      <c r="AT1635"/>
      <c r="AU1635"/>
      <c r="AZ1635"/>
      <c r="BA1635"/>
      <c r="CJ1635"/>
      <c r="CK1635"/>
    </row>
    <row r="1636" spans="1:89" x14ac:dyDescent="0.25">
      <c r="A1636"/>
      <c r="W1636"/>
      <c r="X1636"/>
      <c r="Y1636"/>
      <c r="Z1636" s="98"/>
      <c r="AA1636" s="98"/>
      <c r="AB1636" s="98"/>
      <c r="AC1636" s="98"/>
      <c r="AD1636" s="98"/>
      <c r="AE1636" s="98"/>
      <c r="AF1636" s="98"/>
      <c r="AG1636" s="98"/>
      <c r="AH1636" s="98"/>
      <c r="AI1636" s="98"/>
      <c r="AJ1636" s="98"/>
      <c r="AK1636" s="98"/>
      <c r="AL1636"/>
      <c r="AM1636"/>
      <c r="AN1636"/>
      <c r="AO1636"/>
      <c r="AP1636"/>
      <c r="AQ1636"/>
      <c r="AR1636"/>
      <c r="AS1636" s="98"/>
      <c r="AT1636"/>
      <c r="AU1636"/>
      <c r="AZ1636"/>
      <c r="BA1636"/>
      <c r="CJ1636"/>
      <c r="CK1636"/>
    </row>
    <row r="1637" spans="1:89" x14ac:dyDescent="0.25">
      <c r="A1637"/>
      <c r="W1637"/>
      <c r="X1637"/>
      <c r="Y1637"/>
      <c r="Z1637" s="98"/>
      <c r="AA1637" s="98"/>
      <c r="AB1637" s="98"/>
      <c r="AC1637" s="98"/>
      <c r="AD1637" s="98"/>
      <c r="AE1637" s="98"/>
      <c r="AF1637" s="98"/>
      <c r="AG1637" s="98"/>
      <c r="AH1637" s="98"/>
      <c r="AI1637" s="98"/>
      <c r="AJ1637" s="98"/>
      <c r="AK1637" s="98"/>
      <c r="AL1637"/>
      <c r="AM1637"/>
      <c r="AN1637"/>
      <c r="AO1637"/>
      <c r="AP1637"/>
      <c r="AQ1637"/>
      <c r="AR1637"/>
      <c r="AS1637" s="98"/>
      <c r="AT1637"/>
      <c r="AU1637"/>
      <c r="AZ1637"/>
      <c r="BA1637"/>
      <c r="CJ1637"/>
      <c r="CK1637"/>
    </row>
    <row r="1638" spans="1:89" x14ac:dyDescent="0.25">
      <c r="A1638"/>
      <c r="W1638"/>
      <c r="X1638"/>
      <c r="Y1638"/>
      <c r="Z1638" s="98"/>
      <c r="AA1638" s="98"/>
      <c r="AB1638" s="98"/>
      <c r="AC1638" s="98"/>
      <c r="AD1638" s="98"/>
      <c r="AE1638" s="98"/>
      <c r="AF1638" s="98"/>
      <c r="AG1638" s="98"/>
      <c r="AH1638" s="98"/>
      <c r="AI1638" s="98"/>
      <c r="AJ1638" s="98"/>
      <c r="AK1638" s="98"/>
      <c r="AL1638"/>
      <c r="AM1638"/>
      <c r="AN1638"/>
      <c r="AO1638"/>
      <c r="AP1638"/>
      <c r="AQ1638"/>
      <c r="AR1638"/>
      <c r="AS1638" s="98"/>
      <c r="AT1638"/>
      <c r="AU1638"/>
      <c r="AZ1638"/>
      <c r="BA1638"/>
      <c r="CJ1638"/>
      <c r="CK1638"/>
    </row>
    <row r="1639" spans="1:89" x14ac:dyDescent="0.25">
      <c r="A1639"/>
      <c r="W1639"/>
      <c r="X1639"/>
      <c r="Y1639"/>
      <c r="Z1639" s="98"/>
      <c r="AA1639" s="98"/>
      <c r="AB1639" s="98"/>
      <c r="AC1639" s="98"/>
      <c r="AD1639" s="98"/>
      <c r="AE1639" s="98"/>
      <c r="AF1639" s="98"/>
      <c r="AG1639" s="98"/>
      <c r="AH1639" s="98"/>
      <c r="AI1639" s="98"/>
      <c r="AJ1639" s="98"/>
      <c r="AK1639" s="98"/>
      <c r="AL1639"/>
      <c r="AM1639"/>
      <c r="AN1639"/>
      <c r="AO1639"/>
      <c r="AP1639"/>
      <c r="AQ1639"/>
      <c r="AR1639"/>
      <c r="AS1639" s="98"/>
      <c r="AT1639"/>
      <c r="AU1639"/>
      <c r="AZ1639"/>
      <c r="BA1639"/>
      <c r="CJ1639"/>
      <c r="CK1639"/>
    </row>
  </sheetData>
  <pageMargins left="0.7" right="0.7" top="0.75" bottom="0.75" header="0.3" footer="0.3"/>
  <pageSetup orientation="portrait" horizontalDpi="4294967293" r:id="rId1"/>
  <ignoredErrors>
    <ignoredError sqref="AD43 AD53 AG86 AD140 AD173 AC185 AD194 AD312 AD351 AG358 AD363 AD393 AD420 AG423 AD432 AD453 AD467 AD492" formula="1"/>
    <ignoredError sqref="X230:Y284 X130:Y180 X322:Y358 X360:Y396 X449:Y499 X501:Y547 X549:Y603 X640:Y676 X821:Y867 X869:Y923 X962:Y998 X1263:Y1285 X1000:Y1036 X1038:Y1089 X1139:Y1185 X1187:Y1231 X2:Y38 X286:Y306 X398:Y410 X605:Y628 X678:Y715 X717:Y767 X769:Y819 X925:Y960 X1091:Y1137 X1243:Y1261 X1262:Y1262 X1286:Y1286 X319:Y320 X308:Y317 Y307 X638:Y638 Y637 X630:Y636 Y629 X1288:Y1324 X1326:Y1362 X1364:Y1416 X1418:Y1464 X1466:Y1512 X1514:Y1568 X1570:Y1613 X1232:Y1241 X40:Y76 X78:Y128 X182:Y228 X412:Y447 Y411 CB322:CB358 BU322:BU358 BU360:BU396 CB360:CB396 BU398:BU447 CB398:CB447 BU449:BU481 BU483:BU499 CB449:CB481 CB483:CB499 BU501:BU547 CB501:CB547 BU549:BU603 CB549:CB603 BU605:BU638 CB605:CB638 BU640:BU676 CB640:CB676 BU678:BU688 BU690:BU715 CB678:CB688 CB690:CB715 BU717:BU767 CB717:CB767 BU769:BU800 BU802:BU819 CB769:CB800 CB802:CB819 BU821:BU867 CB821:CB867 BU869:BU923 CB869:CB923 BU925:BU960 CB925:CB960 BU962:BU998 CB962:CB998 BU1000:BU1009 BU1011:BU1036 CB1000:CB1009 CB1011:CB1036 BU1038:BU1055 BU1057:BU1089 CB1038:CB1055 CB1057:CB1089 BU1091:BU1123 BU1125:BU1137 CB1091:CB1123 CB1125:CB1137 BU1139:BU1185 CB1139:CB1185 BU1187:BU1241 CB1187:CB1241 BU1243:BU1286 CB1243:CB1286 CB2:CB38 CB40:CB76 BU2:BU38 BU40:BU76 BU78:BU95 BU97:BU128 CB78:CB95 CB97:CB128 BU130:BU162 BU164:BU180 CB130:CB162 CB164:CB180 BU182:BU228 CB182:CB228 BU230:BU284 CB230:CB284 BU286:BU320 CB286:CB320" formulaRange="1"/>
    <ignoredError sqref="X318:Y318 X307 X637 X629 X411" formula="1" formulaRange="1"/>
    <ignoredError sqref="AT1326:AT1362 F1129 D1129 F126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ANOVA Test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mstei</dc:creator>
  <cp:keywords/>
  <dc:description/>
  <cp:lastModifiedBy>Michael Stein</cp:lastModifiedBy>
  <cp:revision/>
  <dcterms:created xsi:type="dcterms:W3CDTF">2020-03-23T10:01:14Z</dcterms:created>
  <dcterms:modified xsi:type="dcterms:W3CDTF">2022-03-24T15:12:23Z</dcterms:modified>
  <cp:category/>
  <cp:contentStatus/>
</cp:coreProperties>
</file>