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firstSheet="1" activeTab="7"/>
  </bookViews>
  <sheets>
    <sheet name="Prosjektbeskrivelse" sheetId="2" r:id="rId1"/>
    <sheet name="Beregninger" sheetId="1" r:id="rId2"/>
    <sheet name="LED-sekvenser" sheetId="3" r:id="rId3"/>
    <sheet name="Strømforbruk Vcc" sheetId="4" r:id="rId4"/>
    <sheet name="LED stripe" sheetId="5" r:id="rId5"/>
    <sheet name="LED stripe 3528" sheetId="6" r:id="rId6"/>
    <sheet name="LM317T" sheetId="7" r:id="rId7"/>
    <sheet name="HC595 + 7segCC LED" sheetId="8" r:id="rId8"/>
  </sheets>
  <calcPr calcId="152511"/>
</workbook>
</file>

<file path=xl/calcChain.xml><?xml version="1.0" encoding="utf-8"?>
<calcChain xmlns="http://schemas.openxmlformats.org/spreadsheetml/2006/main">
  <c r="T12" i="8" l="1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V26" i="2" l="1"/>
  <c r="U26" i="2"/>
  <c r="T26" i="2"/>
  <c r="S26" i="2"/>
  <c r="R26" i="2"/>
  <c r="W26" i="2" s="1"/>
  <c r="W28" i="2" s="1"/>
  <c r="Q26" i="2"/>
  <c r="P26" i="2"/>
  <c r="V28" i="2"/>
  <c r="U28" i="2"/>
  <c r="T28" i="2"/>
  <c r="S28" i="2"/>
  <c r="R28" i="2"/>
  <c r="Q28" i="2"/>
  <c r="P28" i="2"/>
  <c r="O28" i="2"/>
  <c r="N28" i="2"/>
  <c r="M28" i="2"/>
  <c r="K28" i="2"/>
  <c r="L28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K21" i="2"/>
  <c r="N24" i="2"/>
  <c r="K24" i="2"/>
  <c r="L24" i="2"/>
  <c r="M24" i="2"/>
  <c r="W21" i="2"/>
  <c r="V21" i="2"/>
  <c r="U21" i="2"/>
  <c r="T21" i="2"/>
  <c r="S21" i="2"/>
  <c r="R21" i="2"/>
  <c r="Q21" i="2"/>
  <c r="P21" i="2"/>
  <c r="O21" i="2"/>
  <c r="N21" i="2"/>
  <c r="M21" i="2"/>
  <c r="L21" i="2"/>
  <c r="B66" i="1"/>
  <c r="A66" i="1"/>
  <c r="C31" i="7"/>
  <c r="F25" i="7"/>
  <c r="J56" i="6" l="1"/>
  <c r="H56" i="6"/>
  <c r="F56" i="6"/>
  <c r="B54" i="6"/>
  <c r="B53" i="6"/>
  <c r="J51" i="6"/>
  <c r="J55" i="6" s="1"/>
  <c r="H51" i="6"/>
  <c r="F51" i="6"/>
  <c r="F55" i="6" s="1"/>
  <c r="J50" i="6"/>
  <c r="H50" i="6"/>
  <c r="F50" i="6"/>
  <c r="J49" i="6"/>
  <c r="J53" i="6" s="1"/>
  <c r="H49" i="6"/>
  <c r="F49" i="6"/>
  <c r="F53" i="6" s="1"/>
  <c r="B43" i="6"/>
  <c r="B51" i="6" s="1"/>
  <c r="H55" i="6" s="1"/>
  <c r="B40" i="6"/>
  <c r="B50" i="6" s="1"/>
  <c r="B37" i="6"/>
  <c r="B49" i="6" s="1"/>
  <c r="B54" i="5"/>
  <c r="B53" i="5"/>
  <c r="J56" i="5"/>
  <c r="H56" i="5"/>
  <c r="F56" i="5"/>
  <c r="J49" i="5"/>
  <c r="J51" i="5"/>
  <c r="H51" i="5"/>
  <c r="H50" i="5"/>
  <c r="J50" i="5"/>
  <c r="H49" i="5"/>
  <c r="F51" i="5"/>
  <c r="F50" i="5"/>
  <c r="F49" i="5"/>
  <c r="B43" i="5"/>
  <c r="B51" i="5" s="1"/>
  <c r="J55" i="5" s="1"/>
  <c r="B40" i="5"/>
  <c r="B50" i="5" s="1"/>
  <c r="H54" i="5" s="1"/>
  <c r="B37" i="5"/>
  <c r="B49" i="5" s="1"/>
  <c r="J53" i="5" s="1"/>
  <c r="K15" i="1"/>
  <c r="D11" i="4"/>
  <c r="D10" i="4"/>
  <c r="C11" i="4"/>
  <c r="D9" i="4"/>
  <c r="D8" i="4"/>
  <c r="C8" i="4"/>
  <c r="D6" i="4"/>
  <c r="D7" i="4"/>
  <c r="C7" i="4"/>
  <c r="D5" i="4"/>
  <c r="D13" i="4" s="1"/>
  <c r="AA30" i="2"/>
  <c r="AA11" i="2"/>
  <c r="W22" i="2" s="1"/>
  <c r="H54" i="6" l="1"/>
  <c r="H53" i="6"/>
  <c r="H57" i="6" s="1"/>
  <c r="F54" i="6"/>
  <c r="F57" i="6" s="1"/>
  <c r="J54" i="6"/>
  <c r="J57" i="6" s="1"/>
  <c r="F54" i="5"/>
  <c r="H53" i="5"/>
  <c r="H55" i="5"/>
  <c r="J54" i="5"/>
  <c r="J57" i="5" s="1"/>
  <c r="F53" i="5"/>
  <c r="F55" i="5"/>
  <c r="L22" i="2"/>
  <c r="N22" i="2"/>
  <c r="P22" i="2"/>
  <c r="R22" i="2"/>
  <c r="T22" i="2"/>
  <c r="V22" i="2"/>
  <c r="M22" i="2"/>
  <c r="O22" i="2"/>
  <c r="Q22" i="2"/>
  <c r="S22" i="2"/>
  <c r="U22" i="2"/>
  <c r="Q29" i="1"/>
  <c r="O28" i="1"/>
  <c r="O22" i="1"/>
  <c r="W24" i="2" l="1"/>
  <c r="U24" i="2"/>
  <c r="S24" i="2"/>
  <c r="Q24" i="2"/>
  <c r="O24" i="2"/>
  <c r="V24" i="2"/>
  <c r="T24" i="2"/>
  <c r="R24" i="2"/>
  <c r="P24" i="2"/>
  <c r="F57" i="5"/>
  <c r="H57" i="5"/>
  <c r="C13" i="1"/>
  <c r="D13" i="1" s="1"/>
  <c r="C14" i="1"/>
  <c r="C15" i="1"/>
  <c r="D15" i="1" s="1"/>
  <c r="E15" i="1" s="1"/>
  <c r="F15" i="1" s="1"/>
  <c r="C16" i="1"/>
  <c r="D16" i="1" s="1"/>
  <c r="E16" i="1" s="1"/>
  <c r="F16" i="1" s="1"/>
  <c r="C17" i="1"/>
  <c r="D17" i="1" s="1"/>
  <c r="E17" i="1" s="1"/>
  <c r="F17" i="1" s="1"/>
  <c r="C18" i="1"/>
  <c r="D18" i="1" s="1"/>
  <c r="E18" i="1" s="1"/>
  <c r="F18" i="1" s="1"/>
  <c r="C19" i="1"/>
  <c r="D19" i="1" s="1"/>
  <c r="E19" i="1" s="1"/>
  <c r="F19" i="1" s="1"/>
  <c r="C20" i="1"/>
  <c r="D20" i="1" s="1"/>
  <c r="E20" i="1" s="1"/>
  <c r="F20" i="1" s="1"/>
  <c r="C21" i="1"/>
  <c r="D21" i="1" s="1"/>
  <c r="E21" i="1" s="1"/>
  <c r="F21" i="1" s="1"/>
  <c r="C22" i="1"/>
  <c r="D22" i="1" s="1"/>
  <c r="E22" i="1" s="1"/>
  <c r="F22" i="1" s="1"/>
  <c r="C23" i="1"/>
  <c r="D23" i="1" s="1"/>
  <c r="E23" i="1" s="1"/>
  <c r="F23" i="1" s="1"/>
  <c r="C24" i="1"/>
  <c r="D24" i="1" s="1"/>
  <c r="E24" i="1" s="1"/>
  <c r="F24" i="1" s="1"/>
  <c r="C25" i="1"/>
  <c r="D25" i="1" s="1"/>
  <c r="E25" i="1" s="1"/>
  <c r="F25" i="1" s="1"/>
  <c r="B49" i="1"/>
  <c r="B48" i="1"/>
  <c r="B46" i="1"/>
  <c r="C38" i="1"/>
  <c r="Y28" i="2" l="1"/>
  <c r="C26" i="1"/>
  <c r="E13" i="1"/>
  <c r="F13" i="1" s="1"/>
  <c r="D14" i="1"/>
  <c r="E14" i="1" s="1"/>
  <c r="F14" i="1" s="1"/>
  <c r="K22" i="1"/>
  <c r="B6" i="1"/>
  <c r="D26" i="1" l="1"/>
  <c r="F26" i="1"/>
  <c r="F27" i="1" s="1"/>
</calcChain>
</file>

<file path=xl/sharedStrings.xml><?xml version="1.0" encoding="utf-8"?>
<sst xmlns="http://schemas.openxmlformats.org/spreadsheetml/2006/main" count="360" uniqueCount="214">
  <si>
    <t>LED lengde</t>
  </si>
  <si>
    <t>cm</t>
  </si>
  <si>
    <t>LED</t>
  </si>
  <si>
    <t>LED per meter</t>
  </si>
  <si>
    <t>stk</t>
  </si>
  <si>
    <t>Trappetrinn #</t>
  </si>
  <si>
    <t>Strøm</t>
  </si>
  <si>
    <t>[mA]</t>
  </si>
  <si>
    <t>Effektberegning TLC5940</t>
  </si>
  <si>
    <t>Vcc</t>
  </si>
  <si>
    <t>V</t>
  </si>
  <si>
    <t>Icc</t>
  </si>
  <si>
    <t>R_Iref</t>
  </si>
  <si>
    <t>ohm</t>
  </si>
  <si>
    <t>NB: Dette er typisk verdi; må måles for å få eksakt.</t>
  </si>
  <si>
    <t>mA</t>
  </si>
  <si>
    <t>Antatt max for denne R_Iref, se datablad side 4</t>
  </si>
  <si>
    <t>Vout</t>
  </si>
  <si>
    <t>12 V - foroverdrop dioder, ca 2V</t>
  </si>
  <si>
    <t>Imax</t>
  </si>
  <si>
    <t>Største Dot corr faktor (default)</t>
  </si>
  <si>
    <t>DCn</t>
  </si>
  <si>
    <t>dPWM</t>
  </si>
  <si>
    <t>N</t>
  </si>
  <si>
    <t>Alle på fullt samtidig</t>
  </si>
  <si>
    <r>
      <t>P</t>
    </r>
    <r>
      <rPr>
        <vertAlign val="subscript"/>
        <sz val="11"/>
        <color theme="1"/>
        <rFont val="Calibri"/>
        <family val="2"/>
        <scheme val="minor"/>
      </rPr>
      <t>D</t>
    </r>
  </si>
  <si>
    <t>mW</t>
  </si>
  <si>
    <t>per farge</t>
  </si>
  <si>
    <t>mA per farge</t>
  </si>
  <si>
    <t>A totalt</t>
  </si>
  <si>
    <t>Strømforbruk</t>
  </si>
  <si>
    <t>Dette er for mye, derfor må det brukes transistorer mellom 5940 og LED'ene</t>
  </si>
  <si>
    <t>Beregning av basestrøm på TIP120</t>
  </si>
  <si>
    <t>http://teachmetomake.wordpress.com/how-to-use-a-transistor-as-a-switch/</t>
  </si>
  <si>
    <t>Vbe(sat)_max = 1,5 V</t>
  </si>
  <si>
    <t>Minimum spenning over basemotstanden = 5 - 1,5 = 3,0 V</t>
  </si>
  <si>
    <t>Trenger minst 1,6 mA for å holde transistoren i metning.</t>
  </si>
  <si>
    <t xml:space="preserve">R_base_max = 3V / 1,6 mA = </t>
  </si>
  <si>
    <t>1 kohm motstander skulle passe. --&gt; Bestille 100 stk (kurant verdi).</t>
  </si>
  <si>
    <t>Basestrømmen er da</t>
  </si>
  <si>
    <t>http://www.ti.com/lit/an/slva280/slva280.pdf</t>
  </si>
  <si>
    <t>Dette notatet angir i avsnitt 3 minimum og maksimum Base-R:</t>
  </si>
  <si>
    <t>VBE</t>
  </si>
  <si>
    <t>Beta</t>
  </si>
  <si>
    <t>(Worst case current gain)</t>
  </si>
  <si>
    <t>I_LED_OC</t>
  </si>
  <si>
    <t>Overcurrent limit, anbefalt 20-30 over ILED_max</t>
  </si>
  <si>
    <t>I_LED_max</t>
  </si>
  <si>
    <t>Rb_min</t>
  </si>
  <si>
    <t>Rb_max</t>
  </si>
  <si>
    <t>kohm</t>
  </si>
  <si>
    <t>LED stripe:</t>
  </si>
  <si>
    <t>http://www.ebay.com/itm/5M-10M-15M-Waterproof-5050-SMD-RGB-300-LED-Flexible-Tape-Roll-Strip-Light-DIY-/271524618535?pt=AU_Lighting_Fans&amp;var=&amp;hash=item3f3820e127</t>
  </si>
  <si>
    <t>Ideell</t>
  </si>
  <si>
    <t>Valgt</t>
  </si>
  <si>
    <t>Antall</t>
  </si>
  <si>
    <t>Trinn-</t>
  </si>
  <si>
    <t>bredde</t>
  </si>
  <si>
    <t>=&gt; Kan IKKE bruke det store adapteret jeg kjøpte (10 A)</t>
  </si>
  <si>
    <t>Segment</t>
  </si>
  <si>
    <t>LED segm</t>
  </si>
  <si>
    <t>Trenger et 15A adapter eller flere adaptere.</t>
  </si>
  <si>
    <t>https://learn.adafruit.com/rgb-led-strips/</t>
  </si>
  <si>
    <t>(ovenfra)</t>
  </si>
  <si>
    <t>Konstruere og bygge trappebelysning i form av LED-striper som monteres under hver trappenese</t>
  </si>
  <si>
    <t>Trappa har totalt 13 trappeneser, inkludert øverst, som angitt i tabellen</t>
  </si>
  <si>
    <t>Øverste trappenese gir vanskelig montasje.</t>
  </si>
  <si>
    <t>Trappetrinn-profil:</t>
  </si>
  <si>
    <t>Furu</t>
  </si>
  <si>
    <t>Eik</t>
  </si>
  <si>
    <t xml:space="preserve"> </t>
  </si>
  <si>
    <t>LED-strimmel</t>
  </si>
  <si>
    <t>i Aluminiumsprofil</t>
  </si>
  <si>
    <t>med dekkglass</t>
  </si>
  <si>
    <t>Kabling og styre-elektronikk monteres under trappa</t>
  </si>
  <si>
    <t>Det bores hull ved hvert trinn for å trekke ledning</t>
  </si>
  <si>
    <t>Hull og kabel</t>
  </si>
  <si>
    <t>Elektronikken monteres i plastboks som monteres under trappa like innenfor døråpningen</t>
  </si>
  <si>
    <t>(gulv oppe)   1</t>
  </si>
  <si>
    <t>Kabel legges i kabelkanal langs vangen inn mot veggen.</t>
  </si>
  <si>
    <t>Nytt vegguttak</t>
  </si>
  <si>
    <t>Strømforsyning: Det må settes opp et nytt vegguttak under trappa</t>
  </si>
  <si>
    <t>Elektronikken forsynes med én 12 V / 15 A (eller to mindre )</t>
  </si>
  <si>
    <t>Må skaffes</t>
  </si>
  <si>
    <t>Strømforsyning 12V</t>
  </si>
  <si>
    <t>Kabelkanal</t>
  </si>
  <si>
    <t>Vegguttak</t>
  </si>
  <si>
    <t>(Har kanskje liggende)</t>
  </si>
  <si>
    <t>Sensorer</t>
  </si>
  <si>
    <t>PIR sensor oppe</t>
  </si>
  <si>
    <t>PIR sensor nede</t>
  </si>
  <si>
    <t>I den ene PIR-sensor boksen monteres det en fotoresistor (lyst/mørkt sensor)</t>
  </si>
  <si>
    <t>PIR-sensor oppe (bevegelsessensor). Veggmontert.</t>
  </si>
  <si>
    <t>PIR-sensor nede (bevegelsessensor). Veggmontert.</t>
  </si>
  <si>
    <t>Elektronikk-boks</t>
  </si>
  <si>
    <t>Tre identiske driverkort, hvert med tre TLC5940. Hvert kort kan drive 5 LED-striper</t>
  </si>
  <si>
    <t>Kortene seriekobles og styres serielt fra Styrekortet, som inneholder en Arduiono Nano</t>
  </si>
  <si>
    <t>Trykkbryter og et 7-segment LED display for valg av LED-sekvens</t>
  </si>
  <si>
    <t>Sekvens #</t>
  </si>
  <si>
    <t>Fade opp trinn for trinn i opp/ ned retning. Pause mens alle lyser. Fade ned i samme retning.</t>
  </si>
  <si>
    <t>Maksimum per pinne (vi parallellkobler tre)</t>
  </si>
  <si>
    <t>sjekk at &gt; enn</t>
  </si>
  <si>
    <t>Resultat R</t>
  </si>
  <si>
    <t>R1</t>
  </si>
  <si>
    <t>R2</t>
  </si>
  <si>
    <t>cm per trinn</t>
  </si>
  <si>
    <t>Horisontal</t>
  </si>
  <si>
    <t>Diagonal</t>
  </si>
  <si>
    <t>Diag lengde</t>
  </si>
  <si>
    <t>Tillegg pr kabel</t>
  </si>
  <si>
    <t>Sum kabel</t>
  </si>
  <si>
    <t>Hjørne</t>
  </si>
  <si>
    <t>Kabellengder</t>
  </si>
  <si>
    <t>Strømforbruk 5V</t>
  </si>
  <si>
    <t>Kan levere max 200 mA</t>
  </si>
  <si>
    <t>Chip</t>
  </si>
  <si>
    <t>antall</t>
  </si>
  <si>
    <t>Totalt</t>
  </si>
  <si>
    <t>TCL5940</t>
  </si>
  <si>
    <t>Icc_max [mA]</t>
  </si>
  <si>
    <t>74HC595</t>
  </si>
  <si>
    <t>7-seg LED</t>
  </si>
  <si>
    <t>Pull-R v/bryter</t>
  </si>
  <si>
    <t>PIR-sensor</t>
  </si>
  <si>
    <t>Timer 555</t>
  </si>
  <si>
    <t>LED v/555 timer</t>
  </si>
  <si>
    <t>Sum</t>
  </si>
  <si>
    <t>=&gt; Trenger en spenningsregulator her, ja…</t>
  </si>
  <si>
    <t>Alle kanalene på hver chip</t>
  </si>
  <si>
    <t>V_Iref_pin</t>
  </si>
  <si>
    <t>Vi trenger inntil 360 mA per stripe per farge.</t>
  </si>
  <si>
    <t>https://learn.adafruit.com/rgb-led-strips</t>
  </si>
  <si>
    <t>Rød</t>
  </si>
  <si>
    <t>Vdd</t>
  </si>
  <si>
    <t>Idd</t>
  </si>
  <si>
    <t>Beregner diodenes foroverspenning Vf:</t>
  </si>
  <si>
    <t>Rr</t>
  </si>
  <si>
    <t>Vf_rød</t>
  </si>
  <si>
    <t>Grønn</t>
  </si>
  <si>
    <t>Rg</t>
  </si>
  <si>
    <t>Vf_grønn</t>
  </si>
  <si>
    <t>Blå</t>
  </si>
  <si>
    <t>Vf_blå</t>
  </si>
  <si>
    <t>Segmenter</t>
  </si>
  <si>
    <t>Beregning av Vout for TCL5940</t>
  </si>
  <si>
    <t>(Avlest på min stripe)</t>
  </si>
  <si>
    <t>Vout_rødt</t>
  </si>
  <si>
    <t>Vout_grønt</t>
  </si>
  <si>
    <t>Vout_blått</t>
  </si>
  <si>
    <t>Parall_pinner</t>
  </si>
  <si>
    <t>IC1</t>
  </si>
  <si>
    <t>IC2</t>
  </si>
  <si>
    <t>IC3</t>
  </si>
  <si>
    <t>G1</t>
  </si>
  <si>
    <t>B1</t>
  </si>
  <si>
    <t>G2</t>
  </si>
  <si>
    <t>B2</t>
  </si>
  <si>
    <t>G3</t>
  </si>
  <si>
    <t>R3</t>
  </si>
  <si>
    <t>B3</t>
  </si>
  <si>
    <t>G4</t>
  </si>
  <si>
    <t>R4</t>
  </si>
  <si>
    <t>B4</t>
  </si>
  <si>
    <t>G5</t>
  </si>
  <si>
    <t>R5</t>
  </si>
  <si>
    <t>B5</t>
  </si>
  <si>
    <t>Beregnet effekt per TLC5940</t>
  </si>
  <si>
    <t>Pinner</t>
  </si>
  <si>
    <t>P_b</t>
  </si>
  <si>
    <t>P_r</t>
  </si>
  <si>
    <t>P_g</t>
  </si>
  <si>
    <t>P_cc</t>
  </si>
  <si>
    <t>P_total</t>
  </si>
  <si>
    <t>W</t>
  </si>
  <si>
    <t>per diode</t>
  </si>
  <si>
    <t>Støm per farge per segment (rating)</t>
  </si>
  <si>
    <t>@</t>
  </si>
  <si>
    <t>Strøm per farge per segment</t>
  </si>
  <si>
    <t>Strøm per pinne</t>
  </si>
  <si>
    <t>Brukes for å regulere inngangsspenningen.</t>
  </si>
  <si>
    <t>Ønsker den justerbar med pot.</t>
  </si>
  <si>
    <t>Velger R1 slik at en 1/4 w resistor tåler 15 V over seg uten å overbelastes:</t>
  </si>
  <si>
    <t>P = U^2 / R1 = 15^2 / R1 = 0,25</t>
  </si>
  <si>
    <t>R1=</t>
  </si>
  <si>
    <t>Velger 1 kohm</t>
  </si>
  <si>
    <t>Jeg ønsker ca 10 - 12 V ut. Siste ledd i ligningen er neglisjerbart.</t>
  </si>
  <si>
    <t>Konklusjon:</t>
  </si>
  <si>
    <t>et 10k potmeter ser bra ut.</t>
  </si>
  <si>
    <t>LED striper</t>
  </si>
  <si>
    <t>Vertikal</t>
  </si>
  <si>
    <t>Vertikal lengde</t>
  </si>
  <si>
    <t>Fra plugg på boks til boks nede venstre</t>
  </si>
  <si>
    <t>OK</t>
  </si>
  <si>
    <t>(OK)</t>
  </si>
  <si>
    <t>HC595</t>
  </si>
  <si>
    <t>Q0</t>
  </si>
  <si>
    <t>Q1</t>
  </si>
  <si>
    <t>Q2</t>
  </si>
  <si>
    <t>Q3</t>
  </si>
  <si>
    <t>Q4</t>
  </si>
  <si>
    <t>Q5</t>
  </si>
  <si>
    <t>Q6</t>
  </si>
  <si>
    <t>Q7</t>
  </si>
  <si>
    <t>C</t>
  </si>
  <si>
    <t>DP</t>
  </si>
  <si>
    <t>B</t>
  </si>
  <si>
    <t>D</t>
  </si>
  <si>
    <t>E</t>
  </si>
  <si>
    <t>F</t>
  </si>
  <si>
    <t>G</t>
  </si>
  <si>
    <t>A</t>
  </si>
  <si>
    <t>Kode:</t>
  </si>
  <si>
    <t>-</t>
  </si>
  <si>
    <t>Kodene ligger i AH_74HC595.cpp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</si>
</sst>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n">
        <color indexed="64"/>
      </left>
      <right style="thick">
        <color theme="9" tint="-0.249977111117893"/>
      </right>
      <top style="thick">
        <color theme="9" tint="-0.249977111117893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1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indent="1"/>
    </xf>
    <xf numFmtId="0" fontId="1" fillId="2" borderId="0" xfId="0" applyFont="1" applyFill="1"/>
    <xf numFmtId="0" fontId="0" fillId="0" borderId="0" xfId="0" quotePrefix="1"/>
    <xf numFmtId="0" fontId="3" fillId="0" borderId="0" xfId="0" applyFont="1"/>
    <xf numFmtId="0" fontId="4" fillId="0" borderId="0" xfId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Border="1"/>
    <xf numFmtId="0" fontId="0" fillId="4" borderId="3" xfId="0" applyFill="1" applyBorder="1"/>
    <xf numFmtId="0" fontId="0" fillId="4" borderId="2" xfId="0" applyFill="1" applyBorder="1"/>
    <xf numFmtId="0" fontId="0" fillId="5" borderId="4" xfId="0" applyFill="1" applyBorder="1"/>
    <xf numFmtId="0" fontId="0" fillId="0" borderId="0" xfId="0" applyAlignment="1">
      <alignment horizontal="right"/>
    </xf>
    <xf numFmtId="0" fontId="0" fillId="5" borderId="0" xfId="0" applyFill="1"/>
    <xf numFmtId="0" fontId="0" fillId="0" borderId="5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5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6" xfId="0" applyFill="1" applyBorder="1"/>
    <xf numFmtId="0" fontId="0" fillId="5" borderId="0" xfId="0" applyFill="1" applyAlignment="1">
      <alignment horizontal="left"/>
    </xf>
    <xf numFmtId="0" fontId="0" fillId="0" borderId="0" xfId="0" applyAlignment="1">
      <alignment horizontal="left" wrapText="1" inden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5" fillId="0" borderId="0" xfId="0" applyFont="1"/>
    <xf numFmtId="1" fontId="0" fillId="0" borderId="0" xfId="0" applyNumberFormat="1"/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8" xfId="0" applyFill="1" applyBorder="1"/>
    <xf numFmtId="0" fontId="0" fillId="0" borderId="8" xfId="0" applyBorder="1"/>
    <xf numFmtId="1" fontId="0" fillId="0" borderId="8" xfId="0" applyNumberFormat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1" fontId="0" fillId="0" borderId="0" xfId="0" applyNumberFormat="1" applyBorder="1"/>
    <xf numFmtId="164" fontId="1" fillId="0" borderId="0" xfId="0" applyNumberFormat="1" applyFont="1"/>
    <xf numFmtId="0" fontId="0" fillId="6" borderId="0" xfId="0" applyFill="1"/>
    <xf numFmtId="0" fontId="8" fillId="0" borderId="0" xfId="0" applyFont="1"/>
    <xf numFmtId="0" fontId="0" fillId="0" borderId="9" xfId="0" applyBorder="1"/>
    <xf numFmtId="0" fontId="1" fillId="4" borderId="0" xfId="0" applyFont="1" applyFill="1"/>
    <xf numFmtId="0" fontId="9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</xdr:row>
      <xdr:rowOff>19050</xdr:rowOff>
    </xdr:from>
    <xdr:to>
      <xdr:col>4</xdr:col>
      <xdr:colOff>285750</xdr:colOff>
      <xdr:row>4</xdr:row>
      <xdr:rowOff>85725</xdr:rowOff>
    </xdr:to>
    <xdr:sp macro="" textlink="">
      <xdr:nvSpPr>
        <xdr:cNvPr id="2" name="Oval 1"/>
        <xdr:cNvSpPr/>
      </xdr:nvSpPr>
      <xdr:spPr>
        <a:xfrm>
          <a:off x="7515225" y="981075"/>
          <a:ext cx="190500" cy="6667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4</xdr:col>
      <xdr:colOff>247650</xdr:colOff>
      <xdr:row>4</xdr:row>
      <xdr:rowOff>161925</xdr:rowOff>
    </xdr:from>
    <xdr:to>
      <xdr:col>5</xdr:col>
      <xdr:colOff>0</xdr:colOff>
      <xdr:row>6</xdr:row>
      <xdr:rowOff>19051</xdr:rowOff>
    </xdr:to>
    <xdr:cxnSp macro="">
      <xdr:nvCxnSpPr>
        <xdr:cNvPr id="4" name="Straight Arrow Connector 3"/>
        <xdr:cNvCxnSpPr/>
      </xdr:nvCxnSpPr>
      <xdr:spPr>
        <a:xfrm flipH="1" flipV="1">
          <a:off x="7667625" y="1123950"/>
          <a:ext cx="114300" cy="247651"/>
        </a:xfrm>
        <a:prstGeom prst="straightConnector1">
          <a:avLst/>
        </a:prstGeom>
        <a:ln w="571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4</xdr:row>
      <xdr:rowOff>57150</xdr:rowOff>
    </xdr:from>
    <xdr:to>
      <xdr:col>4</xdr:col>
      <xdr:colOff>0</xdr:colOff>
      <xdr:row>4</xdr:row>
      <xdr:rowOff>161925</xdr:rowOff>
    </xdr:to>
    <xdr:sp macro="" textlink="">
      <xdr:nvSpPr>
        <xdr:cNvPr id="6" name="Rectangle 5"/>
        <xdr:cNvSpPr/>
      </xdr:nvSpPr>
      <xdr:spPr>
        <a:xfrm>
          <a:off x="6791325" y="1019175"/>
          <a:ext cx="628650" cy="10477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2</xdr:col>
      <xdr:colOff>438150</xdr:colOff>
      <xdr:row>4</xdr:row>
      <xdr:rowOff>161925</xdr:rowOff>
    </xdr:from>
    <xdr:to>
      <xdr:col>3</xdr:col>
      <xdr:colOff>295275</xdr:colOff>
      <xdr:row>7</xdr:row>
      <xdr:rowOff>133350</xdr:rowOff>
    </xdr:to>
    <xdr:cxnSp macro="">
      <xdr:nvCxnSpPr>
        <xdr:cNvPr id="7" name="Straight Arrow Connector 6"/>
        <xdr:cNvCxnSpPr>
          <a:endCxn id="6" idx="2"/>
        </xdr:cNvCxnSpPr>
      </xdr:nvCxnSpPr>
      <xdr:spPr>
        <a:xfrm flipV="1">
          <a:off x="6638925" y="1123950"/>
          <a:ext cx="466725" cy="552450"/>
        </a:xfrm>
        <a:prstGeom prst="straightConnector1">
          <a:avLst/>
        </a:prstGeom>
        <a:ln w="571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552450</xdr:colOff>
      <xdr:row>4</xdr:row>
      <xdr:rowOff>101533</xdr:rowOff>
    </xdr:from>
    <xdr:to>
      <xdr:col>4</xdr:col>
      <xdr:colOff>19050</xdr:colOff>
      <xdr:row>5</xdr:row>
      <xdr:rowOff>76200</xdr:rowOff>
    </xdr:to>
    <xdr:sp macro="" textlink="">
      <xdr:nvSpPr>
        <xdr:cNvPr id="10" name="Freeform 9"/>
        <xdr:cNvSpPr/>
      </xdr:nvSpPr>
      <xdr:spPr>
        <a:xfrm>
          <a:off x="6143625" y="1063558"/>
          <a:ext cx="1295400" cy="174692"/>
        </a:xfrm>
        <a:custGeom>
          <a:avLst/>
          <a:gdLst>
            <a:gd name="connsiteX0" fmla="*/ 1295400 w 1295400"/>
            <a:gd name="connsiteY0" fmla="*/ 22292 h 174692"/>
            <a:gd name="connsiteX1" fmla="*/ 581025 w 1295400"/>
            <a:gd name="connsiteY1" fmla="*/ 12767 h 174692"/>
            <a:gd name="connsiteX2" fmla="*/ 0 w 1295400"/>
            <a:gd name="connsiteY2" fmla="*/ 174692 h 174692"/>
            <a:gd name="connsiteX3" fmla="*/ 0 w 1295400"/>
            <a:gd name="connsiteY3" fmla="*/ 174692 h 1746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295400" h="174692">
              <a:moveTo>
                <a:pt x="1295400" y="22292"/>
              </a:moveTo>
              <a:cubicBezTo>
                <a:pt x="1046162" y="4829"/>
                <a:pt x="796925" y="-12633"/>
                <a:pt x="581025" y="12767"/>
              </a:cubicBezTo>
              <a:cubicBezTo>
                <a:pt x="365125" y="38167"/>
                <a:pt x="0" y="174692"/>
                <a:pt x="0" y="174692"/>
              </a:cubicBezTo>
              <a:lnTo>
                <a:pt x="0" y="174692"/>
              </a:lnTo>
            </a:path>
          </a:pathLst>
        </a:custGeom>
        <a:noFill/>
        <a:ln w="762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11</xdr:col>
      <xdr:colOff>19052</xdr:colOff>
      <xdr:row>4</xdr:row>
      <xdr:rowOff>19050</xdr:rowOff>
    </xdr:from>
    <xdr:to>
      <xdr:col>12</xdr:col>
      <xdr:colOff>400050</xdr:colOff>
      <xdr:row>4</xdr:row>
      <xdr:rowOff>114300</xdr:rowOff>
    </xdr:to>
    <xdr:cxnSp macro="">
      <xdr:nvCxnSpPr>
        <xdr:cNvPr id="11" name="Straight Arrow Connector 10"/>
        <xdr:cNvCxnSpPr/>
      </xdr:nvCxnSpPr>
      <xdr:spPr>
        <a:xfrm flipH="1" flipV="1">
          <a:off x="10810877" y="981075"/>
          <a:ext cx="790573" cy="9525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544137</xdr:colOff>
      <xdr:row>10</xdr:row>
      <xdr:rowOff>114524</xdr:rowOff>
    </xdr:from>
    <xdr:to>
      <xdr:col>22</xdr:col>
      <xdr:colOff>262548</xdr:colOff>
      <xdr:row>10</xdr:row>
      <xdr:rowOff>191667</xdr:rowOff>
    </xdr:to>
    <xdr:sp macro="" textlink="">
      <xdr:nvSpPr>
        <xdr:cNvPr id="14" name="Rectangle 13"/>
        <xdr:cNvSpPr/>
      </xdr:nvSpPr>
      <xdr:spPr>
        <a:xfrm rot="1637974">
          <a:off x="10478712" y="2333849"/>
          <a:ext cx="5080986" cy="77143"/>
        </a:xfrm>
        <a:prstGeom prst="rect">
          <a:avLst/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oneCellAnchor>
    <xdr:from>
      <xdr:col>19</xdr:col>
      <xdr:colOff>257176</xdr:colOff>
      <xdr:row>15</xdr:row>
      <xdr:rowOff>66675</xdr:rowOff>
    </xdr:from>
    <xdr:ext cx="808042" cy="264560"/>
    <xdr:sp macro="" textlink="">
      <xdr:nvSpPr>
        <xdr:cNvPr id="17" name="TextBox 16"/>
        <xdr:cNvSpPr txBox="1"/>
      </xdr:nvSpPr>
      <xdr:spPr>
        <a:xfrm rot="1580501">
          <a:off x="14325601" y="3333750"/>
          <a:ext cx="8080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b-NO" sz="1100"/>
            <a:t>Kabelkanal</a:t>
          </a:r>
        </a:p>
      </xdr:txBody>
    </xdr:sp>
    <xdr:clientData/>
  </xdr:oneCellAnchor>
  <xdr:twoCellAnchor>
    <xdr:from>
      <xdr:col>15</xdr:col>
      <xdr:colOff>276225</xdr:colOff>
      <xdr:row>9</xdr:row>
      <xdr:rowOff>19050</xdr:rowOff>
    </xdr:from>
    <xdr:to>
      <xdr:col>15</xdr:col>
      <xdr:colOff>381000</xdr:colOff>
      <xdr:row>10</xdr:row>
      <xdr:rowOff>9525</xdr:rowOff>
    </xdr:to>
    <xdr:sp macro="" textlink="">
      <xdr:nvSpPr>
        <xdr:cNvPr id="18" name="Rectangle 17"/>
        <xdr:cNvSpPr/>
      </xdr:nvSpPr>
      <xdr:spPr>
        <a:xfrm>
          <a:off x="12706350" y="2028825"/>
          <a:ext cx="104775" cy="200025"/>
        </a:xfrm>
        <a:prstGeom prst="rect">
          <a:avLst/>
        </a:prstGeom>
        <a:solidFill>
          <a:srgbClr val="FF9933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nb-NO" sz="1100"/>
        </a:p>
      </xdr:txBody>
    </xdr:sp>
    <xdr:clientData/>
  </xdr:twoCellAnchor>
  <xdr:twoCellAnchor>
    <xdr:from>
      <xdr:col>15</xdr:col>
      <xdr:colOff>361952</xdr:colOff>
      <xdr:row>8</xdr:row>
      <xdr:rowOff>133350</xdr:rowOff>
    </xdr:from>
    <xdr:to>
      <xdr:col>17</xdr:col>
      <xdr:colOff>0</xdr:colOff>
      <xdr:row>9</xdr:row>
      <xdr:rowOff>104775</xdr:rowOff>
    </xdr:to>
    <xdr:cxnSp macro="">
      <xdr:nvCxnSpPr>
        <xdr:cNvPr id="19" name="Straight Arrow Connector 18"/>
        <xdr:cNvCxnSpPr/>
      </xdr:nvCxnSpPr>
      <xdr:spPr>
        <a:xfrm flipH="1">
          <a:off x="12792077" y="1933575"/>
          <a:ext cx="457198" cy="18097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95251</xdr:colOff>
      <xdr:row>12</xdr:row>
      <xdr:rowOff>41675</xdr:rowOff>
    </xdr:from>
    <xdr:to>
      <xdr:col>13</xdr:col>
      <xdr:colOff>352425</xdr:colOff>
      <xdr:row>13</xdr:row>
      <xdr:rowOff>66675</xdr:rowOff>
    </xdr:to>
    <xdr:pic>
      <xdr:nvPicPr>
        <xdr:cNvPr id="24" name="irc_ilrp_mut" descr="https://encrypted-tbn3.gstatic.com/images?q=tbn:ANd9GcR-iQV6l4SOEqvMIapg1bTUtMxthlDnvK1vv86DXxTo094zDYyGMHXth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06226" y="2680100"/>
          <a:ext cx="257174" cy="23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381001</xdr:colOff>
      <xdr:row>12</xdr:row>
      <xdr:rowOff>51326</xdr:rowOff>
    </xdr:from>
    <xdr:to>
      <xdr:col>14</xdr:col>
      <xdr:colOff>123825</xdr:colOff>
      <xdr:row>13</xdr:row>
      <xdr:rowOff>66675</xdr:rowOff>
    </xdr:to>
    <xdr:pic>
      <xdr:nvPicPr>
        <xdr:cNvPr id="25" name="irc_mi" descr="http://images.clasohlson.com/medias/sys_master/9030223626270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1976" y="2689751"/>
          <a:ext cx="152399" cy="224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95252</xdr:colOff>
      <xdr:row>13</xdr:row>
      <xdr:rowOff>76200</xdr:rowOff>
    </xdr:from>
    <xdr:to>
      <xdr:col>14</xdr:col>
      <xdr:colOff>390525</xdr:colOff>
      <xdr:row>14</xdr:row>
      <xdr:rowOff>123825</xdr:rowOff>
    </xdr:to>
    <xdr:cxnSp macro="">
      <xdr:nvCxnSpPr>
        <xdr:cNvPr id="27" name="Straight Arrow Connector 26"/>
        <xdr:cNvCxnSpPr/>
      </xdr:nvCxnSpPr>
      <xdr:spPr>
        <a:xfrm flipH="1" flipV="1">
          <a:off x="12115802" y="2924175"/>
          <a:ext cx="295273" cy="25717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403022</xdr:colOff>
      <xdr:row>10</xdr:row>
      <xdr:rowOff>60534</xdr:rowOff>
    </xdr:from>
    <xdr:to>
      <xdr:col>15</xdr:col>
      <xdr:colOff>328708</xdr:colOff>
      <xdr:row>12</xdr:row>
      <xdr:rowOff>56689</xdr:rowOff>
    </xdr:to>
    <xdr:sp macro="" textlink="">
      <xdr:nvSpPr>
        <xdr:cNvPr id="29" name="Freeform 28"/>
        <xdr:cNvSpPr/>
      </xdr:nvSpPr>
      <xdr:spPr>
        <a:xfrm rot="21107849">
          <a:off x="12013997" y="2279859"/>
          <a:ext cx="744836" cy="415255"/>
        </a:xfrm>
        <a:custGeom>
          <a:avLst/>
          <a:gdLst>
            <a:gd name="connsiteX0" fmla="*/ 1295400 w 1295400"/>
            <a:gd name="connsiteY0" fmla="*/ 22292 h 174692"/>
            <a:gd name="connsiteX1" fmla="*/ 581025 w 1295400"/>
            <a:gd name="connsiteY1" fmla="*/ 12767 h 174692"/>
            <a:gd name="connsiteX2" fmla="*/ 0 w 1295400"/>
            <a:gd name="connsiteY2" fmla="*/ 174692 h 174692"/>
            <a:gd name="connsiteX3" fmla="*/ 0 w 1295400"/>
            <a:gd name="connsiteY3" fmla="*/ 174692 h 174692"/>
            <a:gd name="connsiteX0" fmla="*/ 1328421 w 1328421"/>
            <a:gd name="connsiteY0" fmla="*/ 366180 h 366179"/>
            <a:gd name="connsiteX1" fmla="*/ 581025 w 1328421"/>
            <a:gd name="connsiteY1" fmla="*/ 3843 h 366179"/>
            <a:gd name="connsiteX2" fmla="*/ 0 w 1328421"/>
            <a:gd name="connsiteY2" fmla="*/ 165768 h 366179"/>
            <a:gd name="connsiteX3" fmla="*/ 0 w 1328421"/>
            <a:gd name="connsiteY3" fmla="*/ 165768 h 366179"/>
            <a:gd name="connsiteX0" fmla="*/ 1328421 w 1328421"/>
            <a:gd name="connsiteY0" fmla="*/ 366180 h 366180"/>
            <a:gd name="connsiteX1" fmla="*/ 581025 w 1328421"/>
            <a:gd name="connsiteY1" fmla="*/ 3843 h 366180"/>
            <a:gd name="connsiteX2" fmla="*/ 0 w 1328421"/>
            <a:gd name="connsiteY2" fmla="*/ 165768 h 366180"/>
            <a:gd name="connsiteX3" fmla="*/ 0 w 1328421"/>
            <a:gd name="connsiteY3" fmla="*/ 165768 h 366180"/>
            <a:gd name="connsiteX0" fmla="*/ 1328421 w 1328421"/>
            <a:gd name="connsiteY0" fmla="*/ 366180 h 366180"/>
            <a:gd name="connsiteX1" fmla="*/ 581025 w 1328421"/>
            <a:gd name="connsiteY1" fmla="*/ 3843 h 366180"/>
            <a:gd name="connsiteX2" fmla="*/ 0 w 1328421"/>
            <a:gd name="connsiteY2" fmla="*/ 165768 h 366180"/>
            <a:gd name="connsiteX3" fmla="*/ 0 w 1328421"/>
            <a:gd name="connsiteY3" fmla="*/ 165768 h 366180"/>
            <a:gd name="connsiteX0" fmla="*/ 1328421 w 1511729"/>
            <a:gd name="connsiteY0" fmla="*/ 365708 h 378578"/>
            <a:gd name="connsiteX1" fmla="*/ 1480053 w 1511729"/>
            <a:gd name="connsiteY1" fmla="*/ 351227 h 378578"/>
            <a:gd name="connsiteX2" fmla="*/ 581025 w 1511729"/>
            <a:gd name="connsiteY2" fmla="*/ 3371 h 378578"/>
            <a:gd name="connsiteX3" fmla="*/ 0 w 1511729"/>
            <a:gd name="connsiteY3" fmla="*/ 165296 h 378578"/>
            <a:gd name="connsiteX4" fmla="*/ 0 w 1511729"/>
            <a:gd name="connsiteY4" fmla="*/ 165296 h 378578"/>
            <a:gd name="connsiteX0" fmla="*/ 1328421 w 1511729"/>
            <a:gd name="connsiteY0" fmla="*/ 365708 h 378579"/>
            <a:gd name="connsiteX1" fmla="*/ 1480053 w 1511729"/>
            <a:gd name="connsiteY1" fmla="*/ 351227 h 378579"/>
            <a:gd name="connsiteX2" fmla="*/ 581025 w 1511729"/>
            <a:gd name="connsiteY2" fmla="*/ 3371 h 378579"/>
            <a:gd name="connsiteX3" fmla="*/ 0 w 1511729"/>
            <a:gd name="connsiteY3" fmla="*/ 165296 h 378579"/>
            <a:gd name="connsiteX4" fmla="*/ 0 w 1511729"/>
            <a:gd name="connsiteY4" fmla="*/ 165296 h 378579"/>
            <a:gd name="connsiteX0" fmla="*/ 1328421 w 1511729"/>
            <a:gd name="connsiteY0" fmla="*/ 402603 h 415474"/>
            <a:gd name="connsiteX1" fmla="*/ 1480053 w 1511729"/>
            <a:gd name="connsiteY1" fmla="*/ 388122 h 415474"/>
            <a:gd name="connsiteX2" fmla="*/ 1014106 w 1511729"/>
            <a:gd name="connsiteY2" fmla="*/ 3298 h 415474"/>
            <a:gd name="connsiteX3" fmla="*/ 0 w 1511729"/>
            <a:gd name="connsiteY3" fmla="*/ 202191 h 415474"/>
            <a:gd name="connsiteX4" fmla="*/ 0 w 1511729"/>
            <a:gd name="connsiteY4" fmla="*/ 202191 h 415474"/>
            <a:gd name="connsiteX0" fmla="*/ 1480053 w 1480053"/>
            <a:gd name="connsiteY0" fmla="*/ 388122 h 388122"/>
            <a:gd name="connsiteX1" fmla="*/ 1014106 w 1480053"/>
            <a:gd name="connsiteY1" fmla="*/ 3298 h 388122"/>
            <a:gd name="connsiteX2" fmla="*/ 0 w 1480053"/>
            <a:gd name="connsiteY2" fmla="*/ 202191 h 388122"/>
            <a:gd name="connsiteX3" fmla="*/ 0 w 1480053"/>
            <a:gd name="connsiteY3" fmla="*/ 202191 h 388122"/>
            <a:gd name="connsiteX0" fmla="*/ 1518191 w 1518191"/>
            <a:gd name="connsiteY0" fmla="*/ 88756 h 589402"/>
            <a:gd name="connsiteX1" fmla="*/ 1014106 w 1518191"/>
            <a:gd name="connsiteY1" fmla="*/ 390508 h 589402"/>
            <a:gd name="connsiteX2" fmla="*/ 0 w 1518191"/>
            <a:gd name="connsiteY2" fmla="*/ 589401 h 589402"/>
            <a:gd name="connsiteX3" fmla="*/ 0 w 1518191"/>
            <a:gd name="connsiteY3" fmla="*/ 589401 h 589402"/>
            <a:gd name="connsiteX0" fmla="*/ 1518191 w 1518191"/>
            <a:gd name="connsiteY0" fmla="*/ 0 h 500645"/>
            <a:gd name="connsiteX1" fmla="*/ 1014106 w 1518191"/>
            <a:gd name="connsiteY1" fmla="*/ 301752 h 500645"/>
            <a:gd name="connsiteX2" fmla="*/ 0 w 1518191"/>
            <a:gd name="connsiteY2" fmla="*/ 500645 h 500645"/>
            <a:gd name="connsiteX3" fmla="*/ 0 w 1518191"/>
            <a:gd name="connsiteY3" fmla="*/ 500645 h 500645"/>
            <a:gd name="connsiteX0" fmla="*/ 1518191 w 1518191"/>
            <a:gd name="connsiteY0" fmla="*/ 0 h 500645"/>
            <a:gd name="connsiteX1" fmla="*/ 891106 w 1518191"/>
            <a:gd name="connsiteY1" fmla="*/ 254376 h 500645"/>
            <a:gd name="connsiteX2" fmla="*/ 0 w 1518191"/>
            <a:gd name="connsiteY2" fmla="*/ 500645 h 500645"/>
            <a:gd name="connsiteX3" fmla="*/ 0 w 1518191"/>
            <a:gd name="connsiteY3" fmla="*/ 500645 h 50064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18191" h="500645">
              <a:moveTo>
                <a:pt x="1518191" y="0"/>
              </a:moveTo>
              <a:cubicBezTo>
                <a:pt x="1045101" y="131411"/>
                <a:pt x="1144138" y="170935"/>
                <a:pt x="891106" y="254376"/>
              </a:cubicBezTo>
              <a:cubicBezTo>
                <a:pt x="638074" y="337817"/>
                <a:pt x="169018" y="467496"/>
                <a:pt x="0" y="500645"/>
              </a:cubicBezTo>
              <a:lnTo>
                <a:pt x="0" y="500645"/>
              </a:lnTo>
            </a:path>
          </a:pathLst>
        </a:cu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10</xdr:col>
      <xdr:colOff>613343</xdr:colOff>
      <xdr:row>6</xdr:row>
      <xdr:rowOff>20114</xdr:rowOff>
    </xdr:from>
    <xdr:to>
      <xdr:col>14</xdr:col>
      <xdr:colOff>165250</xdr:colOff>
      <xdr:row>7</xdr:row>
      <xdr:rowOff>82525</xdr:rowOff>
    </xdr:to>
    <xdr:sp macro="" textlink="">
      <xdr:nvSpPr>
        <xdr:cNvPr id="30" name="Freeform 29"/>
        <xdr:cNvSpPr/>
      </xdr:nvSpPr>
      <xdr:spPr>
        <a:xfrm rot="13199618">
          <a:off x="10547918" y="1401239"/>
          <a:ext cx="1637882" cy="271961"/>
        </a:xfrm>
        <a:custGeom>
          <a:avLst/>
          <a:gdLst>
            <a:gd name="connsiteX0" fmla="*/ 1295400 w 1295400"/>
            <a:gd name="connsiteY0" fmla="*/ 22292 h 174692"/>
            <a:gd name="connsiteX1" fmla="*/ 581025 w 1295400"/>
            <a:gd name="connsiteY1" fmla="*/ 12767 h 174692"/>
            <a:gd name="connsiteX2" fmla="*/ 0 w 1295400"/>
            <a:gd name="connsiteY2" fmla="*/ 174692 h 174692"/>
            <a:gd name="connsiteX3" fmla="*/ 0 w 1295400"/>
            <a:gd name="connsiteY3" fmla="*/ 174692 h 174692"/>
            <a:gd name="connsiteX0" fmla="*/ 1328421 w 1328421"/>
            <a:gd name="connsiteY0" fmla="*/ 366180 h 366179"/>
            <a:gd name="connsiteX1" fmla="*/ 581025 w 1328421"/>
            <a:gd name="connsiteY1" fmla="*/ 3843 h 366179"/>
            <a:gd name="connsiteX2" fmla="*/ 0 w 1328421"/>
            <a:gd name="connsiteY2" fmla="*/ 165768 h 366179"/>
            <a:gd name="connsiteX3" fmla="*/ 0 w 1328421"/>
            <a:gd name="connsiteY3" fmla="*/ 165768 h 366179"/>
            <a:gd name="connsiteX0" fmla="*/ 1328421 w 1328421"/>
            <a:gd name="connsiteY0" fmla="*/ 366180 h 366180"/>
            <a:gd name="connsiteX1" fmla="*/ 581025 w 1328421"/>
            <a:gd name="connsiteY1" fmla="*/ 3843 h 366180"/>
            <a:gd name="connsiteX2" fmla="*/ 0 w 1328421"/>
            <a:gd name="connsiteY2" fmla="*/ 165768 h 366180"/>
            <a:gd name="connsiteX3" fmla="*/ 0 w 1328421"/>
            <a:gd name="connsiteY3" fmla="*/ 165768 h 366180"/>
            <a:gd name="connsiteX0" fmla="*/ 1328421 w 1328421"/>
            <a:gd name="connsiteY0" fmla="*/ 366180 h 366180"/>
            <a:gd name="connsiteX1" fmla="*/ 581025 w 1328421"/>
            <a:gd name="connsiteY1" fmla="*/ 3843 h 366180"/>
            <a:gd name="connsiteX2" fmla="*/ 0 w 1328421"/>
            <a:gd name="connsiteY2" fmla="*/ 165768 h 366180"/>
            <a:gd name="connsiteX3" fmla="*/ 0 w 1328421"/>
            <a:gd name="connsiteY3" fmla="*/ 165768 h 366180"/>
            <a:gd name="connsiteX0" fmla="*/ 1328421 w 1511729"/>
            <a:gd name="connsiteY0" fmla="*/ 365708 h 378578"/>
            <a:gd name="connsiteX1" fmla="*/ 1480053 w 1511729"/>
            <a:gd name="connsiteY1" fmla="*/ 351227 h 378578"/>
            <a:gd name="connsiteX2" fmla="*/ 581025 w 1511729"/>
            <a:gd name="connsiteY2" fmla="*/ 3371 h 378578"/>
            <a:gd name="connsiteX3" fmla="*/ 0 w 1511729"/>
            <a:gd name="connsiteY3" fmla="*/ 165296 h 378578"/>
            <a:gd name="connsiteX4" fmla="*/ 0 w 1511729"/>
            <a:gd name="connsiteY4" fmla="*/ 165296 h 378578"/>
            <a:gd name="connsiteX0" fmla="*/ 1328421 w 1511729"/>
            <a:gd name="connsiteY0" fmla="*/ 365708 h 378579"/>
            <a:gd name="connsiteX1" fmla="*/ 1480053 w 1511729"/>
            <a:gd name="connsiteY1" fmla="*/ 351227 h 378579"/>
            <a:gd name="connsiteX2" fmla="*/ 581025 w 1511729"/>
            <a:gd name="connsiteY2" fmla="*/ 3371 h 378579"/>
            <a:gd name="connsiteX3" fmla="*/ 0 w 1511729"/>
            <a:gd name="connsiteY3" fmla="*/ 165296 h 378579"/>
            <a:gd name="connsiteX4" fmla="*/ 0 w 1511729"/>
            <a:gd name="connsiteY4" fmla="*/ 165296 h 378579"/>
            <a:gd name="connsiteX0" fmla="*/ 1328421 w 1511729"/>
            <a:gd name="connsiteY0" fmla="*/ 402603 h 415474"/>
            <a:gd name="connsiteX1" fmla="*/ 1480053 w 1511729"/>
            <a:gd name="connsiteY1" fmla="*/ 388122 h 415474"/>
            <a:gd name="connsiteX2" fmla="*/ 1014106 w 1511729"/>
            <a:gd name="connsiteY2" fmla="*/ 3298 h 415474"/>
            <a:gd name="connsiteX3" fmla="*/ 0 w 1511729"/>
            <a:gd name="connsiteY3" fmla="*/ 202191 h 415474"/>
            <a:gd name="connsiteX4" fmla="*/ 0 w 1511729"/>
            <a:gd name="connsiteY4" fmla="*/ 202191 h 415474"/>
            <a:gd name="connsiteX0" fmla="*/ 1480053 w 1480053"/>
            <a:gd name="connsiteY0" fmla="*/ 388122 h 388122"/>
            <a:gd name="connsiteX1" fmla="*/ 1014106 w 1480053"/>
            <a:gd name="connsiteY1" fmla="*/ 3298 h 388122"/>
            <a:gd name="connsiteX2" fmla="*/ 0 w 1480053"/>
            <a:gd name="connsiteY2" fmla="*/ 202191 h 388122"/>
            <a:gd name="connsiteX3" fmla="*/ 0 w 1480053"/>
            <a:gd name="connsiteY3" fmla="*/ 202191 h 388122"/>
            <a:gd name="connsiteX0" fmla="*/ 1310989 w 1310989"/>
            <a:gd name="connsiteY0" fmla="*/ 156314 h 285706"/>
            <a:gd name="connsiteX1" fmla="*/ 1014106 w 1310989"/>
            <a:gd name="connsiteY1" fmla="*/ 86812 h 285706"/>
            <a:gd name="connsiteX2" fmla="*/ 0 w 1310989"/>
            <a:gd name="connsiteY2" fmla="*/ 285705 h 285706"/>
            <a:gd name="connsiteX3" fmla="*/ 0 w 1310989"/>
            <a:gd name="connsiteY3" fmla="*/ 285705 h 285706"/>
            <a:gd name="connsiteX0" fmla="*/ 1310989 w 1310989"/>
            <a:gd name="connsiteY0" fmla="*/ 180383 h 309774"/>
            <a:gd name="connsiteX1" fmla="*/ 958196 w 1310989"/>
            <a:gd name="connsiteY1" fmla="*/ 53895 h 309774"/>
            <a:gd name="connsiteX2" fmla="*/ 0 w 1310989"/>
            <a:gd name="connsiteY2" fmla="*/ 309774 h 309774"/>
            <a:gd name="connsiteX3" fmla="*/ 0 w 1310989"/>
            <a:gd name="connsiteY3" fmla="*/ 309774 h 309774"/>
            <a:gd name="connsiteX0" fmla="*/ 1310989 w 1310989"/>
            <a:gd name="connsiteY0" fmla="*/ 198658 h 328049"/>
            <a:gd name="connsiteX1" fmla="*/ 958196 w 1310989"/>
            <a:gd name="connsiteY1" fmla="*/ 72170 h 328049"/>
            <a:gd name="connsiteX2" fmla="*/ 0 w 1310989"/>
            <a:gd name="connsiteY2" fmla="*/ 328049 h 328049"/>
            <a:gd name="connsiteX3" fmla="*/ 0 w 1310989"/>
            <a:gd name="connsiteY3" fmla="*/ 328049 h 328049"/>
            <a:gd name="connsiteX0" fmla="*/ 1314014 w 1314014"/>
            <a:gd name="connsiteY0" fmla="*/ 197061 h 290047"/>
            <a:gd name="connsiteX1" fmla="*/ 958196 w 1314014"/>
            <a:gd name="connsiteY1" fmla="*/ 34168 h 290047"/>
            <a:gd name="connsiteX2" fmla="*/ 0 w 1314014"/>
            <a:gd name="connsiteY2" fmla="*/ 290047 h 290047"/>
            <a:gd name="connsiteX3" fmla="*/ 0 w 1314014"/>
            <a:gd name="connsiteY3" fmla="*/ 290047 h 2900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14014" h="290047">
              <a:moveTo>
                <a:pt x="1314014" y="197061"/>
              </a:moveTo>
              <a:cubicBezTo>
                <a:pt x="1146345" y="-93542"/>
                <a:pt x="1177198" y="18670"/>
                <a:pt x="958196" y="34168"/>
              </a:cubicBezTo>
              <a:cubicBezTo>
                <a:pt x="739194" y="49666"/>
                <a:pt x="159699" y="247401"/>
                <a:pt x="0" y="290047"/>
              </a:cubicBezTo>
              <a:lnTo>
                <a:pt x="0" y="290047"/>
              </a:lnTo>
            </a:path>
          </a:pathLst>
        </a:cu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11</xdr:col>
      <xdr:colOff>156142</xdr:colOff>
      <xdr:row>7</xdr:row>
      <xdr:rowOff>10590</xdr:rowOff>
    </xdr:from>
    <xdr:to>
      <xdr:col>15</xdr:col>
      <xdr:colOff>155724</xdr:colOff>
      <xdr:row>8</xdr:row>
      <xdr:rowOff>73001</xdr:rowOff>
    </xdr:to>
    <xdr:sp macro="" textlink="">
      <xdr:nvSpPr>
        <xdr:cNvPr id="31" name="Freeform 30"/>
        <xdr:cNvSpPr/>
      </xdr:nvSpPr>
      <xdr:spPr>
        <a:xfrm rot="13199618">
          <a:off x="10947967" y="1601265"/>
          <a:ext cx="1637882" cy="271961"/>
        </a:xfrm>
        <a:custGeom>
          <a:avLst/>
          <a:gdLst>
            <a:gd name="connsiteX0" fmla="*/ 1295400 w 1295400"/>
            <a:gd name="connsiteY0" fmla="*/ 22292 h 174692"/>
            <a:gd name="connsiteX1" fmla="*/ 581025 w 1295400"/>
            <a:gd name="connsiteY1" fmla="*/ 12767 h 174692"/>
            <a:gd name="connsiteX2" fmla="*/ 0 w 1295400"/>
            <a:gd name="connsiteY2" fmla="*/ 174692 h 174692"/>
            <a:gd name="connsiteX3" fmla="*/ 0 w 1295400"/>
            <a:gd name="connsiteY3" fmla="*/ 174692 h 174692"/>
            <a:gd name="connsiteX0" fmla="*/ 1328421 w 1328421"/>
            <a:gd name="connsiteY0" fmla="*/ 366180 h 366179"/>
            <a:gd name="connsiteX1" fmla="*/ 581025 w 1328421"/>
            <a:gd name="connsiteY1" fmla="*/ 3843 h 366179"/>
            <a:gd name="connsiteX2" fmla="*/ 0 w 1328421"/>
            <a:gd name="connsiteY2" fmla="*/ 165768 h 366179"/>
            <a:gd name="connsiteX3" fmla="*/ 0 w 1328421"/>
            <a:gd name="connsiteY3" fmla="*/ 165768 h 366179"/>
            <a:gd name="connsiteX0" fmla="*/ 1328421 w 1328421"/>
            <a:gd name="connsiteY0" fmla="*/ 366180 h 366180"/>
            <a:gd name="connsiteX1" fmla="*/ 581025 w 1328421"/>
            <a:gd name="connsiteY1" fmla="*/ 3843 h 366180"/>
            <a:gd name="connsiteX2" fmla="*/ 0 w 1328421"/>
            <a:gd name="connsiteY2" fmla="*/ 165768 h 366180"/>
            <a:gd name="connsiteX3" fmla="*/ 0 w 1328421"/>
            <a:gd name="connsiteY3" fmla="*/ 165768 h 366180"/>
            <a:gd name="connsiteX0" fmla="*/ 1328421 w 1328421"/>
            <a:gd name="connsiteY0" fmla="*/ 366180 h 366180"/>
            <a:gd name="connsiteX1" fmla="*/ 581025 w 1328421"/>
            <a:gd name="connsiteY1" fmla="*/ 3843 h 366180"/>
            <a:gd name="connsiteX2" fmla="*/ 0 w 1328421"/>
            <a:gd name="connsiteY2" fmla="*/ 165768 h 366180"/>
            <a:gd name="connsiteX3" fmla="*/ 0 w 1328421"/>
            <a:gd name="connsiteY3" fmla="*/ 165768 h 366180"/>
            <a:gd name="connsiteX0" fmla="*/ 1328421 w 1511729"/>
            <a:gd name="connsiteY0" fmla="*/ 365708 h 378578"/>
            <a:gd name="connsiteX1" fmla="*/ 1480053 w 1511729"/>
            <a:gd name="connsiteY1" fmla="*/ 351227 h 378578"/>
            <a:gd name="connsiteX2" fmla="*/ 581025 w 1511729"/>
            <a:gd name="connsiteY2" fmla="*/ 3371 h 378578"/>
            <a:gd name="connsiteX3" fmla="*/ 0 w 1511729"/>
            <a:gd name="connsiteY3" fmla="*/ 165296 h 378578"/>
            <a:gd name="connsiteX4" fmla="*/ 0 w 1511729"/>
            <a:gd name="connsiteY4" fmla="*/ 165296 h 378578"/>
            <a:gd name="connsiteX0" fmla="*/ 1328421 w 1511729"/>
            <a:gd name="connsiteY0" fmla="*/ 365708 h 378579"/>
            <a:gd name="connsiteX1" fmla="*/ 1480053 w 1511729"/>
            <a:gd name="connsiteY1" fmla="*/ 351227 h 378579"/>
            <a:gd name="connsiteX2" fmla="*/ 581025 w 1511729"/>
            <a:gd name="connsiteY2" fmla="*/ 3371 h 378579"/>
            <a:gd name="connsiteX3" fmla="*/ 0 w 1511729"/>
            <a:gd name="connsiteY3" fmla="*/ 165296 h 378579"/>
            <a:gd name="connsiteX4" fmla="*/ 0 w 1511729"/>
            <a:gd name="connsiteY4" fmla="*/ 165296 h 378579"/>
            <a:gd name="connsiteX0" fmla="*/ 1328421 w 1511729"/>
            <a:gd name="connsiteY0" fmla="*/ 402603 h 415474"/>
            <a:gd name="connsiteX1" fmla="*/ 1480053 w 1511729"/>
            <a:gd name="connsiteY1" fmla="*/ 388122 h 415474"/>
            <a:gd name="connsiteX2" fmla="*/ 1014106 w 1511729"/>
            <a:gd name="connsiteY2" fmla="*/ 3298 h 415474"/>
            <a:gd name="connsiteX3" fmla="*/ 0 w 1511729"/>
            <a:gd name="connsiteY3" fmla="*/ 202191 h 415474"/>
            <a:gd name="connsiteX4" fmla="*/ 0 w 1511729"/>
            <a:gd name="connsiteY4" fmla="*/ 202191 h 415474"/>
            <a:gd name="connsiteX0" fmla="*/ 1480053 w 1480053"/>
            <a:gd name="connsiteY0" fmla="*/ 388122 h 388122"/>
            <a:gd name="connsiteX1" fmla="*/ 1014106 w 1480053"/>
            <a:gd name="connsiteY1" fmla="*/ 3298 h 388122"/>
            <a:gd name="connsiteX2" fmla="*/ 0 w 1480053"/>
            <a:gd name="connsiteY2" fmla="*/ 202191 h 388122"/>
            <a:gd name="connsiteX3" fmla="*/ 0 w 1480053"/>
            <a:gd name="connsiteY3" fmla="*/ 202191 h 388122"/>
            <a:gd name="connsiteX0" fmla="*/ 1310989 w 1310989"/>
            <a:gd name="connsiteY0" fmla="*/ 156314 h 285706"/>
            <a:gd name="connsiteX1" fmla="*/ 1014106 w 1310989"/>
            <a:gd name="connsiteY1" fmla="*/ 86812 h 285706"/>
            <a:gd name="connsiteX2" fmla="*/ 0 w 1310989"/>
            <a:gd name="connsiteY2" fmla="*/ 285705 h 285706"/>
            <a:gd name="connsiteX3" fmla="*/ 0 w 1310989"/>
            <a:gd name="connsiteY3" fmla="*/ 285705 h 285706"/>
            <a:gd name="connsiteX0" fmla="*/ 1310989 w 1310989"/>
            <a:gd name="connsiteY0" fmla="*/ 180383 h 309774"/>
            <a:gd name="connsiteX1" fmla="*/ 958196 w 1310989"/>
            <a:gd name="connsiteY1" fmla="*/ 53895 h 309774"/>
            <a:gd name="connsiteX2" fmla="*/ 0 w 1310989"/>
            <a:gd name="connsiteY2" fmla="*/ 309774 h 309774"/>
            <a:gd name="connsiteX3" fmla="*/ 0 w 1310989"/>
            <a:gd name="connsiteY3" fmla="*/ 309774 h 309774"/>
            <a:gd name="connsiteX0" fmla="*/ 1310989 w 1310989"/>
            <a:gd name="connsiteY0" fmla="*/ 198658 h 328049"/>
            <a:gd name="connsiteX1" fmla="*/ 958196 w 1310989"/>
            <a:gd name="connsiteY1" fmla="*/ 72170 h 328049"/>
            <a:gd name="connsiteX2" fmla="*/ 0 w 1310989"/>
            <a:gd name="connsiteY2" fmla="*/ 328049 h 328049"/>
            <a:gd name="connsiteX3" fmla="*/ 0 w 1310989"/>
            <a:gd name="connsiteY3" fmla="*/ 328049 h 328049"/>
            <a:gd name="connsiteX0" fmla="*/ 1314014 w 1314014"/>
            <a:gd name="connsiteY0" fmla="*/ 197061 h 290047"/>
            <a:gd name="connsiteX1" fmla="*/ 958196 w 1314014"/>
            <a:gd name="connsiteY1" fmla="*/ 34168 h 290047"/>
            <a:gd name="connsiteX2" fmla="*/ 0 w 1314014"/>
            <a:gd name="connsiteY2" fmla="*/ 290047 h 290047"/>
            <a:gd name="connsiteX3" fmla="*/ 0 w 1314014"/>
            <a:gd name="connsiteY3" fmla="*/ 290047 h 2900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14014" h="290047">
              <a:moveTo>
                <a:pt x="1314014" y="197061"/>
              </a:moveTo>
              <a:cubicBezTo>
                <a:pt x="1146345" y="-93542"/>
                <a:pt x="1177198" y="18670"/>
                <a:pt x="958196" y="34168"/>
              </a:cubicBezTo>
              <a:cubicBezTo>
                <a:pt x="739194" y="49666"/>
                <a:pt x="159699" y="247401"/>
                <a:pt x="0" y="290047"/>
              </a:cubicBezTo>
              <a:lnTo>
                <a:pt x="0" y="290047"/>
              </a:lnTo>
            </a:path>
          </a:pathLst>
        </a:cu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>
    <xdr:from>
      <xdr:col>12</xdr:col>
      <xdr:colOff>165667</xdr:colOff>
      <xdr:row>8</xdr:row>
      <xdr:rowOff>29640</xdr:rowOff>
    </xdr:from>
    <xdr:to>
      <xdr:col>16</xdr:col>
      <xdr:colOff>165249</xdr:colOff>
      <xdr:row>9</xdr:row>
      <xdr:rowOff>92051</xdr:rowOff>
    </xdr:to>
    <xdr:sp macro="" textlink="">
      <xdr:nvSpPr>
        <xdr:cNvPr id="32" name="Freeform 31"/>
        <xdr:cNvSpPr/>
      </xdr:nvSpPr>
      <xdr:spPr>
        <a:xfrm rot="13199618">
          <a:off x="11367067" y="1829865"/>
          <a:ext cx="1637882" cy="271961"/>
        </a:xfrm>
        <a:custGeom>
          <a:avLst/>
          <a:gdLst>
            <a:gd name="connsiteX0" fmla="*/ 1295400 w 1295400"/>
            <a:gd name="connsiteY0" fmla="*/ 22292 h 174692"/>
            <a:gd name="connsiteX1" fmla="*/ 581025 w 1295400"/>
            <a:gd name="connsiteY1" fmla="*/ 12767 h 174692"/>
            <a:gd name="connsiteX2" fmla="*/ 0 w 1295400"/>
            <a:gd name="connsiteY2" fmla="*/ 174692 h 174692"/>
            <a:gd name="connsiteX3" fmla="*/ 0 w 1295400"/>
            <a:gd name="connsiteY3" fmla="*/ 174692 h 174692"/>
            <a:gd name="connsiteX0" fmla="*/ 1328421 w 1328421"/>
            <a:gd name="connsiteY0" fmla="*/ 366180 h 366179"/>
            <a:gd name="connsiteX1" fmla="*/ 581025 w 1328421"/>
            <a:gd name="connsiteY1" fmla="*/ 3843 h 366179"/>
            <a:gd name="connsiteX2" fmla="*/ 0 w 1328421"/>
            <a:gd name="connsiteY2" fmla="*/ 165768 h 366179"/>
            <a:gd name="connsiteX3" fmla="*/ 0 w 1328421"/>
            <a:gd name="connsiteY3" fmla="*/ 165768 h 366179"/>
            <a:gd name="connsiteX0" fmla="*/ 1328421 w 1328421"/>
            <a:gd name="connsiteY0" fmla="*/ 366180 h 366180"/>
            <a:gd name="connsiteX1" fmla="*/ 581025 w 1328421"/>
            <a:gd name="connsiteY1" fmla="*/ 3843 h 366180"/>
            <a:gd name="connsiteX2" fmla="*/ 0 w 1328421"/>
            <a:gd name="connsiteY2" fmla="*/ 165768 h 366180"/>
            <a:gd name="connsiteX3" fmla="*/ 0 w 1328421"/>
            <a:gd name="connsiteY3" fmla="*/ 165768 h 366180"/>
            <a:gd name="connsiteX0" fmla="*/ 1328421 w 1328421"/>
            <a:gd name="connsiteY0" fmla="*/ 366180 h 366180"/>
            <a:gd name="connsiteX1" fmla="*/ 581025 w 1328421"/>
            <a:gd name="connsiteY1" fmla="*/ 3843 h 366180"/>
            <a:gd name="connsiteX2" fmla="*/ 0 w 1328421"/>
            <a:gd name="connsiteY2" fmla="*/ 165768 h 366180"/>
            <a:gd name="connsiteX3" fmla="*/ 0 w 1328421"/>
            <a:gd name="connsiteY3" fmla="*/ 165768 h 366180"/>
            <a:gd name="connsiteX0" fmla="*/ 1328421 w 1511729"/>
            <a:gd name="connsiteY0" fmla="*/ 365708 h 378578"/>
            <a:gd name="connsiteX1" fmla="*/ 1480053 w 1511729"/>
            <a:gd name="connsiteY1" fmla="*/ 351227 h 378578"/>
            <a:gd name="connsiteX2" fmla="*/ 581025 w 1511729"/>
            <a:gd name="connsiteY2" fmla="*/ 3371 h 378578"/>
            <a:gd name="connsiteX3" fmla="*/ 0 w 1511729"/>
            <a:gd name="connsiteY3" fmla="*/ 165296 h 378578"/>
            <a:gd name="connsiteX4" fmla="*/ 0 w 1511729"/>
            <a:gd name="connsiteY4" fmla="*/ 165296 h 378578"/>
            <a:gd name="connsiteX0" fmla="*/ 1328421 w 1511729"/>
            <a:gd name="connsiteY0" fmla="*/ 365708 h 378579"/>
            <a:gd name="connsiteX1" fmla="*/ 1480053 w 1511729"/>
            <a:gd name="connsiteY1" fmla="*/ 351227 h 378579"/>
            <a:gd name="connsiteX2" fmla="*/ 581025 w 1511729"/>
            <a:gd name="connsiteY2" fmla="*/ 3371 h 378579"/>
            <a:gd name="connsiteX3" fmla="*/ 0 w 1511729"/>
            <a:gd name="connsiteY3" fmla="*/ 165296 h 378579"/>
            <a:gd name="connsiteX4" fmla="*/ 0 w 1511729"/>
            <a:gd name="connsiteY4" fmla="*/ 165296 h 378579"/>
            <a:gd name="connsiteX0" fmla="*/ 1328421 w 1511729"/>
            <a:gd name="connsiteY0" fmla="*/ 402603 h 415474"/>
            <a:gd name="connsiteX1" fmla="*/ 1480053 w 1511729"/>
            <a:gd name="connsiteY1" fmla="*/ 388122 h 415474"/>
            <a:gd name="connsiteX2" fmla="*/ 1014106 w 1511729"/>
            <a:gd name="connsiteY2" fmla="*/ 3298 h 415474"/>
            <a:gd name="connsiteX3" fmla="*/ 0 w 1511729"/>
            <a:gd name="connsiteY3" fmla="*/ 202191 h 415474"/>
            <a:gd name="connsiteX4" fmla="*/ 0 w 1511729"/>
            <a:gd name="connsiteY4" fmla="*/ 202191 h 415474"/>
            <a:gd name="connsiteX0" fmla="*/ 1480053 w 1480053"/>
            <a:gd name="connsiteY0" fmla="*/ 388122 h 388122"/>
            <a:gd name="connsiteX1" fmla="*/ 1014106 w 1480053"/>
            <a:gd name="connsiteY1" fmla="*/ 3298 h 388122"/>
            <a:gd name="connsiteX2" fmla="*/ 0 w 1480053"/>
            <a:gd name="connsiteY2" fmla="*/ 202191 h 388122"/>
            <a:gd name="connsiteX3" fmla="*/ 0 w 1480053"/>
            <a:gd name="connsiteY3" fmla="*/ 202191 h 388122"/>
            <a:gd name="connsiteX0" fmla="*/ 1310989 w 1310989"/>
            <a:gd name="connsiteY0" fmla="*/ 156314 h 285706"/>
            <a:gd name="connsiteX1" fmla="*/ 1014106 w 1310989"/>
            <a:gd name="connsiteY1" fmla="*/ 86812 h 285706"/>
            <a:gd name="connsiteX2" fmla="*/ 0 w 1310989"/>
            <a:gd name="connsiteY2" fmla="*/ 285705 h 285706"/>
            <a:gd name="connsiteX3" fmla="*/ 0 w 1310989"/>
            <a:gd name="connsiteY3" fmla="*/ 285705 h 285706"/>
            <a:gd name="connsiteX0" fmla="*/ 1310989 w 1310989"/>
            <a:gd name="connsiteY0" fmla="*/ 180383 h 309774"/>
            <a:gd name="connsiteX1" fmla="*/ 958196 w 1310989"/>
            <a:gd name="connsiteY1" fmla="*/ 53895 h 309774"/>
            <a:gd name="connsiteX2" fmla="*/ 0 w 1310989"/>
            <a:gd name="connsiteY2" fmla="*/ 309774 h 309774"/>
            <a:gd name="connsiteX3" fmla="*/ 0 w 1310989"/>
            <a:gd name="connsiteY3" fmla="*/ 309774 h 309774"/>
            <a:gd name="connsiteX0" fmla="*/ 1310989 w 1310989"/>
            <a:gd name="connsiteY0" fmla="*/ 198658 h 328049"/>
            <a:gd name="connsiteX1" fmla="*/ 958196 w 1310989"/>
            <a:gd name="connsiteY1" fmla="*/ 72170 h 328049"/>
            <a:gd name="connsiteX2" fmla="*/ 0 w 1310989"/>
            <a:gd name="connsiteY2" fmla="*/ 328049 h 328049"/>
            <a:gd name="connsiteX3" fmla="*/ 0 w 1310989"/>
            <a:gd name="connsiteY3" fmla="*/ 328049 h 328049"/>
            <a:gd name="connsiteX0" fmla="*/ 1314014 w 1314014"/>
            <a:gd name="connsiteY0" fmla="*/ 197061 h 290047"/>
            <a:gd name="connsiteX1" fmla="*/ 958196 w 1314014"/>
            <a:gd name="connsiteY1" fmla="*/ 34168 h 290047"/>
            <a:gd name="connsiteX2" fmla="*/ 0 w 1314014"/>
            <a:gd name="connsiteY2" fmla="*/ 290047 h 290047"/>
            <a:gd name="connsiteX3" fmla="*/ 0 w 1314014"/>
            <a:gd name="connsiteY3" fmla="*/ 290047 h 2900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14014" h="290047">
              <a:moveTo>
                <a:pt x="1314014" y="197061"/>
              </a:moveTo>
              <a:cubicBezTo>
                <a:pt x="1146345" y="-93542"/>
                <a:pt x="1177198" y="18670"/>
                <a:pt x="958196" y="34168"/>
              </a:cubicBezTo>
              <a:cubicBezTo>
                <a:pt x="739194" y="49666"/>
                <a:pt x="159699" y="247401"/>
                <a:pt x="0" y="290047"/>
              </a:cubicBezTo>
              <a:lnTo>
                <a:pt x="0" y="290047"/>
              </a:lnTo>
            </a:path>
          </a:pathLst>
        </a:custGeom>
        <a:noFill/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b-NO" sz="1100"/>
        </a:p>
      </xdr:txBody>
    </xdr:sp>
    <xdr:clientData/>
  </xdr:twoCellAnchor>
  <xdr:twoCellAnchor editAs="oneCell">
    <xdr:from>
      <xdr:col>24</xdr:col>
      <xdr:colOff>66675</xdr:colOff>
      <xdr:row>17</xdr:row>
      <xdr:rowOff>54608</xdr:rowOff>
    </xdr:from>
    <xdr:to>
      <xdr:col>24</xdr:col>
      <xdr:colOff>219075</xdr:colOff>
      <xdr:row>17</xdr:row>
      <xdr:rowOff>199785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82975" y="3740783"/>
          <a:ext cx="152400" cy="145177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</xdr:row>
      <xdr:rowOff>35558</xdr:rowOff>
    </xdr:from>
    <xdr:to>
      <xdr:col>11</xdr:col>
      <xdr:colOff>161925</xdr:colOff>
      <xdr:row>3</xdr:row>
      <xdr:rowOff>180735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01350" y="797558"/>
          <a:ext cx="152400" cy="145177"/>
        </a:xfrm>
        <a:prstGeom prst="rect">
          <a:avLst/>
        </a:prstGeom>
      </xdr:spPr>
    </xdr:pic>
    <xdr:clientData/>
  </xdr:twoCellAnchor>
  <xdr:twoCellAnchor>
    <xdr:from>
      <xdr:col>11</xdr:col>
      <xdr:colOff>161925</xdr:colOff>
      <xdr:row>2</xdr:row>
      <xdr:rowOff>104775</xdr:rowOff>
    </xdr:from>
    <xdr:to>
      <xdr:col>12</xdr:col>
      <xdr:colOff>381000</xdr:colOff>
      <xdr:row>3</xdr:row>
      <xdr:rowOff>108147</xdr:rowOff>
    </xdr:to>
    <xdr:cxnSp macro="">
      <xdr:nvCxnSpPr>
        <xdr:cNvPr id="37" name="Straight Arrow Connector 36"/>
        <xdr:cNvCxnSpPr>
          <a:endCxn id="36" idx="3"/>
        </xdr:cNvCxnSpPr>
      </xdr:nvCxnSpPr>
      <xdr:spPr>
        <a:xfrm flipH="1">
          <a:off x="10953750" y="676275"/>
          <a:ext cx="628650" cy="19387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142875</xdr:colOff>
      <xdr:row>16</xdr:row>
      <xdr:rowOff>19050</xdr:rowOff>
    </xdr:from>
    <xdr:to>
      <xdr:col>24</xdr:col>
      <xdr:colOff>180975</xdr:colOff>
      <xdr:row>17</xdr:row>
      <xdr:rowOff>54608</xdr:rowOff>
    </xdr:to>
    <xdr:cxnSp macro="">
      <xdr:nvCxnSpPr>
        <xdr:cNvPr id="40" name="Straight Arrow Connector 39"/>
        <xdr:cNvCxnSpPr>
          <a:endCxn id="28" idx="0"/>
        </xdr:cNvCxnSpPr>
      </xdr:nvCxnSpPr>
      <xdr:spPr>
        <a:xfrm flipH="1">
          <a:off x="16259175" y="3495675"/>
          <a:ext cx="38100" cy="245108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34298</xdr:colOff>
      <xdr:row>6</xdr:row>
      <xdr:rowOff>123824</xdr:rowOff>
    </xdr:from>
    <xdr:to>
      <xdr:col>18</xdr:col>
      <xdr:colOff>271766</xdr:colOff>
      <xdr:row>8</xdr:row>
      <xdr:rowOff>66675</xdr:rowOff>
    </xdr:to>
    <xdr:pic>
      <xdr:nvPicPr>
        <xdr:cNvPr id="2053" name="Picture 205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83573" y="1504949"/>
          <a:ext cx="647043" cy="361951"/>
        </a:xfrm>
        <a:prstGeom prst="rect">
          <a:avLst/>
        </a:prstGeom>
      </xdr:spPr>
    </xdr:pic>
    <xdr:clientData/>
  </xdr:twoCellAnchor>
  <xdr:twoCellAnchor>
    <xdr:from>
      <xdr:col>26</xdr:col>
      <xdr:colOff>0</xdr:colOff>
      <xdr:row>4</xdr:row>
      <xdr:rowOff>0</xdr:rowOff>
    </xdr:from>
    <xdr:to>
      <xdr:col>26</xdr:col>
      <xdr:colOff>0</xdr:colOff>
      <xdr:row>18</xdr:row>
      <xdr:rowOff>0</xdr:rowOff>
    </xdr:to>
    <xdr:cxnSp macro="">
      <xdr:nvCxnSpPr>
        <xdr:cNvPr id="8" name="Straight Arrow Connector 7"/>
        <xdr:cNvCxnSpPr/>
      </xdr:nvCxnSpPr>
      <xdr:spPr>
        <a:xfrm>
          <a:off x="16935450" y="962025"/>
          <a:ext cx="0" cy="2924175"/>
        </a:xfrm>
        <a:prstGeom prst="straightConnector1">
          <a:avLst/>
        </a:prstGeom>
        <a:ln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13</xdr:col>
      <xdr:colOff>561049</xdr:colOff>
      <xdr:row>27</xdr:row>
      <xdr:rowOff>56571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7409524" cy="46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13</xdr:col>
      <xdr:colOff>561049</xdr:colOff>
      <xdr:row>27</xdr:row>
      <xdr:rowOff>56571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571500"/>
          <a:ext cx="7409524" cy="46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237638</xdr:colOff>
      <xdr:row>20</xdr:row>
      <xdr:rowOff>9119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3895238" cy="3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ysClr val="windowText" lastClr="00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arn.adafruit.com/rgb-led-strip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topLeftCell="B4" workbookViewId="0">
      <selection activeCell="V10" sqref="V10"/>
    </sheetView>
  </sheetViews>
  <sheetFormatPr defaultRowHeight="15" x14ac:dyDescent="0.25"/>
  <cols>
    <col min="1" max="1" width="83.85546875" style="12" customWidth="1"/>
    <col min="5" max="5" width="5.42578125" customWidth="1"/>
    <col min="6" max="7" width="2.42578125" customWidth="1"/>
    <col min="11" max="11" width="12.85546875" bestFit="1" customWidth="1"/>
    <col min="12" max="26" width="6.140625" customWidth="1"/>
    <col min="27" max="27" width="7" customWidth="1"/>
  </cols>
  <sheetData>
    <row r="1" spans="1:28" ht="30" x14ac:dyDescent="0.25">
      <c r="A1" s="12" t="s">
        <v>64</v>
      </c>
      <c r="C1" t="s">
        <v>67</v>
      </c>
    </row>
    <row r="2" spans="1:28" x14ac:dyDescent="0.25">
      <c r="A2" s="12" t="s">
        <v>65</v>
      </c>
      <c r="C2" s="13"/>
      <c r="D2" s="13" t="s">
        <v>69</v>
      </c>
      <c r="E2" s="13"/>
      <c r="F2" s="13"/>
    </row>
    <row r="3" spans="1:28" x14ac:dyDescent="0.25">
      <c r="A3" s="12" t="s">
        <v>66</v>
      </c>
      <c r="C3" s="14"/>
      <c r="D3" s="14"/>
      <c r="E3" s="14"/>
      <c r="F3" s="13"/>
      <c r="N3" t="s">
        <v>89</v>
      </c>
    </row>
    <row r="4" spans="1:28" ht="15.75" thickBot="1" x14ac:dyDescent="0.3">
      <c r="A4" s="12" t="s">
        <v>74</v>
      </c>
      <c r="C4" s="14"/>
      <c r="D4" s="15" t="s">
        <v>68</v>
      </c>
      <c r="E4" s="18"/>
      <c r="F4" s="13"/>
      <c r="K4" s="3" t="s">
        <v>5</v>
      </c>
    </row>
    <row r="5" spans="1:28" ht="16.5" thickTop="1" thickBot="1" x14ac:dyDescent="0.3">
      <c r="A5" s="12" t="s">
        <v>79</v>
      </c>
      <c r="D5" s="17"/>
      <c r="E5" s="19" t="s">
        <v>70</v>
      </c>
      <c r="F5" s="13"/>
      <c r="K5" s="14" t="s">
        <v>78</v>
      </c>
      <c r="L5" s="22"/>
      <c r="N5" s="33"/>
    </row>
    <row r="6" spans="1:28" ht="16.5" thickTop="1" thickBot="1" x14ac:dyDescent="0.3">
      <c r="A6" s="12" t="s">
        <v>75</v>
      </c>
      <c r="D6" s="14"/>
      <c r="E6" s="16"/>
      <c r="K6" s="21"/>
      <c r="L6" s="25">
        <v>2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</row>
    <row r="7" spans="1:28" ht="16.5" thickTop="1" thickBot="1" x14ac:dyDescent="0.3">
      <c r="A7" s="12" t="s">
        <v>77</v>
      </c>
      <c r="D7" s="14"/>
      <c r="F7" t="s">
        <v>71</v>
      </c>
      <c r="K7" s="21"/>
      <c r="L7" s="26"/>
      <c r="M7" s="25">
        <v>3</v>
      </c>
      <c r="N7" s="23"/>
      <c r="O7" s="23"/>
      <c r="P7" s="23"/>
      <c r="Q7" s="23"/>
      <c r="R7" s="23"/>
      <c r="S7" s="23"/>
      <c r="T7" s="23"/>
      <c r="U7" s="23"/>
      <c r="V7" s="23"/>
      <c r="W7" s="23"/>
    </row>
    <row r="8" spans="1:28" ht="16.5" thickTop="1" thickBot="1" x14ac:dyDescent="0.3">
      <c r="A8" s="12" t="s">
        <v>81</v>
      </c>
      <c r="D8" s="14"/>
      <c r="F8" t="s">
        <v>72</v>
      </c>
      <c r="K8" s="21"/>
      <c r="L8" s="26"/>
      <c r="M8" s="26"/>
      <c r="N8" s="25">
        <v>4</v>
      </c>
      <c r="O8" s="23"/>
      <c r="P8" s="23"/>
      <c r="Q8" s="23"/>
      <c r="R8" s="23"/>
      <c r="S8" s="23"/>
      <c r="T8" s="23"/>
      <c r="U8" s="23"/>
      <c r="V8" s="23"/>
      <c r="W8" s="23"/>
    </row>
    <row r="9" spans="1:28" ht="16.5" thickTop="1" thickBot="1" x14ac:dyDescent="0.3">
      <c r="A9" s="12" t="s">
        <v>82</v>
      </c>
      <c r="C9" s="20" t="s">
        <v>76</v>
      </c>
      <c r="D9" s="14"/>
      <c r="F9" t="s">
        <v>73</v>
      </c>
      <c r="K9" s="21"/>
      <c r="L9" s="26"/>
      <c r="M9" s="26"/>
      <c r="N9" s="26"/>
      <c r="O9" s="35">
        <v>5</v>
      </c>
      <c r="P9" s="23"/>
      <c r="Q9" s="23"/>
      <c r="R9" s="24" t="s">
        <v>94</v>
      </c>
      <c r="S9" s="23"/>
      <c r="T9" s="23"/>
      <c r="U9" s="23"/>
      <c r="V9" s="23"/>
      <c r="W9" s="23"/>
    </row>
    <row r="10" spans="1:28" ht="16.5" thickTop="1" thickBot="1" x14ac:dyDescent="0.3">
      <c r="A10" s="12" t="s">
        <v>88</v>
      </c>
      <c r="D10" s="14"/>
      <c r="K10" s="21"/>
      <c r="L10" s="26"/>
      <c r="M10" s="26"/>
      <c r="N10" s="26"/>
      <c r="O10" s="36"/>
      <c r="P10" s="25">
        <v>6</v>
      </c>
      <c r="Q10" s="23"/>
      <c r="R10" s="23"/>
      <c r="S10" s="23"/>
      <c r="T10" s="23"/>
      <c r="U10" s="23"/>
      <c r="V10" s="23"/>
      <c r="W10" s="23"/>
      <c r="AA10">
        <v>265</v>
      </c>
      <c r="AB10" t="s">
        <v>1</v>
      </c>
    </row>
    <row r="11" spans="1:28" ht="16.5" thickTop="1" thickBot="1" x14ac:dyDescent="0.3">
      <c r="A11" s="29" t="s">
        <v>92</v>
      </c>
      <c r="K11" s="21"/>
      <c r="L11" s="26"/>
      <c r="M11" s="26"/>
      <c r="N11" s="26"/>
      <c r="O11" s="36"/>
      <c r="P11" s="26"/>
      <c r="Q11" s="25">
        <v>7</v>
      </c>
      <c r="R11" s="23" t="s">
        <v>111</v>
      </c>
      <c r="S11" s="23"/>
      <c r="T11" s="23"/>
      <c r="U11" s="23"/>
      <c r="V11" s="23"/>
      <c r="W11" s="23"/>
      <c r="AA11" s="1">
        <f>AA10/14</f>
        <v>18.928571428571427</v>
      </c>
      <c r="AB11" t="s">
        <v>105</v>
      </c>
    </row>
    <row r="12" spans="1:28" ht="16.5" thickTop="1" thickBot="1" x14ac:dyDescent="0.3">
      <c r="A12" s="29" t="s">
        <v>93</v>
      </c>
      <c r="K12" s="21"/>
      <c r="L12" s="26"/>
      <c r="M12" s="26"/>
      <c r="N12" s="26"/>
      <c r="O12" s="36"/>
      <c r="P12" s="26"/>
      <c r="Q12" s="40"/>
      <c r="R12" s="25">
        <v>8</v>
      </c>
      <c r="S12" s="23"/>
      <c r="T12" s="23"/>
      <c r="U12" s="23"/>
      <c r="V12" s="23"/>
      <c r="W12" s="23"/>
    </row>
    <row r="13" spans="1:28" ht="16.5" thickTop="1" thickBot="1" x14ac:dyDescent="0.3">
      <c r="A13" s="29" t="s">
        <v>91</v>
      </c>
      <c r="K13" s="21"/>
      <c r="L13" s="26"/>
      <c r="M13" s="26"/>
      <c r="N13" s="26"/>
      <c r="O13" s="36"/>
      <c r="P13" s="26"/>
      <c r="Q13" s="40"/>
      <c r="R13" s="26"/>
      <c r="S13" s="25">
        <v>9</v>
      </c>
      <c r="T13" s="23"/>
      <c r="U13" s="23"/>
      <c r="V13" s="23"/>
      <c r="W13" s="23"/>
    </row>
    <row r="14" spans="1:28" ht="16.5" thickTop="1" thickBot="1" x14ac:dyDescent="0.3">
      <c r="K14" s="21"/>
      <c r="L14" s="21"/>
      <c r="M14" s="26"/>
      <c r="N14" s="26"/>
      <c r="O14" s="36"/>
      <c r="P14" s="26"/>
      <c r="Q14" s="40"/>
      <c r="R14" s="26"/>
      <c r="S14" s="26"/>
      <c r="T14" s="25">
        <v>10</v>
      </c>
      <c r="U14" s="23"/>
      <c r="V14" s="23"/>
      <c r="W14" s="23"/>
    </row>
    <row r="15" spans="1:28" ht="16.5" thickTop="1" thickBot="1" x14ac:dyDescent="0.3">
      <c r="A15" s="31" t="s">
        <v>94</v>
      </c>
      <c r="K15" s="21"/>
      <c r="L15" s="21"/>
      <c r="M15" s="26"/>
      <c r="N15" s="26"/>
      <c r="O15" s="37"/>
      <c r="P15" s="28" t="s">
        <v>80</v>
      </c>
      <c r="Q15" s="40"/>
      <c r="R15" s="26"/>
      <c r="S15" s="26"/>
      <c r="T15" s="26"/>
      <c r="U15" s="25">
        <v>11</v>
      </c>
      <c r="V15" s="23" t="s">
        <v>111</v>
      </c>
      <c r="W15" s="23"/>
    </row>
    <row r="16" spans="1:28" ht="16.5" thickTop="1" thickBot="1" x14ac:dyDescent="0.3">
      <c r="A16" s="12" t="s">
        <v>95</v>
      </c>
      <c r="K16" s="21"/>
      <c r="L16" s="26"/>
      <c r="M16" s="26"/>
      <c r="N16" s="26"/>
      <c r="O16" s="36"/>
      <c r="P16" s="26"/>
      <c r="Q16" s="40"/>
      <c r="R16" s="26"/>
      <c r="S16" s="26"/>
      <c r="T16" s="26"/>
      <c r="U16" s="26"/>
      <c r="V16" s="25">
        <v>12</v>
      </c>
      <c r="W16" s="23"/>
      <c r="Y16" t="s">
        <v>90</v>
      </c>
    </row>
    <row r="17" spans="1:28" ht="16.5" thickTop="1" thickBot="1" x14ac:dyDescent="0.3">
      <c r="A17" s="12" t="s">
        <v>96</v>
      </c>
      <c r="K17" s="21"/>
      <c r="L17" s="21"/>
      <c r="M17" s="26"/>
      <c r="N17" s="26"/>
      <c r="O17" s="36"/>
      <c r="P17" s="26"/>
      <c r="Q17" s="40"/>
      <c r="R17" s="26"/>
      <c r="S17" s="26"/>
      <c r="T17" s="26"/>
      <c r="U17" s="26"/>
      <c r="V17" s="26"/>
      <c r="W17" s="25">
        <v>13</v>
      </c>
    </row>
    <row r="18" spans="1:28" ht="15.75" thickTop="1" x14ac:dyDescent="0.25">
      <c r="A18" s="12" t="s">
        <v>97</v>
      </c>
      <c r="K18" s="21"/>
      <c r="L18" s="21"/>
      <c r="M18" s="21"/>
      <c r="N18" s="21"/>
      <c r="O18" s="37"/>
      <c r="P18" s="21"/>
      <c r="Q18" s="41"/>
      <c r="R18" s="21"/>
      <c r="S18" s="21"/>
      <c r="T18" s="21"/>
      <c r="U18" s="21"/>
      <c r="V18" s="21"/>
      <c r="W18" s="21"/>
      <c r="X18" s="27"/>
    </row>
    <row r="19" spans="1:28" x14ac:dyDescent="0.25">
      <c r="O19" s="38"/>
      <c r="Q19" s="16"/>
    </row>
    <row r="20" spans="1:28" x14ac:dyDescent="0.25">
      <c r="J20" s="20" t="s">
        <v>106</v>
      </c>
      <c r="L20">
        <v>25</v>
      </c>
      <c r="M20">
        <v>25</v>
      </c>
      <c r="N20">
        <v>25</v>
      </c>
      <c r="O20" s="38">
        <v>30</v>
      </c>
      <c r="P20">
        <v>35</v>
      </c>
      <c r="Q20" s="16">
        <v>50</v>
      </c>
      <c r="R20">
        <v>70</v>
      </c>
      <c r="S20">
        <v>45</v>
      </c>
      <c r="T20">
        <v>40</v>
      </c>
      <c r="U20">
        <v>50</v>
      </c>
      <c r="V20">
        <v>70</v>
      </c>
      <c r="W20">
        <v>40</v>
      </c>
    </row>
    <row r="21" spans="1:28" x14ac:dyDescent="0.25">
      <c r="J21" t="s">
        <v>189</v>
      </c>
      <c r="K21" s="1">
        <f>$AA$11</f>
        <v>18.928571428571427</v>
      </c>
      <c r="L21" s="1">
        <f>$AA$11</f>
        <v>18.928571428571427</v>
      </c>
      <c r="M21" s="1">
        <f t="shared" ref="M21:W21" si="0">$AA$11</f>
        <v>18.928571428571427</v>
      </c>
      <c r="N21" s="1">
        <f t="shared" si="0"/>
        <v>18.928571428571427</v>
      </c>
      <c r="O21" s="1">
        <f t="shared" si="0"/>
        <v>18.928571428571427</v>
      </c>
      <c r="P21" s="1">
        <f t="shared" si="0"/>
        <v>18.928571428571427</v>
      </c>
      <c r="Q21" s="1">
        <f t="shared" si="0"/>
        <v>18.928571428571427</v>
      </c>
      <c r="R21" s="1">
        <f t="shared" si="0"/>
        <v>18.928571428571427</v>
      </c>
      <c r="S21" s="1">
        <f t="shared" si="0"/>
        <v>18.928571428571427</v>
      </c>
      <c r="T21" s="1">
        <f t="shared" si="0"/>
        <v>18.928571428571427</v>
      </c>
      <c r="U21" s="1">
        <f t="shared" si="0"/>
        <v>18.928571428571427</v>
      </c>
      <c r="V21" s="1">
        <f t="shared" si="0"/>
        <v>18.928571428571427</v>
      </c>
      <c r="W21" s="1">
        <f t="shared" si="0"/>
        <v>18.928571428571427</v>
      </c>
    </row>
    <row r="22" spans="1:28" x14ac:dyDescent="0.25">
      <c r="B22" s="8" t="s">
        <v>83</v>
      </c>
      <c r="J22" s="20" t="s">
        <v>107</v>
      </c>
      <c r="L22" s="34">
        <f t="shared" ref="L22:W22" si="1">SQRT(L20^2+$AA$11^2)</f>
        <v>31.35746827035835</v>
      </c>
      <c r="M22" s="34">
        <f t="shared" si="1"/>
        <v>31.35746827035835</v>
      </c>
      <c r="N22" s="34">
        <f t="shared" si="1"/>
        <v>31.35746827035835</v>
      </c>
      <c r="O22" s="39">
        <f t="shared" si="1"/>
        <v>35.47239513095402</v>
      </c>
      <c r="P22" s="34">
        <f t="shared" si="1"/>
        <v>39.790587031690428</v>
      </c>
      <c r="Q22" s="42">
        <f t="shared" si="1"/>
        <v>53.462985478988458</v>
      </c>
      <c r="R22" s="34">
        <f t="shared" si="1"/>
        <v>72.514073229453402</v>
      </c>
      <c r="S22" s="34">
        <f t="shared" si="1"/>
        <v>48.818959598976818</v>
      </c>
      <c r="T22" s="34">
        <f t="shared" si="1"/>
        <v>44.252579770297352</v>
      </c>
      <c r="U22" s="34">
        <f t="shared" si="1"/>
        <v>53.462985478988458</v>
      </c>
      <c r="V22" s="34">
        <f t="shared" si="1"/>
        <v>72.514073229453402</v>
      </c>
      <c r="W22" s="34">
        <f t="shared" si="1"/>
        <v>44.252579770297352</v>
      </c>
    </row>
    <row r="23" spans="1:28" x14ac:dyDescent="0.25">
      <c r="B23" t="s">
        <v>84</v>
      </c>
    </row>
    <row r="24" spans="1:28" x14ac:dyDescent="0.25">
      <c r="B24" t="s">
        <v>85</v>
      </c>
      <c r="J24" s="20" t="s">
        <v>108</v>
      </c>
      <c r="K24" s="34">
        <f>SUM(L22:$N$22)</f>
        <v>94.072404811075046</v>
      </c>
      <c r="L24" s="34">
        <f>SUM(M22:$N$22)</f>
        <v>62.7149365407167</v>
      </c>
      <c r="M24" s="34">
        <f>SUM(N22:$N$22)</f>
        <v>31.35746827035835</v>
      </c>
      <c r="N24" s="34">
        <f>SUM(N22:$N$22)-$N$22</f>
        <v>0</v>
      </c>
      <c r="O24" s="39">
        <f>SUM($O$22:O22)</f>
        <v>35.47239513095402</v>
      </c>
      <c r="P24" s="42">
        <f>SUM($O$22:P22)</f>
        <v>75.262982162644448</v>
      </c>
      <c r="Q24" s="42">
        <f>SUM($O$22:Q22)</f>
        <v>128.72596764163291</v>
      </c>
      <c r="R24" s="42">
        <f>SUM($O$22:R22)</f>
        <v>201.24004087108631</v>
      </c>
      <c r="S24" s="42">
        <f>SUM($O$22:S22)</f>
        <v>250.05900047006313</v>
      </c>
      <c r="T24" s="42">
        <f>SUM($O$22:T22)</f>
        <v>294.31158024036046</v>
      </c>
      <c r="U24" s="42">
        <f>SUM($O$22:U22)</f>
        <v>347.77456571934891</v>
      </c>
      <c r="V24" s="42">
        <f>SUM($O$22:V22)</f>
        <v>420.28863894880232</v>
      </c>
      <c r="W24" s="42">
        <f>SUM($O$22:W22)</f>
        <v>464.54121871909967</v>
      </c>
    </row>
    <row r="25" spans="1:28" x14ac:dyDescent="0.25">
      <c r="B25" t="s">
        <v>86</v>
      </c>
      <c r="C25" t="s">
        <v>87</v>
      </c>
      <c r="J25" s="20" t="s">
        <v>190</v>
      </c>
      <c r="K25" s="1">
        <f>$AA$11</f>
        <v>18.928571428571427</v>
      </c>
      <c r="L25" s="1">
        <f t="shared" ref="L25:W25" si="2">$AA$11</f>
        <v>18.928571428571427</v>
      </c>
      <c r="M25" s="1">
        <f t="shared" si="2"/>
        <v>18.928571428571427</v>
      </c>
      <c r="N25" s="1">
        <f t="shared" si="2"/>
        <v>18.928571428571427</v>
      </c>
      <c r="O25" s="1">
        <f t="shared" si="2"/>
        <v>18.928571428571427</v>
      </c>
      <c r="P25" s="1">
        <f t="shared" si="2"/>
        <v>18.928571428571427</v>
      </c>
      <c r="Q25" s="1">
        <f t="shared" si="2"/>
        <v>18.928571428571427</v>
      </c>
      <c r="R25" s="1">
        <f t="shared" si="2"/>
        <v>18.928571428571427</v>
      </c>
      <c r="S25" s="1">
        <f t="shared" si="2"/>
        <v>18.928571428571427</v>
      </c>
      <c r="T25" s="1">
        <f t="shared" si="2"/>
        <v>18.928571428571427</v>
      </c>
      <c r="U25" s="1">
        <f t="shared" si="2"/>
        <v>18.928571428571427</v>
      </c>
      <c r="V25" s="1">
        <f t="shared" si="2"/>
        <v>18.928571428571427</v>
      </c>
      <c r="W25" s="1">
        <f t="shared" si="2"/>
        <v>18.928571428571427</v>
      </c>
    </row>
    <row r="26" spans="1:28" x14ac:dyDescent="0.25">
      <c r="J26" s="20" t="s">
        <v>191</v>
      </c>
      <c r="K26">
        <v>21</v>
      </c>
      <c r="L26">
        <v>5</v>
      </c>
      <c r="M26">
        <v>6</v>
      </c>
      <c r="N26">
        <v>7</v>
      </c>
      <c r="O26">
        <v>8</v>
      </c>
      <c r="P26">
        <f>K26+6</f>
        <v>27</v>
      </c>
      <c r="Q26">
        <f t="shared" ref="Q26:W26" si="3">L26+6</f>
        <v>11</v>
      </c>
      <c r="R26">
        <f t="shared" si="3"/>
        <v>12</v>
      </c>
      <c r="S26">
        <f t="shared" si="3"/>
        <v>13</v>
      </c>
      <c r="T26">
        <f t="shared" si="3"/>
        <v>14</v>
      </c>
      <c r="U26">
        <f t="shared" si="3"/>
        <v>33</v>
      </c>
      <c r="V26">
        <f t="shared" si="3"/>
        <v>17</v>
      </c>
      <c r="W26">
        <f t="shared" si="3"/>
        <v>18</v>
      </c>
    </row>
    <row r="27" spans="1:28" x14ac:dyDescent="0.25">
      <c r="J27" s="20" t="s">
        <v>109</v>
      </c>
      <c r="K27">
        <v>20</v>
      </c>
      <c r="L27">
        <v>20</v>
      </c>
      <c r="M27">
        <v>20</v>
      </c>
      <c r="N27">
        <v>20</v>
      </c>
      <c r="O27">
        <v>20</v>
      </c>
      <c r="P27">
        <v>20</v>
      </c>
      <c r="Q27">
        <v>20</v>
      </c>
      <c r="R27">
        <v>25</v>
      </c>
      <c r="S27">
        <v>25</v>
      </c>
      <c r="T27">
        <v>20</v>
      </c>
      <c r="U27">
        <v>25</v>
      </c>
      <c r="V27">
        <v>25</v>
      </c>
      <c r="W27">
        <v>25</v>
      </c>
      <c r="Y27" t="s">
        <v>110</v>
      </c>
    </row>
    <row r="28" spans="1:28" x14ac:dyDescent="0.25">
      <c r="J28" s="20" t="s">
        <v>112</v>
      </c>
      <c r="K28" s="34">
        <f t="shared" ref="K28:W28" si="4">SUM(K24:K27)</f>
        <v>154.00097623964649</v>
      </c>
      <c r="L28" s="34">
        <f t="shared" si="4"/>
        <v>106.64350796928812</v>
      </c>
      <c r="M28" s="34">
        <f t="shared" si="4"/>
        <v>76.286039698929784</v>
      </c>
      <c r="N28" s="34">
        <f t="shared" si="4"/>
        <v>45.928571428571431</v>
      </c>
      <c r="O28" s="34">
        <f t="shared" si="4"/>
        <v>82.400966559525443</v>
      </c>
      <c r="P28" s="34">
        <f t="shared" si="4"/>
        <v>141.19155359121589</v>
      </c>
      <c r="Q28" s="34">
        <f t="shared" si="4"/>
        <v>178.65453907020432</v>
      </c>
      <c r="R28" s="34">
        <f t="shared" si="4"/>
        <v>257.16861229965775</v>
      </c>
      <c r="S28" s="34">
        <f t="shared" si="4"/>
        <v>306.98757189863454</v>
      </c>
      <c r="T28" s="34">
        <f t="shared" si="4"/>
        <v>347.2401516689319</v>
      </c>
      <c r="U28" s="34">
        <f t="shared" si="4"/>
        <v>424.70313714792036</v>
      </c>
      <c r="V28" s="34">
        <f t="shared" si="4"/>
        <v>481.21721037737376</v>
      </c>
      <c r="W28" s="34">
        <f t="shared" si="4"/>
        <v>526.46979014767112</v>
      </c>
      <c r="Y28" s="34">
        <f>SUM(L28:X28)</f>
        <v>2974.8916518579244</v>
      </c>
    </row>
    <row r="29" spans="1:28" x14ac:dyDescent="0.25">
      <c r="J29" s="20" t="s">
        <v>0</v>
      </c>
      <c r="K29" s="11">
        <v>70</v>
      </c>
      <c r="L29" s="11">
        <v>70</v>
      </c>
      <c r="M29" s="11">
        <v>70</v>
      </c>
      <c r="N29" s="11">
        <v>70</v>
      </c>
      <c r="O29" s="11">
        <v>70</v>
      </c>
      <c r="P29" s="11">
        <v>75</v>
      </c>
      <c r="Q29" s="11">
        <v>95</v>
      </c>
      <c r="R29" s="11">
        <v>80</v>
      </c>
      <c r="S29" s="11">
        <v>70</v>
      </c>
      <c r="T29" s="11">
        <v>70</v>
      </c>
      <c r="U29" s="11">
        <v>85</v>
      </c>
      <c r="V29" s="11">
        <v>90</v>
      </c>
      <c r="W29" s="11">
        <v>75</v>
      </c>
    </row>
    <row r="30" spans="1:28" x14ac:dyDescent="0.25">
      <c r="L30" t="s">
        <v>193</v>
      </c>
      <c r="M30" t="s">
        <v>192</v>
      </c>
      <c r="N30" t="s">
        <v>193</v>
      </c>
      <c r="O30" t="s">
        <v>193</v>
      </c>
      <c r="P30" t="s">
        <v>192</v>
      </c>
      <c r="Q30" s="16" t="s">
        <v>192</v>
      </c>
      <c r="R30" t="s">
        <v>193</v>
      </c>
      <c r="S30" t="s">
        <v>192</v>
      </c>
      <c r="T30" t="s">
        <v>192</v>
      </c>
      <c r="U30" t="s">
        <v>193</v>
      </c>
      <c r="V30" t="s">
        <v>192</v>
      </c>
      <c r="Y30" s="20" t="s">
        <v>85</v>
      </c>
      <c r="AA30">
        <f>SQRT(SUM(L20:V20)^2+(COUNT(L20:V20)*AA11)^2)</f>
        <v>509.48816352836911</v>
      </c>
      <c r="AB30" t="s">
        <v>1</v>
      </c>
    </row>
    <row r="31" spans="1:28" x14ac:dyDescent="0.25">
      <c r="K31">
        <v>1</v>
      </c>
      <c r="L31">
        <v>2</v>
      </c>
      <c r="M31">
        <v>3</v>
      </c>
      <c r="N31">
        <v>4</v>
      </c>
      <c r="O31">
        <v>5</v>
      </c>
      <c r="P31">
        <v>6</v>
      </c>
      <c r="Q31">
        <v>7</v>
      </c>
      <c r="R31">
        <v>8</v>
      </c>
      <c r="S31">
        <v>9</v>
      </c>
      <c r="T31">
        <v>10</v>
      </c>
      <c r="U31">
        <v>11</v>
      </c>
      <c r="V31">
        <v>12</v>
      </c>
      <c r="W31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zoomScaleNormal="100" workbookViewId="0">
      <selection activeCell="D13" sqref="D13:D25"/>
    </sheetView>
  </sheetViews>
  <sheetFormatPr defaultRowHeight="15" x14ac:dyDescent="0.25"/>
  <cols>
    <col min="1" max="1" width="14.5703125" customWidth="1"/>
    <col min="3" max="3" width="13.7109375" customWidth="1"/>
    <col min="4" max="4" width="11.5703125" customWidth="1"/>
    <col min="9" max="9" width="6.140625" bestFit="1" customWidth="1"/>
    <col min="10" max="10" width="11" customWidth="1"/>
  </cols>
  <sheetData>
    <row r="1" spans="1:14" x14ac:dyDescent="0.25">
      <c r="A1" s="8" t="s">
        <v>51</v>
      </c>
    </row>
    <row r="2" spans="1:14" x14ac:dyDescent="0.25">
      <c r="A2" t="s">
        <v>52</v>
      </c>
    </row>
    <row r="3" spans="1:14" x14ac:dyDescent="0.25">
      <c r="A3" t="s">
        <v>0</v>
      </c>
      <c r="B3">
        <v>1000</v>
      </c>
      <c r="C3" t="s">
        <v>1</v>
      </c>
    </row>
    <row r="4" spans="1:14" x14ac:dyDescent="0.25">
      <c r="A4" t="s">
        <v>3</v>
      </c>
      <c r="B4">
        <v>60</v>
      </c>
      <c r="C4" t="s">
        <v>4</v>
      </c>
      <c r="J4" t="s">
        <v>130</v>
      </c>
    </row>
    <row r="5" spans="1:14" x14ac:dyDescent="0.25">
      <c r="A5" t="s">
        <v>59</v>
      </c>
      <c r="B5">
        <v>3</v>
      </c>
      <c r="C5" t="s">
        <v>2</v>
      </c>
    </row>
    <row r="6" spans="1:14" x14ac:dyDescent="0.25">
      <c r="A6" t="s">
        <v>59</v>
      </c>
      <c r="B6">
        <f>B5/B4*100</f>
        <v>5</v>
      </c>
      <c r="C6" t="s">
        <v>1</v>
      </c>
    </row>
    <row r="7" spans="1:14" x14ac:dyDescent="0.25">
      <c r="A7" t="s">
        <v>59</v>
      </c>
      <c r="B7">
        <v>20</v>
      </c>
      <c r="C7" t="s">
        <v>15</v>
      </c>
      <c r="D7" t="s">
        <v>27</v>
      </c>
    </row>
    <row r="8" spans="1:14" x14ac:dyDescent="0.25">
      <c r="A8" s="9" t="s">
        <v>62</v>
      </c>
    </row>
    <row r="9" spans="1:14" x14ac:dyDescent="0.25">
      <c r="B9" s="1"/>
      <c r="J9" s="3" t="s">
        <v>8</v>
      </c>
    </row>
    <row r="10" spans="1:14" x14ac:dyDescent="0.25">
      <c r="F10" s="3" t="s">
        <v>6</v>
      </c>
      <c r="J10" t="s">
        <v>9</v>
      </c>
      <c r="K10">
        <v>5</v>
      </c>
      <c r="L10" t="s">
        <v>10</v>
      </c>
    </row>
    <row r="11" spans="1:14" x14ac:dyDescent="0.25">
      <c r="A11" s="3" t="s">
        <v>5</v>
      </c>
      <c r="B11" s="3" t="s">
        <v>56</v>
      </c>
      <c r="C11" s="3" t="s">
        <v>53</v>
      </c>
      <c r="D11" s="10" t="s">
        <v>54</v>
      </c>
      <c r="E11" s="3" t="s">
        <v>55</v>
      </c>
      <c r="F11" s="3" t="s">
        <v>27</v>
      </c>
      <c r="J11" t="s">
        <v>11</v>
      </c>
      <c r="K11">
        <v>60</v>
      </c>
      <c r="L11" t="s">
        <v>15</v>
      </c>
      <c r="N11" t="s">
        <v>16</v>
      </c>
    </row>
    <row r="12" spans="1:14" x14ac:dyDescent="0.25">
      <c r="A12" s="3" t="s">
        <v>63</v>
      </c>
      <c r="B12" s="3" t="s">
        <v>57</v>
      </c>
      <c r="C12" s="3" t="s">
        <v>0</v>
      </c>
      <c r="D12" s="10" t="s">
        <v>0</v>
      </c>
      <c r="E12" s="3" t="s">
        <v>60</v>
      </c>
      <c r="F12" s="3" t="s">
        <v>7</v>
      </c>
    </row>
    <row r="13" spans="1:14" x14ac:dyDescent="0.25">
      <c r="A13">
        <v>1</v>
      </c>
      <c r="B13">
        <v>81</v>
      </c>
      <c r="C13">
        <f t="shared" ref="C13:C25" si="0">INT(B13/$B$6)*$B$6</f>
        <v>80</v>
      </c>
      <c r="D13" s="11">
        <f t="shared" ref="D13:D25" si="1">C13-2*$B$6</f>
        <v>70</v>
      </c>
      <c r="E13">
        <f t="shared" ref="E13:E25" si="2">D13/$B$6</f>
        <v>14</v>
      </c>
      <c r="F13">
        <f t="shared" ref="F13:F25" si="3">E13*$B$7</f>
        <v>280</v>
      </c>
      <c r="J13" t="s">
        <v>129</v>
      </c>
      <c r="K13">
        <v>1.24</v>
      </c>
      <c r="L13" t="s">
        <v>10</v>
      </c>
      <c r="N13" t="s">
        <v>14</v>
      </c>
    </row>
    <row r="14" spans="1:14" x14ac:dyDescent="0.25">
      <c r="A14">
        <v>2</v>
      </c>
      <c r="B14">
        <v>81</v>
      </c>
      <c r="C14">
        <f t="shared" si="0"/>
        <v>80</v>
      </c>
      <c r="D14" s="11">
        <f t="shared" si="1"/>
        <v>70</v>
      </c>
      <c r="E14">
        <f t="shared" si="2"/>
        <v>14</v>
      </c>
      <c r="F14">
        <f t="shared" si="3"/>
        <v>280</v>
      </c>
      <c r="J14" t="s">
        <v>12</v>
      </c>
      <c r="K14">
        <v>404</v>
      </c>
      <c r="L14" t="s">
        <v>13</v>
      </c>
    </row>
    <row r="15" spans="1:14" x14ac:dyDescent="0.25">
      <c r="A15">
        <v>3</v>
      </c>
      <c r="B15">
        <v>81</v>
      </c>
      <c r="C15">
        <f t="shared" si="0"/>
        <v>80</v>
      </c>
      <c r="D15" s="11">
        <f t="shared" si="1"/>
        <v>70</v>
      </c>
      <c r="E15">
        <f t="shared" si="2"/>
        <v>14</v>
      </c>
      <c r="F15">
        <f t="shared" si="3"/>
        <v>280</v>
      </c>
      <c r="J15" t="s">
        <v>19</v>
      </c>
      <c r="K15" s="1">
        <f>K13*31.5/K14*1000</f>
        <v>96.683168316831683</v>
      </c>
      <c r="L15" t="s">
        <v>15</v>
      </c>
      <c r="N15" t="s">
        <v>100</v>
      </c>
    </row>
    <row r="16" spans="1:14" x14ac:dyDescent="0.25">
      <c r="A16">
        <v>4</v>
      </c>
      <c r="B16">
        <v>81</v>
      </c>
      <c r="C16">
        <f t="shared" si="0"/>
        <v>80</v>
      </c>
      <c r="D16" s="11">
        <f t="shared" si="1"/>
        <v>70</v>
      </c>
      <c r="E16">
        <f t="shared" si="2"/>
        <v>14</v>
      </c>
      <c r="F16">
        <f t="shared" si="3"/>
        <v>280</v>
      </c>
    </row>
    <row r="17" spans="1:17" x14ac:dyDescent="0.25">
      <c r="A17">
        <v>5</v>
      </c>
      <c r="B17">
        <v>81</v>
      </c>
      <c r="C17">
        <f t="shared" si="0"/>
        <v>80</v>
      </c>
      <c r="D17" s="11">
        <f t="shared" si="1"/>
        <v>70</v>
      </c>
      <c r="E17">
        <f t="shared" si="2"/>
        <v>14</v>
      </c>
      <c r="F17">
        <f t="shared" si="3"/>
        <v>280</v>
      </c>
      <c r="J17" t="s">
        <v>17</v>
      </c>
      <c r="K17">
        <v>5</v>
      </c>
      <c r="L17" t="s">
        <v>10</v>
      </c>
      <c r="N17" t="s">
        <v>18</v>
      </c>
    </row>
    <row r="18" spans="1:17" x14ac:dyDescent="0.25">
      <c r="A18">
        <v>6</v>
      </c>
      <c r="B18">
        <v>86</v>
      </c>
      <c r="C18">
        <f t="shared" si="0"/>
        <v>85</v>
      </c>
      <c r="D18" s="11">
        <f t="shared" si="1"/>
        <v>75</v>
      </c>
      <c r="E18">
        <f t="shared" si="2"/>
        <v>15</v>
      </c>
      <c r="F18">
        <f t="shared" si="3"/>
        <v>300</v>
      </c>
      <c r="J18" t="s">
        <v>21</v>
      </c>
      <c r="K18">
        <v>63</v>
      </c>
      <c r="N18" t="s">
        <v>20</v>
      </c>
    </row>
    <row r="19" spans="1:17" x14ac:dyDescent="0.25">
      <c r="A19">
        <v>7</v>
      </c>
      <c r="B19">
        <v>105</v>
      </c>
      <c r="C19">
        <f t="shared" si="0"/>
        <v>105</v>
      </c>
      <c r="D19" s="11">
        <f t="shared" si="1"/>
        <v>95</v>
      </c>
      <c r="E19">
        <f t="shared" si="2"/>
        <v>19</v>
      </c>
      <c r="F19">
        <f t="shared" si="3"/>
        <v>380</v>
      </c>
      <c r="J19" t="s">
        <v>22</v>
      </c>
      <c r="K19">
        <v>1</v>
      </c>
      <c r="N19" t="s">
        <v>24</v>
      </c>
    </row>
    <row r="20" spans="1:17" x14ac:dyDescent="0.25">
      <c r="A20">
        <v>8</v>
      </c>
      <c r="B20">
        <v>91</v>
      </c>
      <c r="C20">
        <f t="shared" si="0"/>
        <v>90</v>
      </c>
      <c r="D20" s="11">
        <f t="shared" si="1"/>
        <v>80</v>
      </c>
      <c r="E20">
        <f t="shared" si="2"/>
        <v>16</v>
      </c>
      <c r="F20">
        <f t="shared" si="3"/>
        <v>320</v>
      </c>
      <c r="J20" t="s">
        <v>23</v>
      </c>
      <c r="K20">
        <v>15</v>
      </c>
      <c r="N20" t="s">
        <v>128</v>
      </c>
    </row>
    <row r="21" spans="1:17" x14ac:dyDescent="0.25">
      <c r="A21">
        <v>9</v>
      </c>
      <c r="B21">
        <v>83</v>
      </c>
      <c r="C21">
        <f t="shared" si="0"/>
        <v>80</v>
      </c>
      <c r="D21" s="11">
        <f t="shared" si="1"/>
        <v>70</v>
      </c>
      <c r="E21">
        <f t="shared" si="2"/>
        <v>14</v>
      </c>
      <c r="F21">
        <f t="shared" si="3"/>
        <v>280</v>
      </c>
    </row>
    <row r="22" spans="1:17" ht="18" x14ac:dyDescent="0.35">
      <c r="A22">
        <v>10</v>
      </c>
      <c r="B22">
        <v>82</v>
      </c>
      <c r="C22">
        <f t="shared" si="0"/>
        <v>80</v>
      </c>
      <c r="D22" s="11">
        <f t="shared" si="1"/>
        <v>70</v>
      </c>
      <c r="E22">
        <f t="shared" si="2"/>
        <v>14</v>
      </c>
      <c r="F22">
        <f t="shared" si="3"/>
        <v>280</v>
      </c>
      <c r="J22" t="s">
        <v>25</v>
      </c>
      <c r="K22">
        <f>K10*K11+K17*K15*K18/63*K19*K20</f>
        <v>7551.2376237623766</v>
      </c>
      <c r="L22" t="s">
        <v>26</v>
      </c>
      <c r="M22" t="s">
        <v>101</v>
      </c>
      <c r="O22">
        <f>15*K15</f>
        <v>1450.2475247524753</v>
      </c>
    </row>
    <row r="23" spans="1:17" x14ac:dyDescent="0.25">
      <c r="A23">
        <v>11</v>
      </c>
      <c r="B23">
        <v>97</v>
      </c>
      <c r="C23">
        <f t="shared" si="0"/>
        <v>95</v>
      </c>
      <c r="D23" s="11">
        <f t="shared" si="1"/>
        <v>85</v>
      </c>
      <c r="E23">
        <f t="shared" si="2"/>
        <v>17</v>
      </c>
      <c r="F23">
        <f t="shared" si="3"/>
        <v>340</v>
      </c>
      <c r="J23" s="3" t="s">
        <v>31</v>
      </c>
    </row>
    <row r="24" spans="1:17" x14ac:dyDescent="0.25">
      <c r="A24">
        <v>12</v>
      </c>
      <c r="B24">
        <v>100</v>
      </c>
      <c r="C24">
        <f t="shared" si="0"/>
        <v>100</v>
      </c>
      <c r="D24" s="11">
        <f t="shared" si="1"/>
        <v>90</v>
      </c>
      <c r="E24">
        <f t="shared" si="2"/>
        <v>18</v>
      </c>
      <c r="F24">
        <f t="shared" si="3"/>
        <v>360</v>
      </c>
    </row>
    <row r="25" spans="1:17" x14ac:dyDescent="0.25">
      <c r="A25">
        <v>13</v>
      </c>
      <c r="B25">
        <v>86</v>
      </c>
      <c r="C25">
        <f t="shared" si="0"/>
        <v>85</v>
      </c>
      <c r="D25" s="11">
        <f t="shared" si="1"/>
        <v>75</v>
      </c>
      <c r="E25">
        <f t="shared" si="2"/>
        <v>15</v>
      </c>
      <c r="F25">
        <f t="shared" si="3"/>
        <v>300</v>
      </c>
    </row>
    <row r="26" spans="1:17" x14ac:dyDescent="0.25">
      <c r="C26" s="2">
        <f>SUM(C13:C25)</f>
        <v>1120</v>
      </c>
      <c r="D26" s="2">
        <f>SUM(D13:D25)</f>
        <v>990</v>
      </c>
      <c r="F26" s="2">
        <f>SUM(F13:F25)</f>
        <v>3960</v>
      </c>
      <c r="G26" s="3" t="s">
        <v>28</v>
      </c>
      <c r="N26" t="s">
        <v>102</v>
      </c>
      <c r="O26">
        <v>310</v>
      </c>
    </row>
    <row r="27" spans="1:17" x14ac:dyDescent="0.25">
      <c r="D27" s="4"/>
      <c r="E27" s="5" t="s">
        <v>30</v>
      </c>
      <c r="F27" s="6">
        <f>F26*3/1000</f>
        <v>11.88</v>
      </c>
      <c r="G27" s="6" t="s">
        <v>29</v>
      </c>
      <c r="N27" t="s">
        <v>103</v>
      </c>
      <c r="O27">
        <v>1000</v>
      </c>
      <c r="Q27">
        <v>1000</v>
      </c>
    </row>
    <row r="28" spans="1:17" x14ac:dyDescent="0.25">
      <c r="D28" s="7" t="s">
        <v>58</v>
      </c>
      <c r="N28" t="s">
        <v>104</v>
      </c>
      <c r="O28">
        <f>1/(1/O26-1/O27)</f>
        <v>449.27536231884056</v>
      </c>
      <c r="Q28">
        <v>680</v>
      </c>
    </row>
    <row r="29" spans="1:17" x14ac:dyDescent="0.25">
      <c r="D29" t="s">
        <v>61</v>
      </c>
      <c r="Q29">
        <f>1/(1/Q27+1/Q28)</f>
        <v>404.76190476190476</v>
      </c>
    </row>
    <row r="32" spans="1:17" x14ac:dyDescent="0.25">
      <c r="A32" s="3" t="s">
        <v>32</v>
      </c>
    </row>
    <row r="33" spans="1:4" x14ac:dyDescent="0.25">
      <c r="A33" t="s">
        <v>33</v>
      </c>
    </row>
    <row r="35" spans="1:4" x14ac:dyDescent="0.25">
      <c r="A35" t="s">
        <v>34</v>
      </c>
    </row>
    <row r="36" spans="1:4" x14ac:dyDescent="0.25">
      <c r="A36" t="s">
        <v>35</v>
      </c>
    </row>
    <row r="37" spans="1:4" x14ac:dyDescent="0.25">
      <c r="A37" t="s">
        <v>36</v>
      </c>
    </row>
    <row r="38" spans="1:4" x14ac:dyDescent="0.25">
      <c r="A38" t="s">
        <v>37</v>
      </c>
      <c r="C38">
        <f>3/0.0016</f>
        <v>1875</v>
      </c>
    </row>
    <row r="40" spans="1:4" x14ac:dyDescent="0.25">
      <c r="A40" t="s">
        <v>40</v>
      </c>
    </row>
    <row r="41" spans="1:4" x14ac:dyDescent="0.25">
      <c r="A41" t="s">
        <v>41</v>
      </c>
    </row>
    <row r="42" spans="1:4" x14ac:dyDescent="0.25">
      <c r="A42" t="s">
        <v>9</v>
      </c>
      <c r="B42">
        <v>5</v>
      </c>
      <c r="C42" t="s">
        <v>10</v>
      </c>
    </row>
    <row r="43" spans="1:4" x14ac:dyDescent="0.25">
      <c r="A43" t="s">
        <v>42</v>
      </c>
      <c r="B43">
        <v>1.5</v>
      </c>
      <c r="C43" t="s">
        <v>10</v>
      </c>
    </row>
    <row r="44" spans="1:4" x14ac:dyDescent="0.25">
      <c r="A44" t="s">
        <v>43</v>
      </c>
      <c r="B44">
        <v>250</v>
      </c>
      <c r="C44" t="s">
        <v>44</v>
      </c>
    </row>
    <row r="45" spans="1:4" x14ac:dyDescent="0.25">
      <c r="A45" t="s">
        <v>47</v>
      </c>
      <c r="B45">
        <v>120</v>
      </c>
      <c r="C45" t="s">
        <v>15</v>
      </c>
    </row>
    <row r="46" spans="1:4" x14ac:dyDescent="0.25">
      <c r="A46" t="s">
        <v>45</v>
      </c>
      <c r="B46">
        <f>B45*1.2</f>
        <v>144</v>
      </c>
      <c r="C46" t="s">
        <v>15</v>
      </c>
      <c r="D46" t="s">
        <v>46</v>
      </c>
    </row>
    <row r="48" spans="1:4" x14ac:dyDescent="0.25">
      <c r="A48" t="s">
        <v>48</v>
      </c>
      <c r="B48" s="1">
        <f>(B42-B43)*B44/B46</f>
        <v>6.0763888888888893</v>
      </c>
      <c r="C48" t="s">
        <v>50</v>
      </c>
    </row>
    <row r="49" spans="1:3" x14ac:dyDescent="0.25">
      <c r="A49" t="s">
        <v>49</v>
      </c>
      <c r="B49" s="1">
        <f>(B42-B43)*B44/B45</f>
        <v>7.291666666666667</v>
      </c>
      <c r="C49" t="s">
        <v>50</v>
      </c>
    </row>
    <row r="52" spans="1:3" x14ac:dyDescent="0.25">
      <c r="A52" t="s">
        <v>38</v>
      </c>
    </row>
    <row r="54" spans="1:3" x14ac:dyDescent="0.25">
      <c r="A54" t="s">
        <v>39</v>
      </c>
    </row>
    <row r="57" spans="1:3" x14ac:dyDescent="0.25">
      <c r="A57" t="s">
        <v>188</v>
      </c>
    </row>
    <row r="58" spans="1:3" x14ac:dyDescent="0.25">
      <c r="A58" s="11">
        <v>95</v>
      </c>
      <c r="B58" s="11">
        <v>75</v>
      </c>
    </row>
    <row r="59" spans="1:3" x14ac:dyDescent="0.25">
      <c r="A59" s="11">
        <v>90</v>
      </c>
      <c r="B59" s="11">
        <v>75</v>
      </c>
    </row>
    <row r="60" spans="1:3" x14ac:dyDescent="0.25">
      <c r="A60" s="11">
        <v>85</v>
      </c>
      <c r="B60" s="11">
        <v>70</v>
      </c>
    </row>
    <row r="61" spans="1:3" x14ac:dyDescent="0.25">
      <c r="A61" s="11">
        <v>80</v>
      </c>
      <c r="B61" s="11">
        <v>70</v>
      </c>
    </row>
    <row r="62" spans="1:3" x14ac:dyDescent="0.25">
      <c r="A62" s="11">
        <v>70</v>
      </c>
      <c r="B62" s="11">
        <v>70</v>
      </c>
    </row>
    <row r="63" spans="1:3" x14ac:dyDescent="0.25">
      <c r="A63" s="11">
        <v>70</v>
      </c>
      <c r="B63" s="11">
        <v>70</v>
      </c>
    </row>
    <row r="64" spans="1:3" x14ac:dyDescent="0.25">
      <c r="B64" s="11">
        <v>70</v>
      </c>
    </row>
    <row r="66" spans="1:2" x14ac:dyDescent="0.25">
      <c r="A66">
        <f>SUM(A58:A65)</f>
        <v>490</v>
      </c>
      <c r="B66">
        <f>SUM(B58:B64)</f>
        <v>500</v>
      </c>
    </row>
  </sheetData>
  <sortState ref="A14:F26">
    <sortCondition descending="1" ref="A14:A26"/>
  </sortState>
  <hyperlinks>
    <hyperlink ref="A8" r:id="rId1"/>
  </hyperlinks>
  <pageMargins left="0.7" right="0.7" top="0.75" bottom="0.75" header="0.3" footer="0.3"/>
  <pageSetup paperSize="9" orientation="portrait" horizontalDpi="4294967293" verticalDpi="4294967293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4" sqref="B4"/>
    </sheetView>
  </sheetViews>
  <sheetFormatPr defaultColWidth="11.42578125" defaultRowHeight="15" x14ac:dyDescent="0.25"/>
  <cols>
    <col min="1" max="1" width="11.42578125" style="12"/>
    <col min="2" max="2" width="59.28515625" style="12" customWidth="1"/>
    <col min="3" max="16384" width="11.42578125" style="12"/>
  </cols>
  <sheetData>
    <row r="1" spans="1:2" s="32" customFormat="1" x14ac:dyDescent="0.25"/>
    <row r="2" spans="1:2" x14ac:dyDescent="0.25">
      <c r="A2" s="12" t="s">
        <v>98</v>
      </c>
    </row>
    <row r="3" spans="1:2" ht="30" x14ac:dyDescent="0.25">
      <c r="A3" s="12">
        <v>0</v>
      </c>
      <c r="B3" s="12" t="s">
        <v>99</v>
      </c>
    </row>
    <row r="4" spans="1:2" x14ac:dyDescent="0.25">
      <c r="A4" s="12">
        <v>1</v>
      </c>
      <c r="B4" s="30"/>
    </row>
    <row r="5" spans="1:2" x14ac:dyDescent="0.25">
      <c r="A5" s="12">
        <v>2</v>
      </c>
    </row>
    <row r="6" spans="1:2" x14ac:dyDescent="0.25">
      <c r="A6" s="12">
        <v>3</v>
      </c>
    </row>
    <row r="7" spans="1:2" x14ac:dyDescent="0.25">
      <c r="A7" s="12">
        <v>4</v>
      </c>
    </row>
    <row r="8" spans="1:2" x14ac:dyDescent="0.25">
      <c r="A8" s="12">
        <v>5</v>
      </c>
    </row>
    <row r="9" spans="1:2" x14ac:dyDescent="0.25">
      <c r="A9" s="12">
        <v>6</v>
      </c>
    </row>
    <row r="10" spans="1:2" x14ac:dyDescent="0.25">
      <c r="A10" s="12">
        <v>7</v>
      </c>
    </row>
    <row r="11" spans="1:2" x14ac:dyDescent="0.25">
      <c r="A11" s="12">
        <v>8</v>
      </c>
    </row>
    <row r="12" spans="1:2" x14ac:dyDescent="0.25">
      <c r="A12" s="12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workbookViewId="0">
      <selection activeCell="B5" sqref="B5"/>
    </sheetView>
  </sheetViews>
  <sheetFormatPr defaultRowHeight="15" x14ac:dyDescent="0.25"/>
  <cols>
    <col min="1" max="1" width="15.7109375" bestFit="1" customWidth="1"/>
    <col min="3" max="3" width="12.85546875" bestFit="1" customWidth="1"/>
  </cols>
  <sheetData>
    <row r="2" spans="1:5" x14ac:dyDescent="0.25">
      <c r="A2" t="s">
        <v>113</v>
      </c>
      <c r="D2" t="s">
        <v>114</v>
      </c>
    </row>
    <row r="4" spans="1:5" x14ac:dyDescent="0.25">
      <c r="A4" t="s">
        <v>115</v>
      </c>
      <c r="B4" t="s">
        <v>116</v>
      </c>
      <c r="C4" t="s">
        <v>119</v>
      </c>
      <c r="D4" t="s">
        <v>117</v>
      </c>
    </row>
    <row r="5" spans="1:5" x14ac:dyDescent="0.25">
      <c r="A5" t="s">
        <v>118</v>
      </c>
      <c r="B5" s="33">
        <v>9</v>
      </c>
      <c r="C5" s="1">
        <v>120</v>
      </c>
      <c r="D5" s="1">
        <f t="shared" ref="D5:D11" si="0">C5*B5</f>
        <v>1080</v>
      </c>
    </row>
    <row r="6" spans="1:5" x14ac:dyDescent="0.25">
      <c r="A6" t="s">
        <v>120</v>
      </c>
      <c r="B6">
        <v>1</v>
      </c>
      <c r="C6" s="1">
        <v>0.08</v>
      </c>
      <c r="D6" s="1">
        <f t="shared" si="0"/>
        <v>0.08</v>
      </c>
    </row>
    <row r="7" spans="1:5" x14ac:dyDescent="0.25">
      <c r="A7" t="s">
        <v>121</v>
      </c>
      <c r="B7">
        <v>1</v>
      </c>
      <c r="C7" s="1">
        <f>7*5</f>
        <v>35</v>
      </c>
      <c r="D7" s="1">
        <f t="shared" si="0"/>
        <v>35</v>
      </c>
    </row>
    <row r="8" spans="1:5" x14ac:dyDescent="0.25">
      <c r="A8" t="s">
        <v>122</v>
      </c>
      <c r="B8">
        <v>1</v>
      </c>
      <c r="C8" s="1">
        <f>5/45000*1000</f>
        <v>0.11111111111111112</v>
      </c>
      <c r="D8" s="1">
        <f t="shared" si="0"/>
        <v>0.11111111111111112</v>
      </c>
    </row>
    <row r="9" spans="1:5" x14ac:dyDescent="0.25">
      <c r="A9" t="s">
        <v>123</v>
      </c>
      <c r="B9">
        <v>2</v>
      </c>
      <c r="C9">
        <v>0.05</v>
      </c>
      <c r="D9" s="1">
        <f t="shared" si="0"/>
        <v>0.1</v>
      </c>
    </row>
    <row r="10" spans="1:5" x14ac:dyDescent="0.25">
      <c r="A10" t="s">
        <v>124</v>
      </c>
      <c r="B10">
        <v>2</v>
      </c>
      <c r="C10">
        <v>3</v>
      </c>
      <c r="D10" s="1">
        <f t="shared" si="0"/>
        <v>6</v>
      </c>
    </row>
    <row r="11" spans="1:5" x14ac:dyDescent="0.25">
      <c r="A11" t="s">
        <v>125</v>
      </c>
      <c r="B11">
        <v>2</v>
      </c>
      <c r="C11">
        <f>3/300*1000</f>
        <v>10</v>
      </c>
      <c r="D11" s="1">
        <f t="shared" si="0"/>
        <v>20</v>
      </c>
    </row>
    <row r="13" spans="1:5" x14ac:dyDescent="0.25">
      <c r="C13" s="3" t="s">
        <v>126</v>
      </c>
      <c r="D13" s="43">
        <f>SUM(D5:D12)</f>
        <v>1141.2911111111109</v>
      </c>
      <c r="E13" s="3" t="s">
        <v>15</v>
      </c>
    </row>
    <row r="15" spans="1:5" x14ac:dyDescent="0.25">
      <c r="A15" s="7" t="s">
        <v>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topLeftCell="A23" workbookViewId="0">
      <selection activeCell="B31" sqref="B31"/>
    </sheetView>
  </sheetViews>
  <sheetFormatPr defaultRowHeight="15" x14ac:dyDescent="0.25"/>
  <cols>
    <col min="1" max="1" width="26.28515625" customWidth="1"/>
    <col min="2" max="2" width="6.28515625" customWidth="1"/>
    <col min="3" max="3" width="5" bestFit="1" customWidth="1"/>
  </cols>
  <sheetData>
    <row r="2" spans="1:1" x14ac:dyDescent="0.25">
      <c r="A2" t="s">
        <v>131</v>
      </c>
    </row>
    <row r="30" spans="1:4" x14ac:dyDescent="0.25">
      <c r="A30" s="3" t="s">
        <v>175</v>
      </c>
    </row>
    <row r="31" spans="1:4" x14ac:dyDescent="0.25">
      <c r="A31" t="s">
        <v>133</v>
      </c>
      <c r="B31">
        <v>12</v>
      </c>
      <c r="C31" t="s">
        <v>10</v>
      </c>
      <c r="D31" t="s">
        <v>176</v>
      </c>
    </row>
    <row r="32" spans="1:4" x14ac:dyDescent="0.25">
      <c r="A32" t="s">
        <v>134</v>
      </c>
      <c r="B32">
        <v>20</v>
      </c>
      <c r="C32" t="s">
        <v>15</v>
      </c>
    </row>
    <row r="34" spans="1:10" x14ac:dyDescent="0.25">
      <c r="A34" t="s">
        <v>135</v>
      </c>
    </row>
    <row r="35" spans="1:10" x14ac:dyDescent="0.25">
      <c r="A35" s="3" t="s">
        <v>132</v>
      </c>
    </row>
    <row r="36" spans="1:10" x14ac:dyDescent="0.25">
      <c r="A36" t="s">
        <v>136</v>
      </c>
      <c r="B36">
        <v>330</v>
      </c>
      <c r="C36" t="s">
        <v>13</v>
      </c>
      <c r="E36" t="s">
        <v>145</v>
      </c>
    </row>
    <row r="37" spans="1:10" x14ac:dyDescent="0.25">
      <c r="A37" t="s">
        <v>137</v>
      </c>
      <c r="B37" s="1">
        <f>($B$31-B36*$B$32/1000)/3</f>
        <v>1.8</v>
      </c>
      <c r="C37" t="s">
        <v>10</v>
      </c>
      <c r="D37" t="s">
        <v>174</v>
      </c>
    </row>
    <row r="38" spans="1:10" x14ac:dyDescent="0.25">
      <c r="A38" s="3" t="s">
        <v>138</v>
      </c>
    </row>
    <row r="39" spans="1:10" x14ac:dyDescent="0.25">
      <c r="A39" t="s">
        <v>139</v>
      </c>
      <c r="B39">
        <v>130</v>
      </c>
      <c r="C39" t="s">
        <v>13</v>
      </c>
    </row>
    <row r="40" spans="1:10" x14ac:dyDescent="0.25">
      <c r="A40" t="s">
        <v>140</v>
      </c>
      <c r="B40" s="1">
        <f>($B$31-B39*$B$32/1000)/3</f>
        <v>3.1333333333333333</v>
      </c>
      <c r="C40" t="s">
        <v>10</v>
      </c>
      <c r="D40" t="s">
        <v>174</v>
      </c>
    </row>
    <row r="41" spans="1:10" x14ac:dyDescent="0.25">
      <c r="A41" s="3" t="s">
        <v>141</v>
      </c>
      <c r="F41" s="3" t="s">
        <v>166</v>
      </c>
    </row>
    <row r="42" spans="1:10" x14ac:dyDescent="0.25">
      <c r="A42" t="s">
        <v>139</v>
      </c>
      <c r="B42">
        <v>130</v>
      </c>
      <c r="C42" t="s">
        <v>13</v>
      </c>
      <c r="F42" s="45" t="s">
        <v>150</v>
      </c>
      <c r="G42" s="45"/>
      <c r="H42" s="45" t="s">
        <v>151</v>
      </c>
      <c r="I42" s="45"/>
      <c r="J42" s="45" t="s">
        <v>152</v>
      </c>
    </row>
    <row r="43" spans="1:10" x14ac:dyDescent="0.25">
      <c r="A43" t="s">
        <v>142</v>
      </c>
      <c r="B43" s="1">
        <f>($B$31-B42*$B$32/1000)/3</f>
        <v>3.1333333333333333</v>
      </c>
      <c r="C43" t="s">
        <v>10</v>
      </c>
      <c r="D43" t="s">
        <v>174</v>
      </c>
      <c r="F43" t="s">
        <v>153</v>
      </c>
      <c r="H43" t="s">
        <v>156</v>
      </c>
      <c r="J43" t="s">
        <v>161</v>
      </c>
    </row>
    <row r="44" spans="1:10" x14ac:dyDescent="0.25">
      <c r="B44" s="1"/>
      <c r="F44" t="s">
        <v>103</v>
      </c>
      <c r="H44" t="s">
        <v>157</v>
      </c>
      <c r="J44" t="s">
        <v>162</v>
      </c>
    </row>
    <row r="45" spans="1:10" x14ac:dyDescent="0.25">
      <c r="A45" s="3" t="s">
        <v>144</v>
      </c>
      <c r="F45" t="s">
        <v>154</v>
      </c>
      <c r="H45" t="s">
        <v>158</v>
      </c>
      <c r="J45" t="s">
        <v>163</v>
      </c>
    </row>
    <row r="46" spans="1:10" x14ac:dyDescent="0.25">
      <c r="A46" t="s">
        <v>178</v>
      </c>
      <c r="B46" s="44">
        <v>60</v>
      </c>
      <c r="C46" t="s">
        <v>15</v>
      </c>
      <c r="F46" t="s">
        <v>155</v>
      </c>
      <c r="H46" t="s">
        <v>159</v>
      </c>
      <c r="J46" t="s">
        <v>164</v>
      </c>
    </row>
    <row r="47" spans="1:10" x14ac:dyDescent="0.25">
      <c r="A47" t="s">
        <v>149</v>
      </c>
      <c r="B47">
        <v>3</v>
      </c>
      <c r="C47" t="s">
        <v>4</v>
      </c>
      <c r="F47" t="s">
        <v>104</v>
      </c>
      <c r="H47" t="s">
        <v>160</v>
      </c>
      <c r="J47" t="s">
        <v>165</v>
      </c>
    </row>
    <row r="48" spans="1:10" x14ac:dyDescent="0.25">
      <c r="A48" t="s">
        <v>143</v>
      </c>
      <c r="B48">
        <v>15</v>
      </c>
      <c r="C48" t="s">
        <v>4</v>
      </c>
      <c r="E48" s="8" t="s">
        <v>167</v>
      </c>
    </row>
    <row r="49" spans="1:11" x14ac:dyDescent="0.25">
      <c r="A49" t="s">
        <v>146</v>
      </c>
      <c r="B49">
        <f>$B$31-3*$B$37-$B$47*$B$46/$B$48*$B$36/1000</f>
        <v>2.6399999999999997</v>
      </c>
      <c r="C49" t="s">
        <v>10</v>
      </c>
      <c r="E49" t="s">
        <v>132</v>
      </c>
      <c r="F49">
        <f>2*3</f>
        <v>6</v>
      </c>
      <c r="H49">
        <f>1*3</f>
        <v>3</v>
      </c>
      <c r="J49">
        <f>2*3</f>
        <v>6</v>
      </c>
    </row>
    <row r="50" spans="1:11" x14ac:dyDescent="0.25">
      <c r="A50" t="s">
        <v>147</v>
      </c>
      <c r="B50">
        <f>$B$31-3*$B$40-$B$47*$B$46/$B$48*$B$39/1000</f>
        <v>1.0399999999999996</v>
      </c>
      <c r="C50" t="s">
        <v>10</v>
      </c>
      <c r="E50" t="s">
        <v>138</v>
      </c>
      <c r="F50">
        <f>2*3</f>
        <v>6</v>
      </c>
      <c r="H50">
        <f t="shared" ref="H50:H51" si="0">2*3</f>
        <v>6</v>
      </c>
      <c r="J50">
        <f>1*3</f>
        <v>3</v>
      </c>
    </row>
    <row r="51" spans="1:11" x14ac:dyDescent="0.25">
      <c r="A51" t="s">
        <v>148</v>
      </c>
      <c r="B51">
        <f>$B$31-3*$B$43-$B$47*$B$46/$B$48*$B$42/1000</f>
        <v>1.0399999999999996</v>
      </c>
      <c r="C51" t="s">
        <v>10</v>
      </c>
      <c r="E51" t="s">
        <v>141</v>
      </c>
      <c r="F51">
        <f>1*3</f>
        <v>3</v>
      </c>
      <c r="H51">
        <f t="shared" si="0"/>
        <v>6</v>
      </c>
      <c r="J51">
        <f>2*3</f>
        <v>6</v>
      </c>
    </row>
    <row r="52" spans="1:11" x14ac:dyDescent="0.25">
      <c r="A52" s="3"/>
    </row>
    <row r="53" spans="1:11" x14ac:dyDescent="0.25">
      <c r="A53" t="s">
        <v>177</v>
      </c>
      <c r="B53">
        <f>B47*B46/B48</f>
        <v>12</v>
      </c>
      <c r="C53" t="s">
        <v>15</v>
      </c>
      <c r="E53" t="s">
        <v>169</v>
      </c>
      <c r="F53">
        <f>F49*$B49*$B$46/1000</f>
        <v>0.95039999999999991</v>
      </c>
      <c r="H53">
        <f>H49*$B49*$B$46/1000</f>
        <v>0.47519999999999996</v>
      </c>
      <c r="J53">
        <f>J49*$B49*$B$46/1000</f>
        <v>0.95039999999999991</v>
      </c>
    </row>
    <row r="54" spans="1:11" x14ac:dyDescent="0.25">
      <c r="A54" t="s">
        <v>12</v>
      </c>
      <c r="B54">
        <f>1.24*31.5/B46*1000</f>
        <v>651</v>
      </c>
      <c r="C54" t="s">
        <v>13</v>
      </c>
      <c r="E54" t="s">
        <v>170</v>
      </c>
      <c r="F54">
        <f>F50*$B50*$B$46/1000</f>
        <v>0.37439999999999984</v>
      </c>
      <c r="H54">
        <f>H50*$B50*$B$46/1000</f>
        <v>0.37439999999999984</v>
      </c>
      <c r="J54">
        <f>J50*$B50*$B$46/1000</f>
        <v>0.18719999999999992</v>
      </c>
    </row>
    <row r="55" spans="1:11" x14ac:dyDescent="0.25">
      <c r="E55" t="s">
        <v>168</v>
      </c>
      <c r="F55">
        <f>F51*$B51*$B$46/1000</f>
        <v>0.18719999999999992</v>
      </c>
      <c r="H55">
        <f>H51*$B51*$B$46/1000</f>
        <v>0.37439999999999984</v>
      </c>
      <c r="J55">
        <f>J51*$B51*$B$46/1000</f>
        <v>0.37439999999999984</v>
      </c>
    </row>
    <row r="56" spans="1:11" x14ac:dyDescent="0.25">
      <c r="E56" s="46" t="s">
        <v>171</v>
      </c>
      <c r="F56" s="46">
        <f>5*0.06</f>
        <v>0.3</v>
      </c>
      <c r="G56" s="46"/>
      <c r="H56" s="46">
        <f>5*0.06</f>
        <v>0.3</v>
      </c>
      <c r="I56" s="46"/>
      <c r="J56" s="46">
        <f>5*0.06</f>
        <v>0.3</v>
      </c>
    </row>
    <row r="57" spans="1:11" x14ac:dyDescent="0.25">
      <c r="E57" s="3" t="s">
        <v>172</v>
      </c>
      <c r="F57" s="3">
        <f>SUM(F53:F56)</f>
        <v>1.8119999999999996</v>
      </c>
      <c r="G57" s="3" t="s">
        <v>173</v>
      </c>
      <c r="H57" s="3">
        <f>SUM(H53:H56)</f>
        <v>1.5239999999999998</v>
      </c>
      <c r="I57" s="3" t="s">
        <v>173</v>
      </c>
      <c r="J57" s="3">
        <f>SUM(J53:J56)</f>
        <v>1.8119999999999998</v>
      </c>
      <c r="K57" t="s">
        <v>173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topLeftCell="A29" workbookViewId="0">
      <selection activeCell="B49" sqref="B49"/>
    </sheetView>
  </sheetViews>
  <sheetFormatPr defaultRowHeight="15" x14ac:dyDescent="0.25"/>
  <cols>
    <col min="1" max="1" width="26.28515625" customWidth="1"/>
    <col min="2" max="2" width="6.28515625" customWidth="1"/>
    <col min="3" max="3" width="5" bestFit="1" customWidth="1"/>
  </cols>
  <sheetData>
    <row r="2" spans="1:1" x14ac:dyDescent="0.25">
      <c r="A2" t="s">
        <v>131</v>
      </c>
    </row>
    <row r="30" spans="1:4" x14ac:dyDescent="0.25">
      <c r="A30" s="3" t="s">
        <v>175</v>
      </c>
    </row>
    <row r="31" spans="1:4" x14ac:dyDescent="0.25">
      <c r="A31" t="s">
        <v>133</v>
      </c>
      <c r="B31">
        <v>12</v>
      </c>
      <c r="C31" t="s">
        <v>10</v>
      </c>
      <c r="D31" t="s">
        <v>176</v>
      </c>
    </row>
    <row r="32" spans="1:4" x14ac:dyDescent="0.25">
      <c r="A32" t="s">
        <v>134</v>
      </c>
      <c r="B32">
        <v>20</v>
      </c>
      <c r="C32" t="s">
        <v>15</v>
      </c>
    </row>
    <row r="34" spans="1:10" x14ac:dyDescent="0.25">
      <c r="A34" t="s">
        <v>135</v>
      </c>
    </row>
    <row r="35" spans="1:10" x14ac:dyDescent="0.25">
      <c r="A35" s="3" t="s">
        <v>132</v>
      </c>
    </row>
    <row r="36" spans="1:10" x14ac:dyDescent="0.25">
      <c r="A36" t="s">
        <v>136</v>
      </c>
      <c r="B36">
        <v>300</v>
      </c>
      <c r="C36" t="s">
        <v>13</v>
      </c>
      <c r="E36" t="s">
        <v>145</v>
      </c>
    </row>
    <row r="37" spans="1:10" x14ac:dyDescent="0.25">
      <c r="A37" t="s">
        <v>137</v>
      </c>
      <c r="B37" s="1">
        <f>($B$31-B36*$B$32/1000)/3</f>
        <v>2</v>
      </c>
      <c r="C37" t="s">
        <v>10</v>
      </c>
      <c r="D37" t="s">
        <v>174</v>
      </c>
    </row>
    <row r="38" spans="1:10" x14ac:dyDescent="0.25">
      <c r="A38" s="3" t="s">
        <v>138</v>
      </c>
    </row>
    <row r="39" spans="1:10" x14ac:dyDescent="0.25">
      <c r="A39" t="s">
        <v>139</v>
      </c>
      <c r="B39">
        <v>150</v>
      </c>
      <c r="C39" t="s">
        <v>13</v>
      </c>
    </row>
    <row r="40" spans="1:10" x14ac:dyDescent="0.25">
      <c r="A40" t="s">
        <v>140</v>
      </c>
      <c r="B40" s="1">
        <f>($B$31-B39*$B$32/1000)/3</f>
        <v>3</v>
      </c>
      <c r="C40" t="s">
        <v>10</v>
      </c>
      <c r="D40" t="s">
        <v>174</v>
      </c>
    </row>
    <row r="41" spans="1:10" x14ac:dyDescent="0.25">
      <c r="A41" s="3" t="s">
        <v>141</v>
      </c>
      <c r="F41" s="3" t="s">
        <v>166</v>
      </c>
    </row>
    <row r="42" spans="1:10" x14ac:dyDescent="0.25">
      <c r="A42" t="s">
        <v>139</v>
      </c>
      <c r="B42">
        <v>130</v>
      </c>
      <c r="C42" t="s">
        <v>13</v>
      </c>
      <c r="F42" s="45" t="s">
        <v>150</v>
      </c>
      <c r="G42" s="45"/>
      <c r="H42" s="45" t="s">
        <v>151</v>
      </c>
      <c r="I42" s="45"/>
      <c r="J42" s="45" t="s">
        <v>152</v>
      </c>
    </row>
    <row r="43" spans="1:10" x14ac:dyDescent="0.25">
      <c r="A43" t="s">
        <v>142</v>
      </c>
      <c r="B43" s="1">
        <f>($B$31-B42*$B$32/1000)/3</f>
        <v>3.1333333333333333</v>
      </c>
      <c r="C43" t="s">
        <v>10</v>
      </c>
      <c r="D43" t="s">
        <v>174</v>
      </c>
      <c r="F43" t="s">
        <v>153</v>
      </c>
      <c r="H43" t="s">
        <v>156</v>
      </c>
      <c r="J43" t="s">
        <v>161</v>
      </c>
    </row>
    <row r="44" spans="1:10" x14ac:dyDescent="0.25">
      <c r="B44" s="1"/>
      <c r="F44" t="s">
        <v>103</v>
      </c>
      <c r="H44" t="s">
        <v>157</v>
      </c>
      <c r="J44" t="s">
        <v>162</v>
      </c>
    </row>
    <row r="45" spans="1:10" x14ac:dyDescent="0.25">
      <c r="A45" s="3" t="s">
        <v>144</v>
      </c>
      <c r="F45" t="s">
        <v>154</v>
      </c>
      <c r="H45" t="s">
        <v>158</v>
      </c>
      <c r="J45" t="s">
        <v>163</v>
      </c>
    </row>
    <row r="46" spans="1:10" x14ac:dyDescent="0.25">
      <c r="A46" t="s">
        <v>178</v>
      </c>
      <c r="B46" s="44">
        <v>20</v>
      </c>
      <c r="C46" t="s">
        <v>15</v>
      </c>
      <c r="F46" t="s">
        <v>155</v>
      </c>
      <c r="H46" t="s">
        <v>159</v>
      </c>
      <c r="J46" t="s">
        <v>164</v>
      </c>
    </row>
    <row r="47" spans="1:10" x14ac:dyDescent="0.25">
      <c r="A47" t="s">
        <v>149</v>
      </c>
      <c r="B47">
        <v>3</v>
      </c>
      <c r="C47" t="s">
        <v>4</v>
      </c>
      <c r="F47" t="s">
        <v>104</v>
      </c>
      <c r="H47" t="s">
        <v>160</v>
      </c>
      <c r="J47" t="s">
        <v>165</v>
      </c>
    </row>
    <row r="48" spans="1:10" x14ac:dyDescent="0.25">
      <c r="A48" t="s">
        <v>143</v>
      </c>
      <c r="B48" s="44">
        <v>5</v>
      </c>
      <c r="C48" t="s">
        <v>4</v>
      </c>
      <c r="E48" s="8" t="s">
        <v>167</v>
      </c>
    </row>
    <row r="49" spans="1:11" x14ac:dyDescent="0.25">
      <c r="A49" t="s">
        <v>146</v>
      </c>
      <c r="B49">
        <f>$B$31-3*$B$37-$B$47*$B$46/$B$48*$B$36/1000</f>
        <v>2.4</v>
      </c>
      <c r="C49" t="s">
        <v>10</v>
      </c>
      <c r="E49" t="s">
        <v>132</v>
      </c>
      <c r="F49">
        <f>2*3</f>
        <v>6</v>
      </c>
      <c r="H49">
        <f>1*3</f>
        <v>3</v>
      </c>
      <c r="J49">
        <f>2*3</f>
        <v>6</v>
      </c>
    </row>
    <row r="50" spans="1:11" x14ac:dyDescent="0.25">
      <c r="A50" t="s">
        <v>147</v>
      </c>
      <c r="B50">
        <f>$B$31-3*$B$40-$B$47*$B$46/$B$48*$B$39/1000</f>
        <v>1.2</v>
      </c>
      <c r="C50" t="s">
        <v>10</v>
      </c>
      <c r="E50" t="s">
        <v>138</v>
      </c>
      <c r="F50">
        <f>2*3</f>
        <v>6</v>
      </c>
      <c r="H50">
        <f t="shared" ref="H50:H51" si="0">2*3</f>
        <v>6</v>
      </c>
      <c r="J50">
        <f>1*3</f>
        <v>3</v>
      </c>
    </row>
    <row r="51" spans="1:11" x14ac:dyDescent="0.25">
      <c r="A51" t="s">
        <v>148</v>
      </c>
      <c r="B51">
        <f>$B$31-3*$B$43-$B$47*$B$46/$B$48*$B$42/1000</f>
        <v>1.0399999999999996</v>
      </c>
      <c r="C51" t="s">
        <v>10</v>
      </c>
      <c r="E51" t="s">
        <v>141</v>
      </c>
      <c r="F51">
        <f>1*3</f>
        <v>3</v>
      </c>
      <c r="H51">
        <f t="shared" si="0"/>
        <v>6</v>
      </c>
      <c r="J51">
        <f>2*3</f>
        <v>6</v>
      </c>
    </row>
    <row r="52" spans="1:11" x14ac:dyDescent="0.25">
      <c r="A52" s="3"/>
    </row>
    <row r="53" spans="1:11" x14ac:dyDescent="0.25">
      <c r="A53" t="s">
        <v>177</v>
      </c>
      <c r="B53">
        <f>B47*B46/B48</f>
        <v>12</v>
      </c>
      <c r="C53" t="s">
        <v>15</v>
      </c>
      <c r="E53" t="s">
        <v>169</v>
      </c>
      <c r="F53">
        <f>F49*$B49*$B$46/1000</f>
        <v>0.28799999999999998</v>
      </c>
      <c r="H53">
        <f>H49*$B49*$B$46/1000</f>
        <v>0.14399999999999999</v>
      </c>
      <c r="J53">
        <f>J49*$B49*$B$46/1000</f>
        <v>0.28799999999999998</v>
      </c>
    </row>
    <row r="54" spans="1:11" x14ac:dyDescent="0.25">
      <c r="A54" t="s">
        <v>12</v>
      </c>
      <c r="B54">
        <f>1.24*31.5/B46*1000</f>
        <v>1953</v>
      </c>
      <c r="C54" t="s">
        <v>13</v>
      </c>
      <c r="E54" t="s">
        <v>170</v>
      </c>
      <c r="F54">
        <f>F50*$B50*$B$46/1000</f>
        <v>0.14399999999999999</v>
      </c>
      <c r="H54">
        <f>H50*$B50*$B$46/1000</f>
        <v>0.14399999999999999</v>
      </c>
      <c r="J54">
        <f>J50*$B50*$B$46/1000</f>
        <v>7.1999999999999995E-2</v>
      </c>
    </row>
    <row r="55" spans="1:11" x14ac:dyDescent="0.25">
      <c r="E55" t="s">
        <v>168</v>
      </c>
      <c r="F55">
        <f>F51*$B51*$B$46/1000</f>
        <v>6.2399999999999976E-2</v>
      </c>
      <c r="H55">
        <f>H51*$B51*$B$46/1000</f>
        <v>0.12479999999999995</v>
      </c>
      <c r="J55">
        <f>J51*$B51*$B$46/1000</f>
        <v>0.12479999999999995</v>
      </c>
    </row>
    <row r="56" spans="1:11" x14ac:dyDescent="0.25">
      <c r="E56" s="46" t="s">
        <v>171</v>
      </c>
      <c r="F56" s="46">
        <f>5*0.06</f>
        <v>0.3</v>
      </c>
      <c r="G56" s="46"/>
      <c r="H56" s="46">
        <f>5*0.06</f>
        <v>0.3</v>
      </c>
      <c r="I56" s="46"/>
      <c r="J56" s="46">
        <f>5*0.06</f>
        <v>0.3</v>
      </c>
    </row>
    <row r="57" spans="1:11" x14ac:dyDescent="0.25">
      <c r="E57" s="3" t="s">
        <v>172</v>
      </c>
      <c r="F57" s="3">
        <f>SUM(F53:F56)</f>
        <v>0.79439999999999988</v>
      </c>
      <c r="G57" s="3" t="s">
        <v>173</v>
      </c>
      <c r="H57" s="3">
        <f>SUM(H53:H56)</f>
        <v>0.71279999999999988</v>
      </c>
      <c r="I57" s="3" t="s">
        <v>173</v>
      </c>
      <c r="J57" s="3">
        <f>SUM(J53:J56)</f>
        <v>0.78479999999999994</v>
      </c>
      <c r="K57" t="s">
        <v>173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34" sqref="A34"/>
    </sheetView>
  </sheetViews>
  <sheetFormatPr defaultRowHeight="15" x14ac:dyDescent="0.25"/>
  <sheetData>
    <row r="1" spans="1:1" x14ac:dyDescent="0.25">
      <c r="A1" t="s">
        <v>179</v>
      </c>
    </row>
    <row r="2" spans="1:1" x14ac:dyDescent="0.25">
      <c r="A2" t="s">
        <v>180</v>
      </c>
    </row>
    <row r="23" spans="1:7" x14ac:dyDescent="0.25">
      <c r="A23" t="s">
        <v>181</v>
      </c>
    </row>
    <row r="25" spans="1:7" x14ac:dyDescent="0.25">
      <c r="A25" t="s">
        <v>182</v>
      </c>
      <c r="E25" s="47" t="s">
        <v>183</v>
      </c>
      <c r="F25" s="47">
        <f>15^2/0.25</f>
        <v>900</v>
      </c>
      <c r="G25" s="47" t="s">
        <v>13</v>
      </c>
    </row>
    <row r="26" spans="1:7" x14ac:dyDescent="0.25">
      <c r="E26" t="s">
        <v>184</v>
      </c>
    </row>
    <row r="28" spans="1:7" x14ac:dyDescent="0.25">
      <c r="A28" t="s">
        <v>185</v>
      </c>
    </row>
    <row r="30" spans="1:7" x14ac:dyDescent="0.25">
      <c r="A30" t="s">
        <v>103</v>
      </c>
      <c r="B30" t="s">
        <v>104</v>
      </c>
      <c r="C30" t="s">
        <v>17</v>
      </c>
    </row>
    <row r="31" spans="1:7" x14ac:dyDescent="0.25">
      <c r="A31">
        <v>1000</v>
      </c>
      <c r="B31">
        <v>5000</v>
      </c>
      <c r="C31">
        <f>1.25*(1+B31/A31)</f>
        <v>7.5</v>
      </c>
    </row>
    <row r="33" spans="1:1" x14ac:dyDescent="0.25">
      <c r="A33" t="s">
        <v>186</v>
      </c>
    </row>
    <row r="34" spans="1:1" x14ac:dyDescent="0.25">
      <c r="A34" t="s">
        <v>187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3"/>
  <sheetViews>
    <sheetView tabSelected="1" workbookViewId="0">
      <selection activeCell="C13" sqref="C13"/>
    </sheetView>
  </sheetViews>
  <sheetFormatPr defaultRowHeight="15" x14ac:dyDescent="0.25"/>
  <cols>
    <col min="4" max="20" width="4.85546875" customWidth="1"/>
  </cols>
  <sheetData>
    <row r="3" spans="2:20" x14ac:dyDescent="0.25">
      <c r="B3" s="3" t="s">
        <v>194</v>
      </c>
      <c r="C3" s="3" t="s">
        <v>2</v>
      </c>
      <c r="D3" s="48">
        <v>0</v>
      </c>
      <c r="E3" s="48">
        <v>1</v>
      </c>
      <c r="F3" s="48">
        <v>2</v>
      </c>
      <c r="G3" s="48">
        <v>3</v>
      </c>
      <c r="H3" s="48">
        <v>4</v>
      </c>
      <c r="I3" s="48">
        <v>5</v>
      </c>
      <c r="J3" s="48">
        <v>6</v>
      </c>
      <c r="K3" s="48">
        <v>7</v>
      </c>
      <c r="L3" s="48">
        <v>8</v>
      </c>
      <c r="M3" s="48">
        <v>9</v>
      </c>
      <c r="N3" s="20" t="s">
        <v>210</v>
      </c>
      <c r="O3" s="20" t="s">
        <v>205</v>
      </c>
      <c r="P3" s="20" t="s">
        <v>203</v>
      </c>
      <c r="Q3" s="20" t="s">
        <v>206</v>
      </c>
      <c r="R3" s="20" t="s">
        <v>207</v>
      </c>
      <c r="S3" s="20" t="s">
        <v>208</v>
      </c>
      <c r="T3" s="20" t="s">
        <v>212</v>
      </c>
    </row>
    <row r="4" spans="2:20" x14ac:dyDescent="0.25">
      <c r="B4" t="s">
        <v>195</v>
      </c>
      <c r="C4" t="s">
        <v>204</v>
      </c>
    </row>
    <row r="5" spans="2:20" x14ac:dyDescent="0.25">
      <c r="B5" t="s">
        <v>196</v>
      </c>
      <c r="C5" t="s">
        <v>203</v>
      </c>
      <c r="D5">
        <v>1</v>
      </c>
      <c r="E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Q5">
        <v>1</v>
      </c>
    </row>
    <row r="6" spans="2:20" x14ac:dyDescent="0.25">
      <c r="B6" t="s">
        <v>197</v>
      </c>
      <c r="C6" t="s">
        <v>205</v>
      </c>
      <c r="D6">
        <v>1</v>
      </c>
      <c r="E6">
        <v>1</v>
      </c>
      <c r="F6">
        <v>1</v>
      </c>
      <c r="G6">
        <v>1</v>
      </c>
      <c r="H6">
        <v>1</v>
      </c>
      <c r="K6">
        <v>1</v>
      </c>
      <c r="L6">
        <v>1</v>
      </c>
      <c r="M6">
        <v>1</v>
      </c>
      <c r="N6">
        <v>1</v>
      </c>
      <c r="Q6">
        <v>1</v>
      </c>
    </row>
    <row r="7" spans="2:20" x14ac:dyDescent="0.25">
      <c r="B7" t="s">
        <v>198</v>
      </c>
      <c r="C7" t="s">
        <v>206</v>
      </c>
      <c r="D7">
        <v>1</v>
      </c>
      <c r="F7">
        <v>1</v>
      </c>
      <c r="G7">
        <v>1</v>
      </c>
      <c r="I7">
        <v>1</v>
      </c>
      <c r="J7">
        <v>1</v>
      </c>
      <c r="L7">
        <v>1</v>
      </c>
      <c r="M7">
        <v>1</v>
      </c>
      <c r="O7">
        <v>1</v>
      </c>
      <c r="P7">
        <v>1</v>
      </c>
      <c r="Q7">
        <v>1</v>
      </c>
      <c r="R7">
        <v>1</v>
      </c>
    </row>
    <row r="8" spans="2:20" x14ac:dyDescent="0.25">
      <c r="B8" t="s">
        <v>199</v>
      </c>
      <c r="C8" t="s">
        <v>207</v>
      </c>
      <c r="D8">
        <v>1</v>
      </c>
      <c r="F8">
        <v>1</v>
      </c>
      <c r="J8">
        <v>1</v>
      </c>
      <c r="L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</row>
    <row r="9" spans="2:20" x14ac:dyDescent="0.25">
      <c r="B9" t="s">
        <v>200</v>
      </c>
      <c r="C9" t="s">
        <v>208</v>
      </c>
      <c r="D9">
        <v>1</v>
      </c>
      <c r="H9">
        <v>1</v>
      </c>
      <c r="I9">
        <v>1</v>
      </c>
      <c r="J9">
        <v>1</v>
      </c>
      <c r="L9">
        <v>1</v>
      </c>
      <c r="M9">
        <v>1</v>
      </c>
      <c r="N9">
        <v>1</v>
      </c>
      <c r="O9">
        <v>1</v>
      </c>
      <c r="P9">
        <v>1</v>
      </c>
      <c r="R9">
        <v>1</v>
      </c>
      <c r="S9">
        <v>1</v>
      </c>
    </row>
    <row r="10" spans="2:20" x14ac:dyDescent="0.25">
      <c r="B10" t="s">
        <v>201</v>
      </c>
      <c r="C10" t="s">
        <v>209</v>
      </c>
      <c r="F10">
        <v>1</v>
      </c>
      <c r="G10">
        <v>1</v>
      </c>
      <c r="H10">
        <v>1</v>
      </c>
      <c r="I10">
        <v>1</v>
      </c>
      <c r="J10">
        <v>1</v>
      </c>
      <c r="L10">
        <v>1</v>
      </c>
      <c r="M10">
        <v>1</v>
      </c>
      <c r="N10">
        <v>1</v>
      </c>
      <c r="O10">
        <v>1</v>
      </c>
      <c r="Q10">
        <v>1</v>
      </c>
      <c r="R10">
        <v>1</v>
      </c>
      <c r="S10">
        <v>1</v>
      </c>
      <c r="T10">
        <v>1</v>
      </c>
    </row>
    <row r="11" spans="2:20" x14ac:dyDescent="0.25">
      <c r="B11" t="s">
        <v>202</v>
      </c>
      <c r="C11" t="s">
        <v>210</v>
      </c>
      <c r="D11">
        <v>1</v>
      </c>
      <c r="F11">
        <v>1</v>
      </c>
      <c r="G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P11">
        <v>1</v>
      </c>
      <c r="R11">
        <v>1</v>
      </c>
      <c r="S11">
        <v>1</v>
      </c>
    </row>
    <row r="12" spans="2:20" x14ac:dyDescent="0.25">
      <c r="C12" t="s">
        <v>211</v>
      </c>
      <c r="D12">
        <f>D4+2*D5+4*D6+8*D7+16*D8+32*D9+64*D10+128*D11</f>
        <v>190</v>
      </c>
      <c r="E12">
        <f t="shared" ref="E12:M12" si="0">E4+2*E5+4*E6+8*E7+16*E8+32*E9+64*E10+128*E11</f>
        <v>6</v>
      </c>
      <c r="F12">
        <f t="shared" si="0"/>
        <v>220</v>
      </c>
      <c r="G12">
        <f t="shared" si="0"/>
        <v>206</v>
      </c>
      <c r="H12">
        <f t="shared" si="0"/>
        <v>102</v>
      </c>
      <c r="I12">
        <f t="shared" si="0"/>
        <v>234</v>
      </c>
      <c r="J12">
        <f t="shared" si="0"/>
        <v>250</v>
      </c>
      <c r="K12">
        <f t="shared" si="0"/>
        <v>134</v>
      </c>
      <c r="L12">
        <f t="shared" si="0"/>
        <v>254</v>
      </c>
      <c r="M12">
        <f t="shared" si="0"/>
        <v>238</v>
      </c>
      <c r="N12">
        <f t="shared" ref="N12" si="1">N4+2*N5+4*N6+8*N7+16*N8+32*N9+64*N10+128*N11</f>
        <v>246</v>
      </c>
      <c r="O12">
        <f t="shared" ref="O12" si="2">O4+2*O5+4*O6+8*O7+16*O8+32*O9+64*O10+128*O11</f>
        <v>122</v>
      </c>
      <c r="P12">
        <f t="shared" ref="P12" si="3">P4+2*P5+4*P6+8*P7+16*P8+32*P9+64*P10+128*P11</f>
        <v>184</v>
      </c>
      <c r="Q12">
        <f t="shared" ref="Q12" si="4">Q4+2*Q5+4*Q6+8*Q7+16*Q8+32*Q9+64*Q10+128*Q11</f>
        <v>94</v>
      </c>
      <c r="R12">
        <f t="shared" ref="R12" si="5">R4+2*R5+4*R6+8*R7+16*R8+32*R9+64*R10+128*R11</f>
        <v>248</v>
      </c>
      <c r="S12">
        <f t="shared" ref="S12:T12" si="6">S4+2*S5+4*S6+8*S7+16*S8+32*S9+64*S10+128*S11</f>
        <v>240</v>
      </c>
      <c r="T12">
        <f t="shared" si="6"/>
        <v>64</v>
      </c>
    </row>
    <row r="13" spans="2:20" x14ac:dyDescent="0.25">
      <c r="C13" t="s">
        <v>213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Prosjektbeskrivelse</vt:lpstr>
      <vt:lpstr>Beregninger</vt:lpstr>
      <vt:lpstr>LED-sekvenser</vt:lpstr>
      <vt:lpstr>Strømforbruk Vcc</vt:lpstr>
      <vt:lpstr>LED stripe</vt:lpstr>
      <vt:lpstr>LED stripe 3528</vt:lpstr>
      <vt:lpstr>LM317T</vt:lpstr>
      <vt:lpstr>HC595 + 7segCC 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2014-12-24T12:50:10Z</dcterms:modified>
</cp:coreProperties>
</file>