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tensio\New folder\"/>
    </mc:Choice>
  </mc:AlternateContent>
  <bookViews>
    <workbookView xWindow="0" yWindow="0" windowWidth="16815" windowHeight="7620" firstSheet="1" activeTab="1"/>
  </bookViews>
  <sheets>
    <sheet name="BubblePointPressure" sheetId="10" state="hidden" r:id="rId1"/>
    <sheet name="StatsPob" sheetId="15" r:id="rId2"/>
    <sheet name="PobAnalyxe" sheetId="18" r:id="rId3"/>
    <sheet name="OilFormationVolumeFactor" sheetId="11" state="hidden" r:id="rId4"/>
    <sheet name="BobAnalyxe" sheetId="19" r:id="rId5"/>
    <sheet name="StatsOfvf" sheetId="16" r:id="rId6"/>
    <sheet name="GasOilRatio" sheetId="12" state="hidden" r:id="rId7"/>
    <sheet name="GorAnalyxe" sheetId="20" r:id="rId8"/>
    <sheet name="Pob" sheetId="21" r:id="rId9"/>
    <sheet name="StatsRs" sheetId="17" r:id="rId10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21" l="1"/>
  <c r="B36" i="21"/>
  <c r="H33" i="21"/>
  <c r="C33" i="21"/>
  <c r="D33" i="21" s="1"/>
  <c r="H32" i="21"/>
  <c r="D32" i="21"/>
  <c r="C32" i="21"/>
  <c r="H31" i="21"/>
  <c r="D31" i="21"/>
  <c r="C31" i="21"/>
  <c r="H30" i="21"/>
  <c r="D30" i="21"/>
  <c r="C30" i="21"/>
  <c r="H29" i="21"/>
  <c r="C29" i="21"/>
  <c r="D29" i="21" s="1"/>
  <c r="H28" i="21"/>
  <c r="D28" i="21"/>
  <c r="C28" i="21"/>
  <c r="H27" i="21"/>
  <c r="D27" i="21"/>
  <c r="C27" i="21"/>
  <c r="H26" i="21"/>
  <c r="D26" i="21"/>
  <c r="C26" i="21"/>
  <c r="H25" i="21"/>
  <c r="C25" i="21"/>
  <c r="D25" i="21" s="1"/>
  <c r="H24" i="21"/>
  <c r="D24" i="21"/>
  <c r="C24" i="21"/>
  <c r="H23" i="21"/>
  <c r="D23" i="21"/>
  <c r="C23" i="21"/>
  <c r="H22" i="21"/>
  <c r="D22" i="21"/>
  <c r="C22" i="21"/>
  <c r="H21" i="21"/>
  <c r="C21" i="21"/>
  <c r="D21" i="21" s="1"/>
  <c r="H20" i="21"/>
  <c r="D20" i="21"/>
  <c r="C20" i="21"/>
  <c r="H19" i="21"/>
  <c r="C19" i="21"/>
  <c r="D19" i="21" s="1"/>
  <c r="S18" i="21"/>
  <c r="H18" i="21"/>
  <c r="D18" i="21"/>
  <c r="C18" i="21"/>
  <c r="H17" i="21"/>
  <c r="C17" i="21"/>
  <c r="D17" i="21" s="1"/>
  <c r="H16" i="21"/>
  <c r="D16" i="21"/>
  <c r="C16" i="21"/>
  <c r="AB15" i="21"/>
  <c r="AA15" i="21"/>
  <c r="T15" i="21"/>
  <c r="V15" i="21" s="1"/>
  <c r="S15" i="21"/>
  <c r="U15" i="21" s="1"/>
  <c r="H15" i="21"/>
  <c r="C15" i="21"/>
  <c r="D15" i="21" s="1"/>
  <c r="AB14" i="21"/>
  <c r="AA14" i="21"/>
  <c r="T14" i="21"/>
  <c r="V14" i="21" s="1"/>
  <c r="S14" i="21"/>
  <c r="U14" i="21" s="1"/>
  <c r="H14" i="21"/>
  <c r="D14" i="21"/>
  <c r="C14" i="21"/>
  <c r="AB13" i="21"/>
  <c r="AA13" i="21"/>
  <c r="T13" i="21"/>
  <c r="V13" i="21" s="1"/>
  <c r="S13" i="21"/>
  <c r="U13" i="21" s="1"/>
  <c r="H13" i="21"/>
  <c r="C13" i="21"/>
  <c r="D13" i="21" s="1"/>
  <c r="AB12" i="21"/>
  <c r="AA12" i="21"/>
  <c r="T12" i="21"/>
  <c r="V12" i="21" s="1"/>
  <c r="S12" i="21"/>
  <c r="U12" i="21" s="1"/>
  <c r="H12" i="21"/>
  <c r="D12" i="21"/>
  <c r="C12" i="21"/>
  <c r="AB11" i="21"/>
  <c r="AA11" i="21"/>
  <c r="T11" i="21"/>
  <c r="V11" i="21" s="1"/>
  <c r="S11" i="21"/>
  <c r="U11" i="21" s="1"/>
  <c r="H11" i="21"/>
  <c r="C11" i="21"/>
  <c r="D11" i="21" s="1"/>
  <c r="AB10" i="21"/>
  <c r="AA10" i="21"/>
  <c r="T10" i="21"/>
  <c r="V10" i="21" s="1"/>
  <c r="S10" i="21"/>
  <c r="U10" i="21" s="1"/>
  <c r="H10" i="21"/>
  <c r="C10" i="21"/>
  <c r="D10" i="21" s="1"/>
  <c r="AB9" i="21"/>
  <c r="AA9" i="21"/>
  <c r="T9" i="21"/>
  <c r="V9" i="21" s="1"/>
  <c r="S9" i="21"/>
  <c r="U9" i="21" s="1"/>
  <c r="H9" i="21"/>
  <c r="D9" i="21"/>
  <c r="C9" i="21"/>
  <c r="AB8" i="21"/>
  <c r="AA8" i="21"/>
  <c r="T8" i="21"/>
  <c r="V8" i="21" s="1"/>
  <c r="S8" i="21"/>
  <c r="U8" i="21" s="1"/>
  <c r="H8" i="21"/>
  <c r="D8" i="21"/>
  <c r="C8" i="21"/>
  <c r="AB7" i="21"/>
  <c r="AA7" i="21"/>
  <c r="T7" i="21"/>
  <c r="V7" i="21" s="1"/>
  <c r="S7" i="21"/>
  <c r="U7" i="21" s="1"/>
  <c r="H7" i="21"/>
  <c r="C7" i="21"/>
  <c r="D7" i="21" s="1"/>
  <c r="AB6" i="21"/>
  <c r="AA6" i="21"/>
  <c r="T6" i="21"/>
  <c r="V6" i="21" s="1"/>
  <c r="S6" i="21"/>
  <c r="U6" i="21" s="1"/>
  <c r="H6" i="21"/>
  <c r="D6" i="21"/>
  <c r="C6" i="21"/>
  <c r="AB5" i="21"/>
  <c r="AA5" i="21"/>
  <c r="T5" i="21"/>
  <c r="V5" i="21" s="1"/>
  <c r="S5" i="21"/>
  <c r="U5" i="21" s="1"/>
  <c r="H5" i="21"/>
  <c r="C5" i="21"/>
  <c r="D5" i="21" s="1"/>
  <c r="AF4" i="21"/>
  <c r="AH4" i="21" s="1"/>
  <c r="AE4" i="21"/>
  <c r="AG4" i="21" s="1"/>
  <c r="AB4" i="21"/>
  <c r="AA4" i="21"/>
  <c r="T4" i="21"/>
  <c r="V4" i="21" s="1"/>
  <c r="S4" i="21"/>
  <c r="J4" i="21"/>
  <c r="K4" i="21" s="1"/>
  <c r="H4" i="21"/>
  <c r="H35" i="21" s="1"/>
  <c r="I4" i="21" s="1"/>
  <c r="C4" i="21"/>
  <c r="D36" i="21" s="1"/>
  <c r="G4" i="18"/>
  <c r="B47" i="20"/>
  <c r="H44" i="20"/>
  <c r="C44" i="20"/>
  <c r="D44" i="20" s="1"/>
  <c r="H43" i="20"/>
  <c r="C43" i="20"/>
  <c r="D43" i="20" s="1"/>
  <c r="H42" i="20"/>
  <c r="C42" i="20"/>
  <c r="D42" i="20" s="1"/>
  <c r="H41" i="20"/>
  <c r="C41" i="20"/>
  <c r="D41" i="20" s="1"/>
  <c r="H40" i="20"/>
  <c r="C40" i="20"/>
  <c r="D40" i="20" s="1"/>
  <c r="H39" i="20"/>
  <c r="C39" i="20"/>
  <c r="D39" i="20" s="1"/>
  <c r="H38" i="20"/>
  <c r="C38" i="20"/>
  <c r="D38" i="20" s="1"/>
  <c r="H37" i="20"/>
  <c r="C37" i="20"/>
  <c r="D37" i="20" s="1"/>
  <c r="H36" i="20"/>
  <c r="C36" i="20"/>
  <c r="D36" i="20" s="1"/>
  <c r="H35" i="20"/>
  <c r="C35" i="20"/>
  <c r="D35" i="20" s="1"/>
  <c r="H34" i="20"/>
  <c r="C34" i="20"/>
  <c r="D34" i="20" s="1"/>
  <c r="H33" i="20"/>
  <c r="C33" i="20"/>
  <c r="D33" i="20" s="1"/>
  <c r="H32" i="20"/>
  <c r="C32" i="20"/>
  <c r="D32" i="20" s="1"/>
  <c r="H31" i="20"/>
  <c r="C31" i="20"/>
  <c r="D31" i="20" s="1"/>
  <c r="H30" i="20"/>
  <c r="C30" i="20"/>
  <c r="D30" i="20" s="1"/>
  <c r="H29" i="20"/>
  <c r="C29" i="20"/>
  <c r="D29" i="20" s="1"/>
  <c r="H28" i="20"/>
  <c r="C28" i="20"/>
  <c r="D28" i="20" s="1"/>
  <c r="H27" i="20"/>
  <c r="C27" i="20"/>
  <c r="D27" i="20" s="1"/>
  <c r="H26" i="20"/>
  <c r="C26" i="20"/>
  <c r="D26" i="20" s="1"/>
  <c r="H25" i="20"/>
  <c r="C25" i="20"/>
  <c r="D25" i="20" s="1"/>
  <c r="H24" i="20"/>
  <c r="C24" i="20"/>
  <c r="D24" i="20" s="1"/>
  <c r="H23" i="20"/>
  <c r="C23" i="20"/>
  <c r="D23" i="20" s="1"/>
  <c r="H22" i="20"/>
  <c r="C22" i="20"/>
  <c r="D22" i="20" s="1"/>
  <c r="H21" i="20"/>
  <c r="C21" i="20"/>
  <c r="D21" i="20" s="1"/>
  <c r="H20" i="20"/>
  <c r="C20" i="20"/>
  <c r="D20" i="20" s="1"/>
  <c r="H19" i="20"/>
  <c r="C19" i="20"/>
  <c r="D19" i="20" s="1"/>
  <c r="H18" i="20"/>
  <c r="C18" i="20"/>
  <c r="D18" i="20" s="1"/>
  <c r="H17" i="20"/>
  <c r="C17" i="20"/>
  <c r="D17" i="20" s="1"/>
  <c r="H16" i="20"/>
  <c r="C16" i="20"/>
  <c r="D16" i="20" s="1"/>
  <c r="H15" i="20"/>
  <c r="C15" i="20"/>
  <c r="D15" i="20" s="1"/>
  <c r="H14" i="20"/>
  <c r="C14" i="20"/>
  <c r="D14" i="20" s="1"/>
  <c r="H13" i="20"/>
  <c r="C13" i="20"/>
  <c r="D13" i="20" s="1"/>
  <c r="H12" i="20"/>
  <c r="C12" i="20"/>
  <c r="D12" i="20" s="1"/>
  <c r="H11" i="20"/>
  <c r="C11" i="20"/>
  <c r="D11" i="20" s="1"/>
  <c r="H10" i="20"/>
  <c r="C10" i="20"/>
  <c r="D10" i="20" s="1"/>
  <c r="H9" i="20"/>
  <c r="C9" i="20"/>
  <c r="D9" i="20" s="1"/>
  <c r="H8" i="20"/>
  <c r="C8" i="20"/>
  <c r="D8" i="20" s="1"/>
  <c r="H7" i="20"/>
  <c r="C7" i="20"/>
  <c r="D7" i="20" s="1"/>
  <c r="H6" i="20"/>
  <c r="C6" i="20"/>
  <c r="D6" i="20" s="1"/>
  <c r="H5" i="20"/>
  <c r="C5" i="20"/>
  <c r="D5" i="20" s="1"/>
  <c r="J4" i="20"/>
  <c r="K4" i="20" s="1"/>
  <c r="H4" i="20"/>
  <c r="C4" i="20"/>
  <c r="D4" i="20" s="1"/>
  <c r="C37" i="18"/>
  <c r="D37" i="18"/>
  <c r="H37" i="18"/>
  <c r="C28" i="18"/>
  <c r="D28" i="18"/>
  <c r="H28" i="18"/>
  <c r="C29" i="18"/>
  <c r="D29" i="18"/>
  <c r="H29" i="18"/>
  <c r="C15" i="18"/>
  <c r="D15" i="18" s="1"/>
  <c r="H15" i="18"/>
  <c r="C18" i="18"/>
  <c r="D18" i="18"/>
  <c r="H18" i="18"/>
  <c r="C4" i="18"/>
  <c r="D4" i="18"/>
  <c r="H4" i="18"/>
  <c r="B47" i="19"/>
  <c r="H44" i="19"/>
  <c r="C44" i="19"/>
  <c r="D44" i="19" s="1"/>
  <c r="H43" i="19"/>
  <c r="C43" i="19"/>
  <c r="D43" i="19" s="1"/>
  <c r="H42" i="19"/>
  <c r="C42" i="19"/>
  <c r="D42" i="19" s="1"/>
  <c r="H41" i="19"/>
  <c r="C41" i="19"/>
  <c r="D41" i="19" s="1"/>
  <c r="H40" i="19"/>
  <c r="C40" i="19"/>
  <c r="D40" i="19" s="1"/>
  <c r="H39" i="19"/>
  <c r="C39" i="19"/>
  <c r="D39" i="19" s="1"/>
  <c r="H38" i="19"/>
  <c r="C38" i="19"/>
  <c r="D38" i="19" s="1"/>
  <c r="H37" i="19"/>
  <c r="C37" i="19"/>
  <c r="D37" i="19" s="1"/>
  <c r="H36" i="19"/>
  <c r="C36" i="19"/>
  <c r="D36" i="19" s="1"/>
  <c r="H35" i="19"/>
  <c r="C35" i="19"/>
  <c r="D35" i="19" s="1"/>
  <c r="H34" i="19"/>
  <c r="C34" i="19"/>
  <c r="D34" i="19" s="1"/>
  <c r="H33" i="19"/>
  <c r="C33" i="19"/>
  <c r="D33" i="19" s="1"/>
  <c r="H32" i="19"/>
  <c r="C32" i="19"/>
  <c r="D32" i="19" s="1"/>
  <c r="H31" i="19"/>
  <c r="C31" i="19"/>
  <c r="D31" i="19" s="1"/>
  <c r="H30" i="19"/>
  <c r="C30" i="19"/>
  <c r="D30" i="19" s="1"/>
  <c r="H29" i="19"/>
  <c r="C29" i="19"/>
  <c r="D29" i="19" s="1"/>
  <c r="H28" i="19"/>
  <c r="C28" i="19"/>
  <c r="D28" i="19" s="1"/>
  <c r="H27" i="19"/>
  <c r="C27" i="19"/>
  <c r="D27" i="19" s="1"/>
  <c r="H26" i="19"/>
  <c r="C26" i="19"/>
  <c r="D26" i="19" s="1"/>
  <c r="H25" i="19"/>
  <c r="C25" i="19"/>
  <c r="D25" i="19" s="1"/>
  <c r="H24" i="19"/>
  <c r="C24" i="19"/>
  <c r="D24" i="19" s="1"/>
  <c r="H23" i="19"/>
  <c r="C23" i="19"/>
  <c r="D23" i="19" s="1"/>
  <c r="H22" i="19"/>
  <c r="C22" i="19"/>
  <c r="D22" i="19" s="1"/>
  <c r="H21" i="19"/>
  <c r="C21" i="19"/>
  <c r="D21" i="19" s="1"/>
  <c r="H20" i="19"/>
  <c r="C20" i="19"/>
  <c r="D20" i="19" s="1"/>
  <c r="H19" i="19"/>
  <c r="C19" i="19"/>
  <c r="D19" i="19" s="1"/>
  <c r="H18" i="19"/>
  <c r="C18" i="19"/>
  <c r="D18" i="19" s="1"/>
  <c r="H17" i="19"/>
  <c r="C17" i="19"/>
  <c r="D17" i="19" s="1"/>
  <c r="H16" i="19"/>
  <c r="C16" i="19"/>
  <c r="D16" i="19" s="1"/>
  <c r="H15" i="19"/>
  <c r="C15" i="19"/>
  <c r="D15" i="19" s="1"/>
  <c r="H14" i="19"/>
  <c r="C14" i="19"/>
  <c r="D14" i="19" s="1"/>
  <c r="H13" i="19"/>
  <c r="C13" i="19"/>
  <c r="D13" i="19" s="1"/>
  <c r="H12" i="19"/>
  <c r="C12" i="19"/>
  <c r="D12" i="19" s="1"/>
  <c r="H11" i="19"/>
  <c r="C11" i="19"/>
  <c r="D11" i="19" s="1"/>
  <c r="H10" i="19"/>
  <c r="C10" i="19"/>
  <c r="D10" i="19" s="1"/>
  <c r="H9" i="19"/>
  <c r="C9" i="19"/>
  <c r="D9" i="19" s="1"/>
  <c r="H8" i="19"/>
  <c r="C8" i="19"/>
  <c r="D8" i="19" s="1"/>
  <c r="H7" i="19"/>
  <c r="C7" i="19"/>
  <c r="D7" i="19" s="1"/>
  <c r="H6" i="19"/>
  <c r="C6" i="19"/>
  <c r="D6" i="19" s="1"/>
  <c r="H5" i="19"/>
  <c r="C5" i="19"/>
  <c r="D5" i="19" s="1"/>
  <c r="J4" i="19"/>
  <c r="K4" i="19" s="1"/>
  <c r="H4" i="19"/>
  <c r="C4" i="19"/>
  <c r="H24" i="18"/>
  <c r="H25" i="18"/>
  <c r="H26" i="18"/>
  <c r="H27" i="18"/>
  <c r="H30" i="18"/>
  <c r="H31" i="18"/>
  <c r="H32" i="18"/>
  <c r="H33" i="18"/>
  <c r="H34" i="18"/>
  <c r="H35" i="18"/>
  <c r="H36" i="18"/>
  <c r="H38" i="18"/>
  <c r="H39" i="18"/>
  <c r="H40" i="18"/>
  <c r="H41" i="18"/>
  <c r="H42" i="18"/>
  <c r="H43" i="18"/>
  <c r="H44" i="18"/>
  <c r="H16" i="18"/>
  <c r="H17" i="18"/>
  <c r="H19" i="18"/>
  <c r="H20" i="18"/>
  <c r="H21" i="18"/>
  <c r="H22" i="18"/>
  <c r="H23" i="18"/>
  <c r="C5" i="18"/>
  <c r="D5" i="18" s="1"/>
  <c r="C6" i="18"/>
  <c r="D6" i="18" s="1"/>
  <c r="C7" i="18"/>
  <c r="D7" i="18" s="1"/>
  <c r="C8" i="18"/>
  <c r="D8" i="18" s="1"/>
  <c r="C9" i="18"/>
  <c r="D9" i="18" s="1"/>
  <c r="C10" i="18"/>
  <c r="D10" i="18" s="1"/>
  <c r="C11" i="18"/>
  <c r="D11" i="18" s="1"/>
  <c r="C12" i="18"/>
  <c r="D12" i="18" s="1"/>
  <c r="C13" i="18"/>
  <c r="D13" i="18" s="1"/>
  <c r="C14" i="18"/>
  <c r="D14" i="18" s="1"/>
  <c r="C16" i="18"/>
  <c r="D16" i="18" s="1"/>
  <c r="C17" i="18"/>
  <c r="D17" i="18" s="1"/>
  <c r="C19" i="18"/>
  <c r="D19" i="18" s="1"/>
  <c r="C20" i="18"/>
  <c r="D20" i="18" s="1"/>
  <c r="C21" i="18"/>
  <c r="D21" i="18" s="1"/>
  <c r="C22" i="18"/>
  <c r="D22" i="18" s="1"/>
  <c r="C23" i="18"/>
  <c r="D23" i="18" s="1"/>
  <c r="C24" i="18"/>
  <c r="D24" i="18" s="1"/>
  <c r="C25" i="18"/>
  <c r="D25" i="18" s="1"/>
  <c r="C26" i="18"/>
  <c r="D26" i="18" s="1"/>
  <c r="C27" i="18"/>
  <c r="D27" i="18" s="1"/>
  <c r="C30" i="18"/>
  <c r="D30" i="18" s="1"/>
  <c r="C31" i="18"/>
  <c r="D31" i="18" s="1"/>
  <c r="C32" i="18"/>
  <c r="D32" i="18" s="1"/>
  <c r="C33" i="18"/>
  <c r="D33" i="18" s="1"/>
  <c r="C34" i="18"/>
  <c r="D34" i="18" s="1"/>
  <c r="C35" i="18"/>
  <c r="D35" i="18" s="1"/>
  <c r="C36" i="18"/>
  <c r="D36" i="18" s="1"/>
  <c r="C38" i="18"/>
  <c r="D38" i="18" s="1"/>
  <c r="C39" i="18"/>
  <c r="D39" i="18" s="1"/>
  <c r="C40" i="18"/>
  <c r="D40" i="18" s="1"/>
  <c r="C41" i="18"/>
  <c r="D41" i="18" s="1"/>
  <c r="C42" i="18"/>
  <c r="D42" i="18" s="1"/>
  <c r="C43" i="18"/>
  <c r="D43" i="18" s="1"/>
  <c r="C44" i="18"/>
  <c r="D44" i="18" s="1"/>
  <c r="B47" i="18"/>
  <c r="H14" i="18"/>
  <c r="H13" i="18"/>
  <c r="H12" i="18"/>
  <c r="H11" i="18"/>
  <c r="H10" i="18"/>
  <c r="H9" i="18"/>
  <c r="H8" i="18"/>
  <c r="H7" i="18"/>
  <c r="H46" i="18" s="1"/>
  <c r="I4" i="18" s="1"/>
  <c r="H6" i="18"/>
  <c r="H5" i="18"/>
  <c r="J4" i="18"/>
  <c r="K4" i="18" s="1"/>
  <c r="W4" i="21" l="1"/>
  <c r="AA17" i="21"/>
  <c r="AC4" i="21" s="1"/>
  <c r="AB17" i="21"/>
  <c r="AD4" i="21" s="1"/>
  <c r="Y20" i="21"/>
  <c r="Z4" i="21"/>
  <c r="Y19" i="21"/>
  <c r="V20" i="21"/>
  <c r="D4" i="21"/>
  <c r="X4" i="21"/>
  <c r="V19" i="21"/>
  <c r="W20" i="21"/>
  <c r="F4" i="21"/>
  <c r="U4" i="21"/>
  <c r="W19" i="21"/>
  <c r="D35" i="21"/>
  <c r="H46" i="20"/>
  <c r="I4" i="20" s="1"/>
  <c r="F4" i="20"/>
  <c r="H46" i="19"/>
  <c r="I4" i="19" s="1"/>
  <c r="E47" i="20"/>
  <c r="G4" i="20"/>
  <c r="E46" i="20"/>
  <c r="G8" i="20"/>
  <c r="G10" i="20"/>
  <c r="D47" i="20"/>
  <c r="D46" i="20"/>
  <c r="F4" i="19"/>
  <c r="F4" i="18"/>
  <c r="D4" i="19"/>
  <c r="D46" i="19"/>
  <c r="D47" i="19"/>
  <c r="D46" i="18"/>
  <c r="D47" i="18"/>
  <c r="X19" i="21" l="1"/>
  <c r="X20" i="21"/>
  <c r="Y4" i="21"/>
  <c r="G4" i="21"/>
  <c r="G10" i="21"/>
  <c r="G8" i="21"/>
  <c r="E36" i="21"/>
  <c r="E35" i="21"/>
  <c r="E47" i="19"/>
  <c r="E46" i="19"/>
  <c r="G8" i="19"/>
  <c r="G4" i="19"/>
  <c r="G10" i="19"/>
  <c r="E47" i="18"/>
  <c r="E46" i="18"/>
  <c r="G8" i="18"/>
  <c r="G10" i="18"/>
  <c r="S5" i="12" l="1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AB6" i="10"/>
  <c r="Z6" i="10"/>
  <c r="U7" i="10"/>
  <c r="W7" i="10"/>
  <c r="W6" i="10"/>
  <c r="M8" i="10"/>
  <c r="Z30" i="10"/>
  <c r="M7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6" i="10"/>
  <c r="F45" i="12"/>
  <c r="F44" i="12"/>
  <c r="F43" i="12"/>
  <c r="F42" i="12"/>
  <c r="F40" i="12"/>
  <c r="F39" i="12"/>
  <c r="F38" i="12"/>
  <c r="F37" i="12"/>
  <c r="F36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45" i="11"/>
  <c r="F44" i="11"/>
  <c r="F43" i="11"/>
  <c r="F42" i="11"/>
  <c r="F40" i="11"/>
  <c r="F39" i="11"/>
  <c r="F38" i="11"/>
  <c r="F37" i="11"/>
  <c r="F36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46" i="10"/>
  <c r="F45" i="10"/>
  <c r="F44" i="10"/>
  <c r="F43" i="10"/>
  <c r="F41" i="10"/>
  <c r="F40" i="10"/>
  <c r="F39" i="10"/>
  <c r="F38" i="10"/>
  <c r="F37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P22" i="11" l="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12" i="11"/>
  <c r="P13" i="11"/>
  <c r="P14" i="11"/>
  <c r="P15" i="11"/>
  <c r="P16" i="11"/>
  <c r="P17" i="11"/>
  <c r="P18" i="11"/>
  <c r="P19" i="11"/>
  <c r="P20" i="11"/>
  <c r="P21" i="11"/>
  <c r="P6" i="11"/>
  <c r="P7" i="11"/>
  <c r="P8" i="11"/>
  <c r="P9" i="11"/>
  <c r="P10" i="11"/>
  <c r="P11" i="11"/>
  <c r="P5" i="11"/>
  <c r="O5" i="11"/>
  <c r="N5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5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6" i="11"/>
  <c r="L7" i="11"/>
  <c r="L8" i="11"/>
  <c r="L9" i="11"/>
  <c r="L10" i="11"/>
  <c r="L11" i="11"/>
  <c r="L12" i="11"/>
  <c r="L13" i="11"/>
  <c r="L14" i="11"/>
  <c r="L15" i="11"/>
  <c r="L16" i="11"/>
  <c r="L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5" i="11"/>
  <c r="J11" i="11"/>
  <c r="J19" i="11"/>
  <c r="J27" i="11"/>
  <c r="J35" i="11"/>
  <c r="J43" i="11"/>
  <c r="J10" i="11"/>
  <c r="I10" i="11"/>
  <c r="I11" i="11"/>
  <c r="I12" i="11"/>
  <c r="J12" i="11" s="1"/>
  <c r="I13" i="11"/>
  <c r="J13" i="11" s="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I28" i="11"/>
  <c r="J28" i="11" s="1"/>
  <c r="I29" i="11"/>
  <c r="J29" i="11" s="1"/>
  <c r="I30" i="11"/>
  <c r="J30" i="11" s="1"/>
  <c r="I31" i="11"/>
  <c r="J31" i="11" s="1"/>
  <c r="I32" i="11"/>
  <c r="J32" i="11" s="1"/>
  <c r="I33" i="11"/>
  <c r="J33" i="11" s="1"/>
  <c r="I34" i="11"/>
  <c r="J34" i="11" s="1"/>
  <c r="I35" i="11"/>
  <c r="I36" i="11"/>
  <c r="J36" i="11" s="1"/>
  <c r="I37" i="11"/>
  <c r="J37" i="11" s="1"/>
  <c r="I38" i="11"/>
  <c r="J38" i="11" s="1"/>
  <c r="I39" i="11"/>
  <c r="J39" i="11" s="1"/>
  <c r="I40" i="11"/>
  <c r="J40" i="11" s="1"/>
  <c r="I41" i="11"/>
  <c r="J41" i="11" s="1"/>
  <c r="I42" i="11"/>
  <c r="J42" i="11" s="1"/>
  <c r="I43" i="11"/>
  <c r="I44" i="11"/>
  <c r="J44" i="11" s="1"/>
  <c r="I45" i="11"/>
  <c r="J45" i="11" s="1"/>
  <c r="I9" i="11"/>
  <c r="J9" i="11" s="1"/>
  <c r="I6" i="11"/>
  <c r="J6" i="11" s="1"/>
  <c r="I7" i="11"/>
  <c r="J7" i="11" s="1"/>
  <c r="I8" i="11"/>
  <c r="J8" i="11" s="1"/>
  <c r="I5" i="11"/>
  <c r="J5" i="11" s="1"/>
  <c r="P17" i="12" l="1"/>
  <c r="P21" i="12"/>
  <c r="P25" i="12"/>
  <c r="P29" i="12"/>
  <c r="P33" i="12"/>
  <c r="P37" i="12"/>
  <c r="P41" i="12"/>
  <c r="P45" i="12"/>
  <c r="P9" i="12"/>
  <c r="P13" i="12"/>
  <c r="O6" i="12"/>
  <c r="P6" i="12" s="1"/>
  <c r="O7" i="12"/>
  <c r="P7" i="12" s="1"/>
  <c r="O8" i="12"/>
  <c r="P8" i="12" s="1"/>
  <c r="O9" i="12"/>
  <c r="O10" i="12"/>
  <c r="P10" i="12" s="1"/>
  <c r="O11" i="12"/>
  <c r="P11" i="12" s="1"/>
  <c r="O12" i="12"/>
  <c r="P12" i="12" s="1"/>
  <c r="O13" i="12"/>
  <c r="O14" i="12"/>
  <c r="P14" i="12" s="1"/>
  <c r="O15" i="12"/>
  <c r="P15" i="12" s="1"/>
  <c r="O16" i="12"/>
  <c r="P16" i="12" s="1"/>
  <c r="O17" i="12"/>
  <c r="O18" i="12"/>
  <c r="P18" i="12" s="1"/>
  <c r="O19" i="12"/>
  <c r="P19" i="12" s="1"/>
  <c r="O20" i="12"/>
  <c r="P20" i="12" s="1"/>
  <c r="O21" i="12"/>
  <c r="O22" i="12"/>
  <c r="P22" i="12" s="1"/>
  <c r="O23" i="12"/>
  <c r="P23" i="12" s="1"/>
  <c r="O24" i="12"/>
  <c r="P24" i="12" s="1"/>
  <c r="O25" i="12"/>
  <c r="O26" i="12"/>
  <c r="P26" i="12" s="1"/>
  <c r="O27" i="12"/>
  <c r="P27" i="12" s="1"/>
  <c r="O28" i="12"/>
  <c r="P28" i="12" s="1"/>
  <c r="O29" i="12"/>
  <c r="O30" i="12"/>
  <c r="P30" i="12" s="1"/>
  <c r="O31" i="12"/>
  <c r="P31" i="12" s="1"/>
  <c r="O32" i="12"/>
  <c r="P32" i="12" s="1"/>
  <c r="O33" i="12"/>
  <c r="O34" i="12"/>
  <c r="P34" i="12" s="1"/>
  <c r="O35" i="12"/>
  <c r="P35" i="12" s="1"/>
  <c r="O36" i="12"/>
  <c r="P36" i="12" s="1"/>
  <c r="O37" i="12"/>
  <c r="O38" i="12"/>
  <c r="P38" i="12" s="1"/>
  <c r="O39" i="12"/>
  <c r="P39" i="12" s="1"/>
  <c r="O40" i="12"/>
  <c r="P40" i="12" s="1"/>
  <c r="O41" i="12"/>
  <c r="O42" i="12"/>
  <c r="P42" i="12" s="1"/>
  <c r="O43" i="12"/>
  <c r="P43" i="12" s="1"/>
  <c r="O44" i="12"/>
  <c r="P44" i="12" s="1"/>
  <c r="O45" i="12"/>
  <c r="O5" i="12"/>
  <c r="P5" i="12" s="1"/>
  <c r="M21" i="12"/>
  <c r="M25" i="12"/>
  <c r="M29" i="12"/>
  <c r="M33" i="12"/>
  <c r="M37" i="12"/>
  <c r="M41" i="12"/>
  <c r="M45" i="12"/>
  <c r="L18" i="12"/>
  <c r="M18" i="12" s="1"/>
  <c r="L19" i="12"/>
  <c r="M19" i="12" s="1"/>
  <c r="L20" i="12"/>
  <c r="M20" i="12" s="1"/>
  <c r="L21" i="12"/>
  <c r="L22" i="12"/>
  <c r="M22" i="12" s="1"/>
  <c r="L23" i="12"/>
  <c r="M23" i="12" s="1"/>
  <c r="L24" i="12"/>
  <c r="M24" i="12" s="1"/>
  <c r="L25" i="12"/>
  <c r="L26" i="12"/>
  <c r="M26" i="12" s="1"/>
  <c r="L27" i="12"/>
  <c r="M27" i="12" s="1"/>
  <c r="L28" i="12"/>
  <c r="M28" i="12" s="1"/>
  <c r="L29" i="12"/>
  <c r="L30" i="12"/>
  <c r="M30" i="12" s="1"/>
  <c r="L31" i="12"/>
  <c r="M31" i="12" s="1"/>
  <c r="L32" i="12"/>
  <c r="M32" i="12" s="1"/>
  <c r="L33" i="12"/>
  <c r="L34" i="12"/>
  <c r="M34" i="12" s="1"/>
  <c r="L35" i="12"/>
  <c r="M35" i="12" s="1"/>
  <c r="L36" i="12"/>
  <c r="M36" i="12" s="1"/>
  <c r="L37" i="12"/>
  <c r="L38" i="12"/>
  <c r="M38" i="12" s="1"/>
  <c r="L39" i="12"/>
  <c r="M39" i="12" s="1"/>
  <c r="L40" i="12"/>
  <c r="M40" i="12" s="1"/>
  <c r="L41" i="12"/>
  <c r="L42" i="12"/>
  <c r="M42" i="12" s="1"/>
  <c r="L43" i="12"/>
  <c r="M43" i="12" s="1"/>
  <c r="L44" i="12"/>
  <c r="M44" i="12" s="1"/>
  <c r="L45" i="12"/>
  <c r="L6" i="12"/>
  <c r="L7" i="12"/>
  <c r="L8" i="12"/>
  <c r="L9" i="12"/>
  <c r="L10" i="12"/>
  <c r="L11" i="12"/>
  <c r="L12" i="12"/>
  <c r="L13" i="12"/>
  <c r="L14" i="12"/>
  <c r="L15" i="12"/>
  <c r="M15" i="12" s="1"/>
  <c r="L16" i="12"/>
  <c r="M16" i="12" s="1"/>
  <c r="L17" i="12"/>
  <c r="M17" i="12" s="1"/>
  <c r="M6" i="12"/>
  <c r="M7" i="12"/>
  <c r="M8" i="12"/>
  <c r="M9" i="12"/>
  <c r="M10" i="12"/>
  <c r="M11" i="12"/>
  <c r="M12" i="12"/>
  <c r="M13" i="12"/>
  <c r="M14" i="12"/>
  <c r="M5" i="12"/>
  <c r="L5" i="12"/>
  <c r="U21" i="12" l="1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10" i="12"/>
  <c r="U11" i="12"/>
  <c r="U12" i="12"/>
  <c r="U13" i="12"/>
  <c r="U14" i="12"/>
  <c r="U15" i="12"/>
  <c r="U16" i="12"/>
  <c r="U17" i="12"/>
  <c r="U18" i="12"/>
  <c r="U19" i="12"/>
  <c r="U20" i="12"/>
  <c r="U7" i="12"/>
  <c r="U8" i="12"/>
  <c r="U9" i="12"/>
  <c r="U6" i="12"/>
  <c r="U5" i="12"/>
  <c r="J8" i="12"/>
  <c r="J16" i="12"/>
  <c r="J24" i="12"/>
  <c r="J28" i="12"/>
  <c r="J32" i="12"/>
  <c r="J36" i="12"/>
  <c r="J40" i="12"/>
  <c r="J44" i="12"/>
  <c r="I22" i="12"/>
  <c r="J22" i="12" s="1"/>
  <c r="I23" i="12"/>
  <c r="J23" i="12" s="1"/>
  <c r="I24" i="12"/>
  <c r="I25" i="12"/>
  <c r="J25" i="12" s="1"/>
  <c r="I26" i="12"/>
  <c r="J26" i="12" s="1"/>
  <c r="I27" i="12"/>
  <c r="J27" i="12" s="1"/>
  <c r="I28" i="12"/>
  <c r="I29" i="12"/>
  <c r="J29" i="12" s="1"/>
  <c r="I30" i="12"/>
  <c r="J30" i="12" s="1"/>
  <c r="I31" i="12"/>
  <c r="J31" i="12" s="1"/>
  <c r="I32" i="12"/>
  <c r="I33" i="12"/>
  <c r="J33" i="12" s="1"/>
  <c r="I34" i="12"/>
  <c r="J34" i="12" s="1"/>
  <c r="I35" i="12"/>
  <c r="J35" i="12" s="1"/>
  <c r="I36" i="12"/>
  <c r="I37" i="12"/>
  <c r="J37" i="12" s="1"/>
  <c r="I38" i="12"/>
  <c r="J38" i="12" s="1"/>
  <c r="I39" i="12"/>
  <c r="J39" i="12" s="1"/>
  <c r="I40" i="12"/>
  <c r="I41" i="12"/>
  <c r="J41" i="12" s="1"/>
  <c r="I42" i="12"/>
  <c r="J42" i="12" s="1"/>
  <c r="I43" i="12"/>
  <c r="J43" i="12" s="1"/>
  <c r="I44" i="12"/>
  <c r="I45" i="12"/>
  <c r="J45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I17" i="12"/>
  <c r="J17" i="12" s="1"/>
  <c r="I18" i="12"/>
  <c r="J18" i="12" s="1"/>
  <c r="I19" i="12"/>
  <c r="J19" i="12" s="1"/>
  <c r="I20" i="12"/>
  <c r="J20" i="12" s="1"/>
  <c r="I21" i="12"/>
  <c r="J21" i="12" s="1"/>
  <c r="I7" i="12"/>
  <c r="J7" i="12" s="1"/>
  <c r="I8" i="12"/>
  <c r="I9" i="12"/>
  <c r="J9" i="12" s="1"/>
  <c r="I10" i="12"/>
  <c r="J10" i="12" s="1"/>
  <c r="I6" i="12"/>
  <c r="J6" i="12" s="1"/>
  <c r="I5" i="12"/>
  <c r="J5" i="12" s="1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9" i="10"/>
  <c r="AK10" i="10"/>
  <c r="AK11" i="10"/>
  <c r="AK12" i="10"/>
  <c r="AK13" i="10"/>
  <c r="AK14" i="10"/>
  <c r="AK15" i="10"/>
  <c r="AK7" i="10"/>
  <c r="AK8" i="10"/>
  <c r="AK6" i="10"/>
  <c r="AC7" i="10"/>
  <c r="AC11" i="10"/>
  <c r="AC16" i="10"/>
  <c r="AC19" i="10"/>
  <c r="AC20" i="10"/>
  <c r="AC24" i="10"/>
  <c r="AC27" i="10"/>
  <c r="AC28" i="10"/>
  <c r="AC32" i="10"/>
  <c r="AC35" i="10"/>
  <c r="AC36" i="10"/>
  <c r="AC40" i="10"/>
  <c r="AC43" i="10"/>
  <c r="AC44" i="10"/>
  <c r="AC6" i="10"/>
  <c r="AB13" i="10"/>
  <c r="AC13" i="10" s="1"/>
  <c r="AB14" i="10"/>
  <c r="AC14" i="10" s="1"/>
  <c r="AB15" i="10"/>
  <c r="AC15" i="10" s="1"/>
  <c r="AB16" i="10"/>
  <c r="AB17" i="10"/>
  <c r="AC17" i="10" s="1"/>
  <c r="AB18" i="10"/>
  <c r="AC18" i="10" s="1"/>
  <c r="AB19" i="10"/>
  <c r="AB20" i="10"/>
  <c r="AB21" i="10"/>
  <c r="AC21" i="10" s="1"/>
  <c r="AB22" i="10"/>
  <c r="AC22" i="10" s="1"/>
  <c r="AB23" i="10"/>
  <c r="AC23" i="10" s="1"/>
  <c r="AB24" i="10"/>
  <c r="AB25" i="10"/>
  <c r="AC25" i="10" s="1"/>
  <c r="AB26" i="10"/>
  <c r="AC26" i="10" s="1"/>
  <c r="AB27" i="10"/>
  <c r="AB28" i="10"/>
  <c r="AB29" i="10"/>
  <c r="AC29" i="10" s="1"/>
  <c r="AB30" i="10"/>
  <c r="AC30" i="10" s="1"/>
  <c r="AB31" i="10"/>
  <c r="AC31" i="10" s="1"/>
  <c r="AB32" i="10"/>
  <c r="AB33" i="10"/>
  <c r="AC33" i="10" s="1"/>
  <c r="AB34" i="10"/>
  <c r="AC34" i="10" s="1"/>
  <c r="AB35" i="10"/>
  <c r="AB36" i="10"/>
  <c r="AB37" i="10"/>
  <c r="AC37" i="10" s="1"/>
  <c r="AB38" i="10"/>
  <c r="AC38" i="10" s="1"/>
  <c r="AB39" i="10"/>
  <c r="AC39" i="10" s="1"/>
  <c r="AB40" i="10"/>
  <c r="AB41" i="10"/>
  <c r="AC41" i="10" s="1"/>
  <c r="AB42" i="10"/>
  <c r="AC42" i="10" s="1"/>
  <c r="AB43" i="10"/>
  <c r="AB44" i="10"/>
  <c r="AB45" i="10"/>
  <c r="AC45" i="10" s="1"/>
  <c r="AB46" i="10"/>
  <c r="AC46" i="10" s="1"/>
  <c r="AB7" i="10"/>
  <c r="AB8" i="10"/>
  <c r="AC8" i="10" s="1"/>
  <c r="AB9" i="10"/>
  <c r="AC9" i="10" s="1"/>
  <c r="AB10" i="10"/>
  <c r="AC10" i="10" s="1"/>
  <c r="AB11" i="10"/>
  <c r="AB12" i="10"/>
  <c r="AC12" i="10" s="1"/>
  <c r="Z35" i="10"/>
  <c r="Z39" i="10"/>
  <c r="Z43" i="10"/>
  <c r="Z23" i="10"/>
  <c r="Z27" i="10"/>
  <c r="Z31" i="10"/>
  <c r="Z13" i="10"/>
  <c r="Z21" i="10"/>
  <c r="Y8" i="10"/>
  <c r="Z8" i="10" s="1"/>
  <c r="Y9" i="10"/>
  <c r="Z9" i="10" s="1"/>
  <c r="Y10" i="10"/>
  <c r="Z10" i="10" s="1"/>
  <c r="Y11" i="10"/>
  <c r="Z11" i="10" s="1"/>
  <c r="Y12" i="10"/>
  <c r="Z12" i="10" s="1"/>
  <c r="Y13" i="10"/>
  <c r="Y14" i="10"/>
  <c r="Z14" i="10" s="1"/>
  <c r="Y15" i="10"/>
  <c r="Z15" i="10" s="1"/>
  <c r="Y16" i="10"/>
  <c r="Z16" i="10" s="1"/>
  <c r="Y17" i="10"/>
  <c r="Z17" i="10" s="1"/>
  <c r="Y18" i="10"/>
  <c r="Z18" i="10" s="1"/>
  <c r="Y19" i="10"/>
  <c r="Z19" i="10" s="1"/>
  <c r="Y20" i="10"/>
  <c r="Z20" i="10" s="1"/>
  <c r="Y21" i="10"/>
  <c r="Y22" i="10"/>
  <c r="Z22" i="10" s="1"/>
  <c r="Y23" i="10"/>
  <c r="Y24" i="10"/>
  <c r="Z24" i="10" s="1"/>
  <c r="Y25" i="10"/>
  <c r="Z25" i="10" s="1"/>
  <c r="Y26" i="10"/>
  <c r="Z26" i="10" s="1"/>
  <c r="Y27" i="10"/>
  <c r="Y28" i="10"/>
  <c r="Z28" i="10" s="1"/>
  <c r="Y29" i="10"/>
  <c r="Z29" i="10" s="1"/>
  <c r="Y30" i="10"/>
  <c r="Y31" i="10"/>
  <c r="Y32" i="10"/>
  <c r="Z32" i="10" s="1"/>
  <c r="Y33" i="10"/>
  <c r="Z33" i="10" s="1"/>
  <c r="Y34" i="10"/>
  <c r="Z34" i="10" s="1"/>
  <c r="Y35" i="10"/>
  <c r="Y36" i="10"/>
  <c r="Z36" i="10" s="1"/>
  <c r="Y37" i="10"/>
  <c r="Z37" i="10" s="1"/>
  <c r="Y38" i="10"/>
  <c r="Z38" i="10" s="1"/>
  <c r="Y39" i="10"/>
  <c r="Y40" i="10"/>
  <c r="Z40" i="10" s="1"/>
  <c r="Y41" i="10"/>
  <c r="Z41" i="10" s="1"/>
  <c r="Y42" i="10"/>
  <c r="Z42" i="10" s="1"/>
  <c r="Y43" i="10"/>
  <c r="Y44" i="10"/>
  <c r="Z44" i="10" s="1"/>
  <c r="Y45" i="10"/>
  <c r="Z45" i="10" s="1"/>
  <c r="Y46" i="10"/>
  <c r="Z46" i="10" s="1"/>
  <c r="Y7" i="10"/>
  <c r="Z7" i="10" s="1"/>
  <c r="Y6" i="10"/>
  <c r="T31" i="10"/>
  <c r="U31" i="10" s="1"/>
  <c r="V31" i="10" s="1"/>
  <c r="W31" i="10" s="1"/>
  <c r="T32" i="10"/>
  <c r="U32" i="10" s="1"/>
  <c r="V32" i="10" s="1"/>
  <c r="W32" i="10" s="1"/>
  <c r="T33" i="10"/>
  <c r="U33" i="10" s="1"/>
  <c r="V33" i="10" s="1"/>
  <c r="W33" i="10" s="1"/>
  <c r="T34" i="10"/>
  <c r="U34" i="10" s="1"/>
  <c r="V34" i="10" s="1"/>
  <c r="W34" i="10" s="1"/>
  <c r="T35" i="10"/>
  <c r="U35" i="10" s="1"/>
  <c r="V35" i="10" s="1"/>
  <c r="W35" i="10" s="1"/>
  <c r="T36" i="10"/>
  <c r="U36" i="10" s="1"/>
  <c r="V36" i="10" s="1"/>
  <c r="W36" i="10" s="1"/>
  <c r="T37" i="10"/>
  <c r="U37" i="10" s="1"/>
  <c r="V37" i="10" s="1"/>
  <c r="W37" i="10" s="1"/>
  <c r="T38" i="10"/>
  <c r="U38" i="10" s="1"/>
  <c r="V38" i="10" s="1"/>
  <c r="W38" i="10" s="1"/>
  <c r="T39" i="10"/>
  <c r="U39" i="10" s="1"/>
  <c r="V39" i="10" s="1"/>
  <c r="W39" i="10" s="1"/>
  <c r="T40" i="10"/>
  <c r="U40" i="10" s="1"/>
  <c r="V40" i="10" s="1"/>
  <c r="W40" i="10" s="1"/>
  <c r="T41" i="10"/>
  <c r="U41" i="10" s="1"/>
  <c r="V41" i="10" s="1"/>
  <c r="W41" i="10" s="1"/>
  <c r="T42" i="10"/>
  <c r="U42" i="10" s="1"/>
  <c r="V42" i="10" s="1"/>
  <c r="W42" i="10" s="1"/>
  <c r="T43" i="10"/>
  <c r="U43" i="10" s="1"/>
  <c r="V43" i="10" s="1"/>
  <c r="W43" i="10" s="1"/>
  <c r="T44" i="10"/>
  <c r="U44" i="10" s="1"/>
  <c r="V44" i="10" s="1"/>
  <c r="W44" i="10" s="1"/>
  <c r="T45" i="10"/>
  <c r="U45" i="10" s="1"/>
  <c r="V45" i="10" s="1"/>
  <c r="W45" i="10" s="1"/>
  <c r="T46" i="10"/>
  <c r="U46" i="10" s="1"/>
  <c r="V46" i="10" s="1"/>
  <c r="W46" i="10" s="1"/>
  <c r="T17" i="10"/>
  <c r="U17" i="10" s="1"/>
  <c r="V17" i="10" s="1"/>
  <c r="W17" i="10" s="1"/>
  <c r="T18" i="10"/>
  <c r="U18" i="10" s="1"/>
  <c r="V18" i="10" s="1"/>
  <c r="W18" i="10" s="1"/>
  <c r="T19" i="10"/>
  <c r="U19" i="10" s="1"/>
  <c r="V19" i="10" s="1"/>
  <c r="W19" i="10" s="1"/>
  <c r="T20" i="10"/>
  <c r="U20" i="10" s="1"/>
  <c r="V20" i="10" s="1"/>
  <c r="W20" i="10" s="1"/>
  <c r="T21" i="10"/>
  <c r="U21" i="10" s="1"/>
  <c r="V21" i="10" s="1"/>
  <c r="W21" i="10" s="1"/>
  <c r="T22" i="10"/>
  <c r="U22" i="10" s="1"/>
  <c r="V22" i="10" s="1"/>
  <c r="W22" i="10" s="1"/>
  <c r="T23" i="10"/>
  <c r="U23" i="10" s="1"/>
  <c r="V23" i="10" s="1"/>
  <c r="W23" i="10" s="1"/>
  <c r="T24" i="10"/>
  <c r="U24" i="10" s="1"/>
  <c r="V24" i="10" s="1"/>
  <c r="W24" i="10" s="1"/>
  <c r="T25" i="10"/>
  <c r="U25" i="10" s="1"/>
  <c r="V25" i="10" s="1"/>
  <c r="W25" i="10" s="1"/>
  <c r="T26" i="10"/>
  <c r="U26" i="10" s="1"/>
  <c r="V26" i="10" s="1"/>
  <c r="W26" i="10" s="1"/>
  <c r="T27" i="10"/>
  <c r="U27" i="10" s="1"/>
  <c r="V27" i="10" s="1"/>
  <c r="W27" i="10" s="1"/>
  <c r="T28" i="10"/>
  <c r="U28" i="10" s="1"/>
  <c r="V28" i="10" s="1"/>
  <c r="W28" i="10" s="1"/>
  <c r="T29" i="10"/>
  <c r="U29" i="10" s="1"/>
  <c r="V29" i="10" s="1"/>
  <c r="W29" i="10" s="1"/>
  <c r="T30" i="10"/>
  <c r="U30" i="10" s="1"/>
  <c r="V30" i="10" s="1"/>
  <c r="W30" i="10" s="1"/>
  <c r="T14" i="10"/>
  <c r="U14" i="10" s="1"/>
  <c r="V14" i="10" s="1"/>
  <c r="W14" i="10" s="1"/>
  <c r="T15" i="10"/>
  <c r="U15" i="10" s="1"/>
  <c r="V15" i="10" s="1"/>
  <c r="W15" i="10" s="1"/>
  <c r="T16" i="10"/>
  <c r="U16" i="10" s="1"/>
  <c r="V16" i="10" s="1"/>
  <c r="W16" i="10" s="1"/>
  <c r="T7" i="10"/>
  <c r="V7" i="10" s="1"/>
  <c r="T8" i="10"/>
  <c r="U8" i="10" s="1"/>
  <c r="V8" i="10" s="1"/>
  <c r="W8" i="10" s="1"/>
  <c r="T9" i="10"/>
  <c r="U9" i="10" s="1"/>
  <c r="V9" i="10" s="1"/>
  <c r="W9" i="10" s="1"/>
  <c r="T10" i="10"/>
  <c r="U10" i="10" s="1"/>
  <c r="V10" i="10" s="1"/>
  <c r="W10" i="10" s="1"/>
  <c r="T11" i="10"/>
  <c r="U11" i="10" s="1"/>
  <c r="V11" i="10" s="1"/>
  <c r="W11" i="10" s="1"/>
  <c r="T12" i="10"/>
  <c r="U12" i="10" s="1"/>
  <c r="V12" i="10" s="1"/>
  <c r="W12" i="10" s="1"/>
  <c r="T13" i="10"/>
  <c r="U13" i="10" s="1"/>
  <c r="V13" i="10" s="1"/>
  <c r="W13" i="10" s="1"/>
  <c r="T6" i="10"/>
  <c r="U6" i="10" s="1"/>
  <c r="V6" i="10" s="1"/>
  <c r="L29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L24" i="10" s="1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L37" i="10" s="1"/>
  <c r="K38" i="10"/>
  <c r="K39" i="10"/>
  <c r="K40" i="10"/>
  <c r="K41" i="10"/>
  <c r="K42" i="10"/>
  <c r="K43" i="10"/>
  <c r="K44" i="10"/>
  <c r="K45" i="10"/>
  <c r="K46" i="10"/>
  <c r="K6" i="10"/>
  <c r="L6" i="10" s="1"/>
  <c r="N6" i="10" s="1"/>
  <c r="J17" i="10"/>
  <c r="L17" i="10" s="1"/>
  <c r="J18" i="10"/>
  <c r="L18" i="10" s="1"/>
  <c r="J19" i="10"/>
  <c r="J20" i="10"/>
  <c r="J21" i="10"/>
  <c r="L21" i="10" s="1"/>
  <c r="J22" i="10"/>
  <c r="L22" i="10" s="1"/>
  <c r="J23" i="10"/>
  <c r="J24" i="10"/>
  <c r="J25" i="10"/>
  <c r="L25" i="10" s="1"/>
  <c r="J26" i="10"/>
  <c r="L26" i="10" s="1"/>
  <c r="J27" i="10"/>
  <c r="J28" i="10"/>
  <c r="J29" i="10"/>
  <c r="J30" i="10"/>
  <c r="L30" i="10" s="1"/>
  <c r="J31" i="10"/>
  <c r="J32" i="10"/>
  <c r="J33" i="10"/>
  <c r="L33" i="10" s="1"/>
  <c r="J34" i="10"/>
  <c r="L34" i="10" s="1"/>
  <c r="J35" i="10"/>
  <c r="J36" i="10"/>
  <c r="J37" i="10"/>
  <c r="J38" i="10"/>
  <c r="L38" i="10" s="1"/>
  <c r="J39" i="10"/>
  <c r="J40" i="10"/>
  <c r="J41" i="10"/>
  <c r="L41" i="10" s="1"/>
  <c r="J42" i="10"/>
  <c r="L42" i="10" s="1"/>
  <c r="J43" i="10"/>
  <c r="J44" i="10"/>
  <c r="J45" i="10"/>
  <c r="L45" i="10" s="1"/>
  <c r="J46" i="10"/>
  <c r="L46" i="10" s="1"/>
  <c r="J16" i="10"/>
  <c r="J7" i="10"/>
  <c r="L7" i="10" s="1"/>
  <c r="N7" i="10" s="1"/>
  <c r="J8" i="10"/>
  <c r="L8" i="10" s="1"/>
  <c r="N8" i="10" s="1"/>
  <c r="J9" i="10"/>
  <c r="L9" i="10" s="1"/>
  <c r="J10" i="10"/>
  <c r="L10" i="10" s="1"/>
  <c r="J11" i="10"/>
  <c r="L11" i="10" s="1"/>
  <c r="J12" i="10"/>
  <c r="L12" i="10" s="1"/>
  <c r="J13" i="10"/>
  <c r="L13" i="10" s="1"/>
  <c r="J14" i="10"/>
  <c r="L14" i="10" s="1"/>
  <c r="J15" i="10"/>
  <c r="L15" i="10" s="1"/>
  <c r="J6" i="10"/>
  <c r="N11" i="10" l="1"/>
  <c r="L44" i="10"/>
  <c r="L36" i="10"/>
  <c r="L28" i="10"/>
  <c r="L20" i="10"/>
  <c r="L16" i="10"/>
  <c r="L43" i="10"/>
  <c r="L39" i="10"/>
  <c r="L35" i="10"/>
  <c r="L31" i="10"/>
  <c r="L27" i="10"/>
  <c r="L23" i="10"/>
  <c r="L19" i="10"/>
  <c r="L40" i="10"/>
  <c r="L32" i="10"/>
  <c r="N12" i="10"/>
  <c r="N10" i="10"/>
  <c r="N9" i="10"/>
  <c r="N14" i="10" l="1"/>
  <c r="N16" i="10"/>
  <c r="N15" i="10"/>
  <c r="N13" i="10"/>
  <c r="N17" i="10" l="1"/>
  <c r="N21" i="10"/>
  <c r="N20" i="10"/>
  <c r="N19" i="10"/>
  <c r="N18" i="10"/>
  <c r="N22" i="10"/>
  <c r="N23" i="10" l="1"/>
  <c r="N25" i="10"/>
  <c r="N27" i="10"/>
  <c r="N24" i="10"/>
  <c r="N26" i="10"/>
  <c r="N30" i="10" l="1"/>
  <c r="N29" i="10"/>
  <c r="N31" i="10"/>
  <c r="N32" i="10"/>
  <c r="N28" i="10"/>
  <c r="N37" i="10" l="1"/>
  <c r="N34" i="10"/>
  <c r="N33" i="10"/>
  <c r="N36" i="10"/>
  <c r="N35" i="10"/>
  <c r="N41" i="10" l="1"/>
  <c r="N39" i="10"/>
  <c r="N40" i="10"/>
  <c r="N38" i="10"/>
  <c r="N42" i="10"/>
  <c r="N44" i="10" l="1"/>
  <c r="N43" i="10"/>
  <c r="N45" i="10"/>
  <c r="N46" i="10"/>
</calcChain>
</file>

<file path=xl/sharedStrings.xml><?xml version="1.0" encoding="utf-8"?>
<sst xmlns="http://schemas.openxmlformats.org/spreadsheetml/2006/main" count="205" uniqueCount="84">
  <si>
    <r>
      <t>Y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</si>
  <si>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max</t>
  </si>
  <si>
    <t>min</t>
  </si>
  <si>
    <t>std</t>
  </si>
  <si>
    <t>Temp</t>
  </si>
  <si>
    <t>ikien 2006</t>
  </si>
  <si>
    <t>ikien 2009</t>
  </si>
  <si>
    <t>adeeyo 2013</t>
  </si>
  <si>
    <t>adeeyo 2018</t>
  </si>
  <si>
    <t>sylvester 2018</t>
  </si>
  <si>
    <t>ireke/ikpeka 2017</t>
  </si>
  <si>
    <t>almarhoun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</si>
  <si>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</si>
  <si>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ob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</si>
  <si>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s</t>
    </r>
  </si>
  <si>
    <t>Ikien 2006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</si>
  <si>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</si>
  <si>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API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</si>
  <si>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</si>
  <si>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</si>
  <si>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</si>
  <si>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</si>
  <si>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</si>
  <si>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</si>
  <si>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</si>
  <si>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</si>
  <si>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</si>
  <si>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</si>
  <si>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</si>
  <si>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Q</t>
  </si>
  <si>
    <r>
      <t>P*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</si>
  <si>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</si>
  <si>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t>A</t>
  </si>
  <si>
    <t>B</t>
  </si>
  <si>
    <t>C</t>
  </si>
  <si>
    <t>D</t>
  </si>
  <si>
    <t>Vasquez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</si>
  <si>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gc</t>
    </r>
  </si>
  <si>
    <t>StandingAPI&gt;20</t>
  </si>
  <si>
    <t>K/S</t>
  </si>
  <si>
    <t>x</t>
  </si>
  <si>
    <t>Glaso</t>
  </si>
  <si>
    <t>Vasquez/Beggs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</si>
  <si>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&lt;=0.6, 'Pf&gt;0.6</t>
    </r>
  </si>
  <si>
    <t>Pb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</si>
  <si>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sp</t>
    </r>
  </si>
  <si>
    <t>=&lt;30, &gt;30</t>
  </si>
  <si>
    <t>Rs=&lt;30, &gt;30</t>
  </si>
  <si>
    <t>alshammasi</t>
  </si>
  <si>
    <t>Results</t>
  </si>
  <si>
    <t>Ikien 2009</t>
  </si>
  <si>
    <t>standing</t>
  </si>
  <si>
    <t>vasquez</t>
  </si>
  <si>
    <t>adeeyo</t>
  </si>
  <si>
    <t>k/s</t>
  </si>
  <si>
    <t>ireka/ikpeka</t>
  </si>
  <si>
    <t>slyvester</t>
  </si>
  <si>
    <t>vasques/adeeyo</t>
  </si>
  <si>
    <t>lssvm</t>
  </si>
  <si>
    <t>Training</t>
  </si>
  <si>
    <t>Testing</t>
  </si>
  <si>
    <t>Ei</t>
  </si>
  <si>
    <t>|Ei|</t>
  </si>
  <si>
    <t>APRE</t>
  </si>
  <si>
    <t>AAPRE</t>
  </si>
  <si>
    <t>MSE</t>
  </si>
  <si>
    <t>RMSE</t>
  </si>
  <si>
    <t>R</t>
  </si>
  <si>
    <t>R2</t>
  </si>
  <si>
    <t>exp</t>
  </si>
  <si>
    <t>pred</t>
  </si>
  <si>
    <t xml:space="preserve">Ytexp(Pob) </t>
  </si>
  <si>
    <t>Eis</t>
  </si>
  <si>
    <t>Eig</t>
  </si>
  <si>
    <t>|Eis|</t>
  </si>
  <si>
    <t>|Eig|</t>
  </si>
  <si>
    <t>s</t>
  </si>
  <si>
    <t>g</t>
  </si>
  <si>
    <t>gs</t>
  </si>
  <si>
    <t>Sum/n</t>
  </si>
  <si>
    <t>Max</t>
  </si>
  <si>
    <t>Min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</si>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</sst>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%"/>
    <numFmt numFmtId="165" formatCode="0.0000"/>
    <numFmt numFmtId="166" formatCode="0.000"/>
    <numFmt numFmtId="167" formatCode="0.00000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8">
    <xf numFmtId="0" fontId="0" fillId="0" borderId="0" xfId="0"/>
    <xf numFmtId="3" fontId="0" fillId="0" borderId="0" xfId="0" applyNumberFormat="1"/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3" xfId="0" applyBorder="1"/>
    <xf numFmtId="0" fontId="1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0" xfId="0" quotePrefix="1" applyFont="1" applyBorder="1"/>
    <xf numFmtId="0" fontId="0" fillId="0" borderId="0" xfId="0" applyBorder="1"/>
    <xf numFmtId="0" fontId="1" fillId="0" borderId="1" xfId="0" quotePrefix="1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0" xfId="0" applyBorder="1"/>
    <xf numFmtId="0" fontId="0" fillId="0" borderId="1" xfId="0" quotePrefix="1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0" xfId="0" applyFill="1" applyBorder="1"/>
    <xf numFmtId="164" fontId="0" fillId="0" borderId="0" xfId="1" applyNumberFormat="1" applyFont="1" applyBorder="1"/>
    <xf numFmtId="165" fontId="0" fillId="0" borderId="0" xfId="0" applyNumberFormat="1" applyBorder="1"/>
    <xf numFmtId="2" fontId="0" fillId="0" borderId="0" xfId="1" applyNumberFormat="1" applyFont="1" applyBorder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NumberFormat="1" applyBorder="1"/>
    <xf numFmtId="2" fontId="0" fillId="0" borderId="0" xfId="0" applyNumberFormat="1"/>
    <xf numFmtId="10" fontId="0" fillId="0" borderId="0" xfId="1" applyNumberFormat="1" applyFont="1"/>
    <xf numFmtId="167" fontId="0" fillId="0" borderId="0" xfId="1" applyNumberFormat="1" applyFont="1"/>
    <xf numFmtId="0" fontId="0" fillId="0" borderId="4" xfId="0" applyBorder="1"/>
    <xf numFmtId="0" fontId="0" fillId="0" borderId="13" xfId="0" applyBorder="1"/>
    <xf numFmtId="164" fontId="0" fillId="0" borderId="4" xfId="0" applyNumberFormat="1" applyBorder="1"/>
    <xf numFmtId="0" fontId="0" fillId="0" borderId="2" xfId="0" applyBorder="1"/>
    <xf numFmtId="164" fontId="0" fillId="0" borderId="0" xfId="0" applyNumberFormat="1"/>
    <xf numFmtId="167" fontId="0" fillId="0" borderId="0" xfId="1" applyNumberFormat="1" applyFont="1" applyBorder="1"/>
    <xf numFmtId="0" fontId="0" fillId="0" borderId="6" xfId="0" applyBorder="1"/>
    <xf numFmtId="168" fontId="0" fillId="0" borderId="0" xfId="1" applyNumberFormat="1" applyFont="1"/>
    <xf numFmtId="168" fontId="0" fillId="0" borderId="0" xfId="0" applyNumberForma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251"/>
  <sheetViews>
    <sheetView zoomScaleNormal="100" workbookViewId="0">
      <selection activeCell="AC6" sqref="AC6"/>
    </sheetView>
  </sheetViews>
  <sheetFormatPr defaultRowHeight="15" x14ac:dyDescent="0.25"/>
  <cols>
    <col min="1" max="1" width="9" bestFit="1" customWidth="1"/>
    <col min="2" max="2" width="8.42578125" bestFit="1" customWidth="1"/>
    <col min="3" max="3" width="7" bestFit="1" customWidth="1"/>
    <col min="4" max="4" width="8.28515625" bestFit="1" customWidth="1"/>
    <col min="5" max="5" width="7.28515625" bestFit="1" customWidth="1"/>
    <col min="6" max="6" width="7.28515625" customWidth="1"/>
    <col min="7" max="7" width="8.85546875" bestFit="1" customWidth="1"/>
    <col min="10" max="10" width="9.140625" style="31" customWidth="1"/>
    <col min="11" max="12" width="9.140625" customWidth="1"/>
    <col min="13" max="13" width="14.28515625" customWidth="1"/>
    <col min="14" max="14" width="9.140625" style="12" customWidth="1"/>
    <col min="15" max="17" width="5.42578125" style="8" customWidth="1"/>
    <col min="18" max="18" width="12.28515625" style="8" customWidth="1"/>
    <col min="19" max="19" width="5.28515625" style="8" customWidth="1"/>
    <col min="20" max="22" width="5.42578125" style="8" customWidth="1"/>
    <col min="23" max="25" width="9.85546875" style="8" customWidth="1"/>
    <col min="26" max="26" width="16.140625" style="8" customWidth="1"/>
    <col min="27" max="27" width="8" style="8" customWidth="1"/>
    <col min="28" max="28" width="16.140625" style="8" customWidth="1"/>
    <col min="29" max="30" width="9.85546875" style="8" customWidth="1"/>
    <col min="31" max="37" width="7.5703125" style="8" customWidth="1"/>
  </cols>
  <sheetData>
    <row r="1" spans="1:37" ht="18" x14ac:dyDescent="0.25">
      <c r="G1" s="12"/>
      <c r="M1" s="59">
        <v>0.6</v>
      </c>
      <c r="N1" s="59"/>
      <c r="O1"/>
      <c r="P1" s="10"/>
      <c r="Q1"/>
      <c r="R1"/>
      <c r="S1"/>
      <c r="T1" s="10"/>
      <c r="U1" s="10"/>
      <c r="V1" s="10"/>
      <c r="Y1" s="10" t="s">
        <v>45</v>
      </c>
      <c r="Z1" s="8">
        <v>60</v>
      </c>
      <c r="AB1" s="10" t="s">
        <v>12</v>
      </c>
      <c r="AC1" s="8">
        <v>14.7</v>
      </c>
    </row>
    <row r="2" spans="1:37" ht="18" x14ac:dyDescent="0.25">
      <c r="A2" s="10" t="s">
        <v>12</v>
      </c>
      <c r="B2" s="10" t="s">
        <v>13</v>
      </c>
      <c r="C2" s="10" t="s">
        <v>14</v>
      </c>
      <c r="D2" s="11" t="s">
        <v>16</v>
      </c>
      <c r="E2" s="11" t="s">
        <v>17</v>
      </c>
      <c r="F2" s="11" t="s">
        <v>0</v>
      </c>
      <c r="G2" s="13" t="s">
        <v>4</v>
      </c>
      <c r="J2" s="65" t="s">
        <v>15</v>
      </c>
      <c r="K2" s="65"/>
      <c r="L2" s="65"/>
      <c r="M2" s="65"/>
      <c r="N2" s="65"/>
      <c r="O2" s="65"/>
      <c r="P2" s="65"/>
      <c r="Q2" s="62" t="s">
        <v>6</v>
      </c>
      <c r="R2" s="62"/>
      <c r="S2" s="62"/>
      <c r="T2" s="62"/>
      <c r="U2" s="62"/>
      <c r="V2" s="62"/>
      <c r="W2" s="62"/>
      <c r="X2" s="29"/>
      <c r="Y2" s="56" t="s">
        <v>7</v>
      </c>
      <c r="Z2" s="57"/>
      <c r="AA2" s="57"/>
      <c r="AB2" s="57"/>
      <c r="AC2" s="57"/>
      <c r="AD2" s="57"/>
      <c r="AE2" s="58"/>
      <c r="AF2"/>
      <c r="AG2"/>
      <c r="AH2" s="56" t="s">
        <v>8</v>
      </c>
      <c r="AI2" s="57"/>
      <c r="AJ2" s="57"/>
      <c r="AK2" s="58"/>
    </row>
    <row r="3" spans="1:37" ht="18" customHeight="1" x14ac:dyDescent="0.35">
      <c r="A3" s="10"/>
      <c r="B3" s="10"/>
      <c r="C3" s="10"/>
      <c r="D3" s="11"/>
      <c r="E3" s="11"/>
      <c r="F3" s="11"/>
      <c r="G3" s="13"/>
      <c r="J3" s="66" t="s">
        <v>0</v>
      </c>
      <c r="K3" s="69" t="s">
        <v>18</v>
      </c>
      <c r="L3" s="69" t="s">
        <v>16</v>
      </c>
      <c r="M3" s="72" t="s">
        <v>43</v>
      </c>
      <c r="N3" s="75" t="s">
        <v>44</v>
      </c>
      <c r="O3" s="22"/>
      <c r="P3" s="22"/>
      <c r="Q3" s="9"/>
      <c r="R3" s="9"/>
      <c r="S3" s="9"/>
      <c r="T3" s="18" t="s">
        <v>28</v>
      </c>
      <c r="U3" s="19" t="s">
        <v>29</v>
      </c>
      <c r="V3" s="17" t="s">
        <v>30</v>
      </c>
      <c r="W3" s="17" t="s">
        <v>12</v>
      </c>
      <c r="X3" s="15"/>
      <c r="Y3" s="63" t="s">
        <v>38</v>
      </c>
      <c r="Z3" s="63"/>
      <c r="AA3" s="30"/>
      <c r="AB3" s="64" t="s">
        <v>36</v>
      </c>
      <c r="AC3" s="60"/>
      <c r="AD3" s="60"/>
      <c r="AE3" s="22"/>
      <c r="AF3" s="22"/>
      <c r="AG3" s="22"/>
      <c r="AH3"/>
      <c r="AI3"/>
      <c r="AJ3"/>
      <c r="AK3" s="60" t="s">
        <v>12</v>
      </c>
    </row>
    <row r="4" spans="1:37" ht="18" x14ac:dyDescent="0.25">
      <c r="A4" s="10"/>
      <c r="B4" s="10"/>
      <c r="C4" s="10"/>
      <c r="D4" s="11"/>
      <c r="E4" s="11"/>
      <c r="F4" s="11"/>
      <c r="G4" s="13"/>
      <c r="J4" s="67"/>
      <c r="K4" s="70"/>
      <c r="L4" s="70"/>
      <c r="M4" s="73"/>
      <c r="N4" s="76"/>
      <c r="O4" s="22"/>
      <c r="P4" s="22"/>
      <c r="T4"/>
      <c r="U4"/>
      <c r="V4"/>
      <c r="W4"/>
      <c r="X4"/>
      <c r="Y4" s="9" t="s">
        <v>32</v>
      </c>
      <c r="Z4" s="20" t="s">
        <v>12</v>
      </c>
      <c r="AA4" s="20"/>
      <c r="AB4" s="18" t="s">
        <v>37</v>
      </c>
      <c r="AC4" s="32" t="s">
        <v>46</v>
      </c>
      <c r="AD4" s="9"/>
      <c r="AE4" s="22"/>
      <c r="AF4" s="22"/>
      <c r="AG4" s="22"/>
      <c r="AH4"/>
      <c r="AI4"/>
      <c r="AJ4"/>
      <c r="AK4" s="61"/>
    </row>
    <row r="5" spans="1:37" x14ac:dyDescent="0.25">
      <c r="A5" s="10"/>
      <c r="B5" s="10"/>
      <c r="C5" s="10"/>
      <c r="D5" s="11"/>
      <c r="E5" s="11"/>
      <c r="F5" s="11"/>
      <c r="G5" s="13"/>
      <c r="J5" s="68"/>
      <c r="K5" s="71"/>
      <c r="L5" s="71"/>
      <c r="M5" s="74"/>
      <c r="N5" s="77"/>
      <c r="O5" s="22"/>
      <c r="P5" s="22"/>
      <c r="T5"/>
      <c r="U5"/>
      <c r="V5"/>
      <c r="W5"/>
      <c r="X5"/>
      <c r="Y5" s="22"/>
      <c r="Z5" s="22"/>
      <c r="AA5" s="22"/>
      <c r="AB5" s="22"/>
      <c r="AC5" s="22"/>
      <c r="AD5" s="22"/>
      <c r="AE5" s="22"/>
      <c r="AF5" s="22"/>
      <c r="AG5" s="22"/>
      <c r="AH5"/>
      <c r="AI5"/>
      <c r="AJ5"/>
      <c r="AK5" s="61"/>
    </row>
    <row r="6" spans="1:37" ht="18" x14ac:dyDescent="0.25">
      <c r="A6">
        <v>567</v>
      </c>
      <c r="B6">
        <v>1.143</v>
      </c>
      <c r="C6">
        <v>82</v>
      </c>
      <c r="D6">
        <v>0.79251015466892083</v>
      </c>
      <c r="E6">
        <v>32.299999999999997</v>
      </c>
      <c r="F6">
        <v>0.86385836385836379</v>
      </c>
      <c r="G6">
        <v>231</v>
      </c>
      <c r="J6" s="31">
        <f>(141.5)/(E6+131.5)</f>
        <v>0.86385836385836379</v>
      </c>
      <c r="K6">
        <f>(6084)/(E6-5.9)</f>
        <v>230.45454545454547</v>
      </c>
      <c r="L6">
        <f>(K6*C6)/((K6*C6)+(132755*J6))</f>
        <v>0.14146911161985148</v>
      </c>
      <c r="M6">
        <f>IF(L6&lt;=$M$1,((0.83918*(10^(1.17664*L6))*(L6^0.57246))),((0.83918*(10^(1.08*L6))*(L6^0.31109))))</f>
        <v>0.40188435049330928</v>
      </c>
      <c r="N6" s="12">
        <f>M6*((G6+459.6)/L6)</f>
        <v>1961.8511014367166</v>
      </c>
      <c r="Q6" s="20" t="s">
        <v>19</v>
      </c>
      <c r="R6" s="9">
        <v>336.00640090000002</v>
      </c>
      <c r="S6" s="22"/>
      <c r="T6">
        <f>($R$8-$R$9*E6)^$R$10</f>
        <v>143.88837150994644</v>
      </c>
      <c r="U6">
        <f>((C6/$R$6)/((C6/$R$6)+($R$7*F6/T6)))</f>
        <v>0.85838142948722873</v>
      </c>
      <c r="V6">
        <f>($R$11+($R$12*U6)+($R$13*U6^$R$14))</f>
        <v>6.6667137137480807</v>
      </c>
      <c r="W6">
        <f>((V6)*(G6+$R$15)/D6)</f>
        <v>7288.4142799673491</v>
      </c>
      <c r="X6"/>
      <c r="Y6" s="8">
        <f>(((C6/D6)^0.83)*10^((0.00091*G6)-(0.0125*E6)))</f>
        <v>30.112823863670485</v>
      </c>
      <c r="Z6">
        <f>IF(E6&gt;20,18.2*(Y6-1.4), "0")</f>
        <v>522.5733943188028</v>
      </c>
      <c r="AA6"/>
      <c r="AB6">
        <f>(D6*(1+((5.912*10^-5)*E6)*($Z$1*LOG($AC$1/114.7))))</f>
        <v>0.71149286992702021</v>
      </c>
      <c r="AC6">
        <f>IF(E6&lt;=30,(27.642*(C6/AB6)*(10^((-11.172*E6)/(G6+460))))^0.914328,(56.18*(C6/AB6)*(10^((-10.393*E6)/(G6+460))))^0.84246)</f>
        <v>633.18430009931978</v>
      </c>
      <c r="AH6" s="17" t="s">
        <v>32</v>
      </c>
      <c r="AI6" s="6">
        <v>85.8309</v>
      </c>
      <c r="AJ6" s="16"/>
      <c r="AK6" s="8" t="e">
        <f>($AI$6*(LN((G6^2)*(C6-$AI$7)/(E6^2))*(LN(($AI$8+(E6-($AI$9*C6)))/(E6^2)))))</f>
        <v>#NUM!</v>
      </c>
    </row>
    <row r="7" spans="1:37" ht="18" x14ac:dyDescent="0.25">
      <c r="A7">
        <v>2954</v>
      </c>
      <c r="B7">
        <v>1.5629999999999999</v>
      </c>
      <c r="C7">
        <v>968</v>
      </c>
      <c r="D7">
        <v>0.81312337750111341</v>
      </c>
      <c r="E7">
        <v>36</v>
      </c>
      <c r="F7">
        <v>0.84477611940298503</v>
      </c>
      <c r="G7">
        <v>195</v>
      </c>
      <c r="J7" s="31">
        <f t="shared" ref="J7:J46" si="0">(141.5)/(E7+131.5)</f>
        <v>0.84477611940298503</v>
      </c>
      <c r="K7">
        <f t="shared" ref="K7:K46" si="1">(6084)/(E7-5.9)</f>
        <v>202.12624584717608</v>
      </c>
      <c r="L7">
        <f t="shared" ref="L7:L46" si="2">(K7*C7)/((K7*C7)+(132755*J7))</f>
        <v>0.63565334581837496</v>
      </c>
      <c r="M7">
        <f t="shared" ref="M7:M46" si="3">IF(L7&lt;=$M$1,((0.83918*(10^(1.17664*L7))*(L7^0.57246))),((0.83918*(10^(1.08*L7))*(L7^0.31109))))</f>
        <v>3.5411518720177204</v>
      </c>
      <c r="N7" s="12">
        <f t="shared" ref="N7:N46" si="4">M7*((G7+459.6)/L7)</f>
        <v>3646.7015090409545</v>
      </c>
      <c r="Q7" s="20" t="s">
        <v>20</v>
      </c>
      <c r="R7" s="9">
        <v>6.7063984000000003</v>
      </c>
      <c r="S7" s="22"/>
      <c r="T7">
        <f t="shared" ref="T7:T46" si="5">($R$8-$R$9*E7)^$R$10</f>
        <v>122.94603737780581</v>
      </c>
      <c r="U7">
        <f>((C7/$R$6)/((C7/$R$6)+($R$7*F7/T7)))</f>
        <v>0.98425665560767051</v>
      </c>
      <c r="V7">
        <f t="shared" ref="V7:V46" si="6">($R$11+($R$12*U7)+($R$13*U7^$R$14))</f>
        <v>8.3172328251902456</v>
      </c>
      <c r="W7">
        <f>((V7)*(G7+$R$15)/D7)</f>
        <v>8494.1068494109204</v>
      </c>
      <c r="X7"/>
      <c r="Y7" s="8">
        <f>(((C7/D7)^0.83)*10^((0.00091*G7)-(0.0125*E7)))</f>
        <v>190.67629089894089</v>
      </c>
      <c r="Z7">
        <f t="shared" ref="Z7:Z46" si="7">IF(E7&gt;20,18.2*(Y7-1.4), "0")</f>
        <v>3444.8284943607241</v>
      </c>
      <c r="AA7"/>
      <c r="AB7">
        <f t="shared" ref="AB7:AB46" si="8">(D7*(1+((5.912*10^-5)*E7)*($Z$1*LOG($AC$1/114.7))))</f>
        <v>0.7204768227176066</v>
      </c>
      <c r="AC7">
        <f t="shared" ref="AC7:AC46" si="9">IF(E7&lt;=30,(27.642*(C7/AB7)*(10^((-11.172*E7)/(G7+460))))^0.914328,(56.18*(C7/AB7)*(10^((-10.393*E7)/(G7+460))))^0.84246)</f>
        <v>4247.7019726330745</v>
      </c>
      <c r="AH7" s="17" t="s">
        <v>33</v>
      </c>
      <c r="AI7" s="6">
        <v>125.186488984702</v>
      </c>
      <c r="AJ7" s="16"/>
      <c r="AK7" s="8">
        <f t="shared" ref="AK7:AK46" si="10">($AI$6*(LN((G7^2)*(C7-$AI$7)/(E7^2))*(LN(($AI$8+(E7-($AI$9*C7)))/(E7^2)))))</f>
        <v>1330.9649401232393</v>
      </c>
    </row>
    <row r="8" spans="1:37" ht="18" x14ac:dyDescent="0.25">
      <c r="A8">
        <v>2209</v>
      </c>
      <c r="B8">
        <v>1.2889999999999999</v>
      </c>
      <c r="C8">
        <v>417</v>
      </c>
      <c r="D8">
        <v>0.87278635389092063</v>
      </c>
      <c r="E8">
        <v>37.799999999999997</v>
      </c>
      <c r="F8">
        <v>0.83579444772593026</v>
      </c>
      <c r="G8">
        <v>197</v>
      </c>
      <c r="J8" s="31">
        <f t="shared" si="0"/>
        <v>0.83579444772593026</v>
      </c>
      <c r="K8">
        <f t="shared" si="1"/>
        <v>190.72100313479623</v>
      </c>
      <c r="L8">
        <f t="shared" si="2"/>
        <v>0.41751324813965696</v>
      </c>
      <c r="M8">
        <f>IF(L8&lt;=$M$1,((0.83918*(10^(1.17664*L8))*(L8^0.57246))),((0.83918*(10^(1.08*L8))*(L8^0.31109))))</f>
        <v>1.5774907109107992</v>
      </c>
      <c r="N8" s="12">
        <f t="shared" si="4"/>
        <v>2480.8324176519673</v>
      </c>
      <c r="Q8" s="20" t="s">
        <v>21</v>
      </c>
      <c r="R8" s="9">
        <v>47.570947719999999</v>
      </c>
      <c r="S8" s="22"/>
      <c r="T8">
        <f t="shared" si="5"/>
        <v>113.1774796241901</v>
      </c>
      <c r="U8">
        <f t="shared" ref="U8:U46" si="11">((C8/$R$6)/((C8/$R$6)+($R$7*F8/T8)))</f>
        <v>0.96162519834482318</v>
      </c>
      <c r="V8">
        <f t="shared" si="6"/>
        <v>8.010411726747412</v>
      </c>
      <c r="W8">
        <f t="shared" ref="W8:W46" si="12">((V8)*(G8+$R$15)/D8)</f>
        <v>7639.8865878688048</v>
      </c>
      <c r="X8"/>
      <c r="Y8" s="8">
        <f t="shared" ref="Y8:Y46" si="13">(((C8/D8)^0.83)*10^((0.00091*G8)-(0.0125*E8)))</f>
        <v>85.217605960564995</v>
      </c>
      <c r="Z8">
        <f t="shared" si="7"/>
        <v>1525.4804284822828</v>
      </c>
      <c r="AA8"/>
      <c r="AB8">
        <f t="shared" si="8"/>
        <v>0.76836962755293192</v>
      </c>
      <c r="AC8">
        <f t="shared" si="9"/>
        <v>1879.1573422936094</v>
      </c>
      <c r="AH8" s="18" t="s">
        <v>34</v>
      </c>
      <c r="AI8" s="6">
        <v>-833.72047024905601</v>
      </c>
      <c r="AJ8" s="16"/>
      <c r="AK8" s="8">
        <f t="shared" si="10"/>
        <v>308.98026700168538</v>
      </c>
    </row>
    <row r="9" spans="1:37" ht="18" x14ac:dyDescent="0.25">
      <c r="A9">
        <v>2740</v>
      </c>
      <c r="B9">
        <v>1.512</v>
      </c>
      <c r="C9">
        <v>875</v>
      </c>
      <c r="D9">
        <v>0.73606734271110319</v>
      </c>
      <c r="E9">
        <v>38</v>
      </c>
      <c r="F9">
        <v>0.83480825958702065</v>
      </c>
      <c r="G9">
        <v>186</v>
      </c>
      <c r="J9" s="31">
        <f t="shared" si="0"/>
        <v>0.83480825958702065</v>
      </c>
      <c r="K9">
        <f t="shared" si="1"/>
        <v>189.53271028037383</v>
      </c>
      <c r="L9">
        <f t="shared" si="2"/>
        <v>0.59942698542633133</v>
      </c>
      <c r="M9">
        <f t="shared" si="3"/>
        <v>3.1763460416347353</v>
      </c>
      <c r="N9" s="12">
        <f t="shared" si="4"/>
        <v>3421.0154936900267</v>
      </c>
      <c r="Q9" s="20" t="s">
        <v>22</v>
      </c>
      <c r="R9" s="9">
        <v>0.67770666199999996</v>
      </c>
      <c r="S9" s="22"/>
      <c r="T9">
        <f t="shared" si="5"/>
        <v>112.10948477102286</v>
      </c>
      <c r="U9">
        <f t="shared" si="11"/>
        <v>0.9811841538371604</v>
      </c>
      <c r="V9">
        <f t="shared" si="6"/>
        <v>8.275324430570894</v>
      </c>
      <c r="W9">
        <f t="shared" si="12"/>
        <v>9234.8582345393097</v>
      </c>
      <c r="X9"/>
      <c r="Y9" s="8">
        <f t="shared" si="13"/>
        <v>176.43515273856997</v>
      </c>
      <c r="Z9">
        <f t="shared" si="7"/>
        <v>3185.639779841973</v>
      </c>
      <c r="AA9"/>
      <c r="AB9">
        <f t="shared" si="8"/>
        <v>0.64754121410373</v>
      </c>
      <c r="AC9">
        <f t="shared" si="9"/>
        <v>3948.5349572054774</v>
      </c>
      <c r="AH9" s="19" t="s">
        <v>35</v>
      </c>
      <c r="AI9" s="6">
        <v>-7.0253437898334603</v>
      </c>
      <c r="AJ9" s="16"/>
      <c r="AK9" s="8">
        <f t="shared" si="10"/>
        <v>1101.4229355064135</v>
      </c>
    </row>
    <row r="10" spans="1:37" ht="18" x14ac:dyDescent="0.25">
      <c r="A10">
        <v>1622</v>
      </c>
      <c r="B10">
        <v>1.2889999999999999</v>
      </c>
      <c r="C10">
        <v>346</v>
      </c>
      <c r="D10">
        <v>0.82289666841100806</v>
      </c>
      <c r="E10">
        <v>30.9</v>
      </c>
      <c r="F10">
        <v>0.87130541871921174</v>
      </c>
      <c r="G10">
        <v>163</v>
      </c>
      <c r="J10" s="31">
        <f t="shared" si="0"/>
        <v>0.87130541871921174</v>
      </c>
      <c r="K10">
        <f t="shared" si="1"/>
        <v>243.36</v>
      </c>
      <c r="L10">
        <f t="shared" si="2"/>
        <v>0.42128092242721277</v>
      </c>
      <c r="M10">
        <f t="shared" si="3"/>
        <v>1.6018929050948532</v>
      </c>
      <c r="N10" s="12">
        <f t="shared" si="4"/>
        <v>2367.3954115127817</v>
      </c>
      <c r="Q10" s="20" t="s">
        <v>23</v>
      </c>
      <c r="R10" s="9">
        <v>1.5309356190000001</v>
      </c>
      <c r="S10" s="22"/>
      <c r="T10">
        <f t="shared" si="5"/>
        <v>152.10615624304356</v>
      </c>
      <c r="U10">
        <f t="shared" si="11"/>
        <v>0.96403522659814433</v>
      </c>
      <c r="V10">
        <f t="shared" si="6"/>
        <v>8.0428789114488062</v>
      </c>
      <c r="W10">
        <f t="shared" si="12"/>
        <v>7803.600745834241</v>
      </c>
      <c r="X10"/>
      <c r="Y10" s="8">
        <f t="shared" si="13"/>
        <v>87.051560277889877</v>
      </c>
      <c r="Z10">
        <f t="shared" si="7"/>
        <v>1558.8583970575955</v>
      </c>
      <c r="AA10"/>
      <c r="AB10">
        <f t="shared" si="8"/>
        <v>0.74241923648818842</v>
      </c>
      <c r="AC10">
        <f t="shared" si="9"/>
        <v>1939.6560209037639</v>
      </c>
      <c r="AH10"/>
      <c r="AI10"/>
      <c r="AJ10"/>
      <c r="AK10" s="8">
        <f t="shared" si="10"/>
        <v>399.49462424656491</v>
      </c>
    </row>
    <row r="11" spans="1:37" ht="18" x14ac:dyDescent="0.25">
      <c r="A11">
        <v>1994.7</v>
      </c>
      <c r="B11">
        <v>1.1399999999999999</v>
      </c>
      <c r="C11">
        <v>263</v>
      </c>
      <c r="D11">
        <v>0.87041031859609297</v>
      </c>
      <c r="E11">
        <v>27.4</v>
      </c>
      <c r="F11">
        <v>0.89049716803020762</v>
      </c>
      <c r="G11">
        <v>159</v>
      </c>
      <c r="J11" s="31">
        <f t="shared" si="0"/>
        <v>0.89049716803020762</v>
      </c>
      <c r="K11">
        <f t="shared" si="1"/>
        <v>282.97674418604652</v>
      </c>
      <c r="L11">
        <f t="shared" si="2"/>
        <v>0.3863297395871978</v>
      </c>
      <c r="M11">
        <f t="shared" si="3"/>
        <v>1.3866798577260948</v>
      </c>
      <c r="N11" s="12">
        <f t="shared" si="4"/>
        <v>2220.3834499149393</v>
      </c>
      <c r="Q11" s="20" t="s">
        <v>24</v>
      </c>
      <c r="R11" s="9">
        <v>0.243181338</v>
      </c>
      <c r="S11" s="22"/>
      <c r="T11">
        <f t="shared" si="5"/>
        <v>173.33174583627206</v>
      </c>
      <c r="U11">
        <f t="shared" si="11"/>
        <v>0.9578374009781081</v>
      </c>
      <c r="V11">
        <f t="shared" si="6"/>
        <v>7.9594834383900714</v>
      </c>
      <c r="W11">
        <f t="shared" si="12"/>
        <v>7264.5449741336406</v>
      </c>
      <c r="X11"/>
      <c r="Y11" s="8">
        <f t="shared" si="13"/>
        <v>72.574211429510513</v>
      </c>
      <c r="Z11">
        <f t="shared" si="7"/>
        <v>1295.3706480170911</v>
      </c>
      <c r="AA11"/>
      <c r="AB11">
        <f t="shared" si="8"/>
        <v>0.79492805428648983</v>
      </c>
      <c r="AC11">
        <f t="shared" si="9"/>
        <v>1477.9948965896813</v>
      </c>
      <c r="AK11" s="8">
        <f t="shared" si="10"/>
        <v>237.08876115343793</v>
      </c>
    </row>
    <row r="12" spans="1:37" ht="18" x14ac:dyDescent="0.25">
      <c r="A12">
        <v>1109</v>
      </c>
      <c r="B12">
        <v>1.081</v>
      </c>
      <c r="C12">
        <v>173</v>
      </c>
      <c r="D12">
        <v>0.78106484554532651</v>
      </c>
      <c r="E12">
        <v>23</v>
      </c>
      <c r="F12">
        <v>0.91585760517799353</v>
      </c>
      <c r="G12">
        <v>156.19999999999999</v>
      </c>
      <c r="J12" s="31">
        <f t="shared" si="0"/>
        <v>0.91585760517799353</v>
      </c>
      <c r="K12">
        <f t="shared" si="1"/>
        <v>355.78947368421052</v>
      </c>
      <c r="L12">
        <f t="shared" si="2"/>
        <v>0.33609717987782017</v>
      </c>
      <c r="M12">
        <f t="shared" si="3"/>
        <v>1.1174821357585567</v>
      </c>
      <c r="N12" s="12">
        <f t="shared" si="4"/>
        <v>2047.4599026694525</v>
      </c>
      <c r="Q12" s="20" t="s">
        <v>25</v>
      </c>
      <c r="R12" s="9">
        <v>-2.3165487890000001</v>
      </c>
      <c r="S12" s="22"/>
      <c r="T12">
        <f t="shared" si="5"/>
        <v>201.34870528057223</v>
      </c>
      <c r="U12">
        <f t="shared" si="11"/>
        <v>0.94406643882605801</v>
      </c>
      <c r="V12">
        <f t="shared" si="6"/>
        <v>7.7753592386815562</v>
      </c>
      <c r="W12">
        <f t="shared" si="12"/>
        <v>7880.3864560866277</v>
      </c>
      <c r="X12"/>
      <c r="Y12" s="8">
        <f t="shared" si="13"/>
        <v>63.283425572985188</v>
      </c>
      <c r="Z12">
        <f t="shared" si="7"/>
        <v>1126.2783454283303</v>
      </c>
      <c r="AA12"/>
      <c r="AB12">
        <f t="shared" si="8"/>
        <v>0.72420767372612038</v>
      </c>
      <c r="AC12">
        <f t="shared" si="9"/>
        <v>1291.9060910353151</v>
      </c>
      <c r="AK12" s="8">
        <f t="shared" si="10"/>
        <v>-177.04293174279323</v>
      </c>
    </row>
    <row r="13" spans="1:37" ht="18" x14ac:dyDescent="0.25">
      <c r="A13">
        <v>2302</v>
      </c>
      <c r="B13">
        <v>1.1639999999999999</v>
      </c>
      <c r="C13">
        <v>290</v>
      </c>
      <c r="D13">
        <v>0.86025505566035221</v>
      </c>
      <c r="E13">
        <v>28</v>
      </c>
      <c r="F13">
        <v>0.88714733542319746</v>
      </c>
      <c r="G13">
        <v>166</v>
      </c>
      <c r="J13" s="31">
        <f t="shared" si="0"/>
        <v>0.88714733542319746</v>
      </c>
      <c r="K13">
        <f t="shared" si="1"/>
        <v>275.29411764705878</v>
      </c>
      <c r="L13">
        <f t="shared" si="2"/>
        <v>0.40400730995952189</v>
      </c>
      <c r="M13">
        <f t="shared" si="3"/>
        <v>1.4924502419436432</v>
      </c>
      <c r="N13" s="12">
        <f t="shared" si="4"/>
        <v>2311.039548896998</v>
      </c>
      <c r="Q13" s="20" t="s">
        <v>26</v>
      </c>
      <c r="R13" s="9">
        <v>10.60657909</v>
      </c>
      <c r="S13" s="22"/>
      <c r="T13">
        <f t="shared" si="5"/>
        <v>169.62510706911544</v>
      </c>
      <c r="U13">
        <f t="shared" si="11"/>
        <v>0.96094790264763519</v>
      </c>
      <c r="V13">
        <f t="shared" si="6"/>
        <v>8.0012962842758579</v>
      </c>
      <c r="W13">
        <f t="shared" si="12"/>
        <v>7454.0227331127435</v>
      </c>
      <c r="X13"/>
      <c r="Y13" s="8">
        <f t="shared" si="13"/>
        <v>79.270159921799447</v>
      </c>
      <c r="Z13">
        <f t="shared" si="7"/>
        <v>1417.2369105767498</v>
      </c>
      <c r="AA13"/>
      <c r="AB13">
        <f t="shared" si="8"/>
        <v>0.78401984743173592</v>
      </c>
      <c r="AC13">
        <f t="shared" si="9"/>
        <v>1618.9418099590571</v>
      </c>
      <c r="AK13" s="8">
        <f t="shared" si="10"/>
        <v>335.90467267766968</v>
      </c>
    </row>
    <row r="14" spans="1:37" ht="18" x14ac:dyDescent="0.25">
      <c r="A14">
        <v>2333</v>
      </c>
      <c r="B14">
        <v>1.2310000000000001</v>
      </c>
      <c r="C14">
        <v>441</v>
      </c>
      <c r="D14">
        <v>0.85783163803122864</v>
      </c>
      <c r="E14">
        <v>34.6</v>
      </c>
      <c r="F14">
        <v>0.85189644792293806</v>
      </c>
      <c r="G14">
        <v>168</v>
      </c>
      <c r="J14" s="31">
        <f t="shared" si="0"/>
        <v>0.85189644792293806</v>
      </c>
      <c r="K14">
        <f t="shared" si="1"/>
        <v>211.98606271777001</v>
      </c>
      <c r="L14">
        <f t="shared" si="2"/>
        <v>0.45254206746795356</v>
      </c>
      <c r="M14">
        <f t="shared" si="3"/>
        <v>1.8164052539816036</v>
      </c>
      <c r="N14" s="12">
        <f t="shared" si="4"/>
        <v>2519.0496516206886</v>
      </c>
      <c r="Q14" s="20" t="s">
        <v>27</v>
      </c>
      <c r="R14" s="9">
        <v>1.5180304650000001</v>
      </c>
      <c r="S14" s="22"/>
      <c r="T14">
        <f t="shared" si="5"/>
        <v>130.73563280267794</v>
      </c>
      <c r="U14">
        <f t="shared" si="11"/>
        <v>0.96777696624360166</v>
      </c>
      <c r="V14">
        <f t="shared" si="6"/>
        <v>8.0933842008387096</v>
      </c>
      <c r="W14">
        <f t="shared" si="12"/>
        <v>7579.981759329874</v>
      </c>
      <c r="X14"/>
      <c r="Y14" s="8">
        <f t="shared" si="13"/>
        <v>93.441611521105415</v>
      </c>
      <c r="Z14">
        <f t="shared" si="7"/>
        <v>1675.1573296841184</v>
      </c>
      <c r="AA14"/>
      <c r="AB14">
        <f t="shared" si="8"/>
        <v>0.76389208611928738</v>
      </c>
      <c r="AC14">
        <f t="shared" si="9"/>
        <v>2079.3515054159066</v>
      </c>
      <c r="AK14" s="8">
        <f t="shared" si="10"/>
        <v>499.33806829823777</v>
      </c>
    </row>
    <row r="15" spans="1:37" ht="18" x14ac:dyDescent="0.25">
      <c r="A15">
        <v>2860</v>
      </c>
      <c r="B15">
        <v>1.5229999999999999</v>
      </c>
      <c r="C15">
        <v>1069</v>
      </c>
      <c r="D15">
        <v>0.80113981460308914</v>
      </c>
      <c r="E15">
        <v>43.7</v>
      </c>
      <c r="F15">
        <v>0.80764840182648412</v>
      </c>
      <c r="G15">
        <v>171</v>
      </c>
      <c r="J15" s="31">
        <f t="shared" si="0"/>
        <v>0.80764840182648412</v>
      </c>
      <c r="K15">
        <f t="shared" si="1"/>
        <v>160.95238095238093</v>
      </c>
      <c r="L15">
        <f t="shared" si="2"/>
        <v>0.61608300205641287</v>
      </c>
      <c r="M15">
        <f t="shared" si="3"/>
        <v>3.3402858521840204</v>
      </c>
      <c r="N15" s="12">
        <f t="shared" si="4"/>
        <v>3418.9942773236389</v>
      </c>
      <c r="Q15" s="20" t="s">
        <v>31</v>
      </c>
      <c r="R15" s="9">
        <v>635.41523489999997</v>
      </c>
      <c r="S15" s="22"/>
      <c r="T15">
        <f t="shared" si="5"/>
        <v>83.192329445319615</v>
      </c>
      <c r="U15">
        <f t="shared" si="11"/>
        <v>0.97994602796469377</v>
      </c>
      <c r="V15">
        <f t="shared" si="6"/>
        <v>8.2584590630429524</v>
      </c>
      <c r="W15">
        <f t="shared" si="12"/>
        <v>8312.8401358198298</v>
      </c>
      <c r="X15"/>
      <c r="Y15" s="8">
        <f t="shared" si="13"/>
        <v>159.7105456232253</v>
      </c>
      <c r="Z15">
        <f t="shared" si="7"/>
        <v>2881.2519303427002</v>
      </c>
      <c r="AA15"/>
      <c r="AB15">
        <f t="shared" si="8"/>
        <v>0.69033463080205004</v>
      </c>
      <c r="AC15">
        <f t="shared" si="9"/>
        <v>3588.8439784527318</v>
      </c>
      <c r="AK15" s="8">
        <f t="shared" si="10"/>
        <v>1034.3774258375286</v>
      </c>
    </row>
    <row r="16" spans="1:37" x14ac:dyDescent="0.25">
      <c r="A16">
        <v>3740</v>
      </c>
      <c r="B16">
        <v>1.0189999999999999</v>
      </c>
      <c r="C16">
        <v>1958</v>
      </c>
      <c r="D16">
        <v>0.77205273955895881</v>
      </c>
      <c r="E16">
        <v>43.6</v>
      </c>
      <c r="F16">
        <v>0.80810965162764137</v>
      </c>
      <c r="G16">
        <v>180</v>
      </c>
      <c r="J16" s="31">
        <f t="shared" si="0"/>
        <v>0.80810965162764137</v>
      </c>
      <c r="K16">
        <f t="shared" si="1"/>
        <v>161.37931034482759</v>
      </c>
      <c r="L16">
        <f t="shared" si="2"/>
        <v>0.74653813085566378</v>
      </c>
      <c r="M16">
        <f t="shared" si="3"/>
        <v>4.9048310375362698</v>
      </c>
      <c r="N16" s="12">
        <f t="shared" si="4"/>
        <v>4202.2367002372621</v>
      </c>
      <c r="T16">
        <f t="shared" si="5"/>
        <v>83.673531212916004</v>
      </c>
      <c r="U16">
        <f t="shared" si="11"/>
        <v>0.98900726169038733</v>
      </c>
      <c r="V16">
        <f t="shared" si="6"/>
        <v>8.3821864128186796</v>
      </c>
      <c r="W16">
        <f t="shared" si="12"/>
        <v>8852.9735762464334</v>
      </c>
      <c r="X16"/>
      <c r="Y16" s="8">
        <f t="shared" si="13"/>
        <v>278.13621920725836</v>
      </c>
      <c r="Z16">
        <f t="shared" si="7"/>
        <v>5036.5991895721027</v>
      </c>
      <c r="AA16"/>
      <c r="AB16">
        <f t="shared" si="8"/>
        <v>0.66551492504791954</v>
      </c>
      <c r="AC16">
        <f t="shared" si="9"/>
        <v>6304.8457130640509</v>
      </c>
      <c r="AK16" s="8">
        <f t="shared" si="10"/>
        <v>1705.4745384084147</v>
      </c>
    </row>
    <row r="17" spans="1:37" x14ac:dyDescent="0.25">
      <c r="A17">
        <v>348.78500000000003</v>
      </c>
      <c r="B17">
        <v>1.0509999999999999</v>
      </c>
      <c r="C17">
        <v>40</v>
      </c>
      <c r="D17">
        <v>0.92745604866019027</v>
      </c>
      <c r="E17">
        <v>26.1</v>
      </c>
      <c r="F17">
        <v>0.89784263959390864</v>
      </c>
      <c r="G17">
        <v>152.69999999999999</v>
      </c>
      <c r="J17" s="31">
        <f t="shared" si="0"/>
        <v>0.89784263959390864</v>
      </c>
      <c r="K17">
        <f t="shared" si="1"/>
        <v>301.18811881188117</v>
      </c>
      <c r="L17">
        <f t="shared" si="2"/>
        <v>9.1797222164596626E-2</v>
      </c>
      <c r="M17">
        <f t="shared" si="3"/>
        <v>0.27423874101678625</v>
      </c>
      <c r="N17" s="12">
        <f t="shared" si="4"/>
        <v>1829.2098297211699</v>
      </c>
      <c r="T17">
        <f t="shared" si="5"/>
        <v>181.45756911347777</v>
      </c>
      <c r="U17">
        <f t="shared" si="11"/>
        <v>0.78201872079461632</v>
      </c>
      <c r="V17">
        <f t="shared" si="6"/>
        <v>5.734166586693707</v>
      </c>
      <c r="W17">
        <f t="shared" si="12"/>
        <v>4872.6665300811692</v>
      </c>
      <c r="X17"/>
      <c r="Y17" s="8">
        <f t="shared" si="13"/>
        <v>14.776219105781731</v>
      </c>
      <c r="Z17">
        <f t="shared" si="7"/>
        <v>243.44718772522748</v>
      </c>
      <c r="AA17"/>
      <c r="AB17">
        <f t="shared" si="8"/>
        <v>0.85084274833050477</v>
      </c>
      <c r="AC17">
        <f t="shared" si="9"/>
        <v>258.15457109868339</v>
      </c>
      <c r="AK17" s="8" t="e">
        <f t="shared" si="10"/>
        <v>#NUM!</v>
      </c>
    </row>
    <row r="18" spans="1:37" x14ac:dyDescent="0.25">
      <c r="A18">
        <v>3264</v>
      </c>
      <c r="B18">
        <v>1.91</v>
      </c>
      <c r="C18">
        <v>1428</v>
      </c>
      <c r="D18">
        <v>0.84230141404901993</v>
      </c>
      <c r="E18">
        <v>43</v>
      </c>
      <c r="F18">
        <v>0.81088825214899718</v>
      </c>
      <c r="G18">
        <v>198</v>
      </c>
      <c r="J18" s="31">
        <f t="shared" si="0"/>
        <v>0.81088825214899718</v>
      </c>
      <c r="K18">
        <f t="shared" si="1"/>
        <v>163.98921832884096</v>
      </c>
      <c r="L18">
        <f t="shared" si="2"/>
        <v>0.68507531109983522</v>
      </c>
      <c r="M18">
        <f t="shared" si="3"/>
        <v>4.0986071539126439</v>
      </c>
      <c r="N18" s="12">
        <f t="shared" si="4"/>
        <v>3934.2303258395777</v>
      </c>
      <c r="T18">
        <f t="shared" si="5"/>
        <v>86.580877708687623</v>
      </c>
      <c r="U18">
        <f t="shared" si="11"/>
        <v>0.9854361496694628</v>
      </c>
      <c r="V18">
        <f t="shared" si="6"/>
        <v>8.3333420035845975</v>
      </c>
      <c r="W18">
        <f t="shared" si="12"/>
        <v>8245.4262424107765</v>
      </c>
      <c r="X18"/>
      <c r="Y18" s="8">
        <f t="shared" si="13"/>
        <v>210.36155014784501</v>
      </c>
      <c r="Z18">
        <f t="shared" si="7"/>
        <v>3803.1002126907788</v>
      </c>
      <c r="AA18"/>
      <c r="AB18">
        <f t="shared" si="8"/>
        <v>0.72766929748921827</v>
      </c>
      <c r="AC18">
        <f t="shared" si="9"/>
        <v>4740.4530993218714</v>
      </c>
      <c r="AK18" s="8">
        <f t="shared" si="10"/>
        <v>1412.336772159425</v>
      </c>
    </row>
    <row r="19" spans="1:37" x14ac:dyDescent="0.25">
      <c r="A19">
        <v>1005</v>
      </c>
      <c r="B19">
        <v>1.105</v>
      </c>
      <c r="C19">
        <v>129.30000000000001</v>
      </c>
      <c r="D19">
        <v>0.8756363821172134</v>
      </c>
      <c r="E19">
        <v>26.7</v>
      </c>
      <c r="F19">
        <f t="shared" ref="F19:F34" si="14">141.5/(E19+131.5)</f>
        <v>0.89443742098609358</v>
      </c>
      <c r="G19">
        <v>149.6</v>
      </c>
      <c r="J19" s="31">
        <f t="shared" si="0"/>
        <v>0.89443742098609358</v>
      </c>
      <c r="K19">
        <f t="shared" si="1"/>
        <v>292.50000000000006</v>
      </c>
      <c r="L19">
        <f t="shared" si="2"/>
        <v>0.24156833431019548</v>
      </c>
      <c r="M19">
        <f t="shared" si="3"/>
        <v>0.71599365030879336</v>
      </c>
      <c r="N19" s="12">
        <f t="shared" si="4"/>
        <v>1805.6312430751718</v>
      </c>
      <c r="T19">
        <f t="shared" si="5"/>
        <v>177.69114978915215</v>
      </c>
      <c r="U19">
        <f t="shared" si="11"/>
        <v>0.91935016266424641</v>
      </c>
      <c r="V19">
        <f t="shared" si="6"/>
        <v>7.4489775665052393</v>
      </c>
      <c r="W19">
        <f t="shared" si="12"/>
        <v>6678.0697942175975</v>
      </c>
      <c r="X19"/>
      <c r="Y19" s="8">
        <f t="shared" si="13"/>
        <v>40.075968204774533</v>
      </c>
      <c r="Z19">
        <f t="shared" si="7"/>
        <v>703.90262132689645</v>
      </c>
      <c r="AA19"/>
      <c r="AB19">
        <f t="shared" si="8"/>
        <v>0.80164086915761212</v>
      </c>
      <c r="AC19">
        <f t="shared" si="9"/>
        <v>774.73204971615667</v>
      </c>
      <c r="AK19" s="8">
        <f t="shared" si="10"/>
        <v>-813.85179714242099</v>
      </c>
    </row>
    <row r="20" spans="1:37" x14ac:dyDescent="0.25">
      <c r="A20">
        <v>302.86500000000001</v>
      </c>
      <c r="B20">
        <v>1.0489999999999999</v>
      </c>
      <c r="C20">
        <v>30</v>
      </c>
      <c r="D20">
        <v>0.95809382507979579</v>
      </c>
      <c r="E20">
        <v>23.7</v>
      </c>
      <c r="F20">
        <f t="shared" si="14"/>
        <v>0.91172680412371143</v>
      </c>
      <c r="G20">
        <v>147.75</v>
      </c>
      <c r="J20" s="31">
        <f t="shared" si="0"/>
        <v>0.91172680412371143</v>
      </c>
      <c r="K20">
        <f t="shared" si="1"/>
        <v>341.79775280898883</v>
      </c>
      <c r="L20">
        <f t="shared" si="2"/>
        <v>7.8101264781884241E-2</v>
      </c>
      <c r="M20">
        <f t="shared" si="3"/>
        <v>0.24090356895482168</v>
      </c>
      <c r="N20" s="12">
        <f t="shared" si="4"/>
        <v>1873.372768204498</v>
      </c>
      <c r="T20">
        <f t="shared" si="5"/>
        <v>196.79463726874272</v>
      </c>
      <c r="U20">
        <f t="shared" si="11"/>
        <v>0.74184511382196405</v>
      </c>
      <c r="V20">
        <f t="shared" si="6"/>
        <v>5.2653901794598665</v>
      </c>
      <c r="W20">
        <f t="shared" si="12"/>
        <v>4304.0362319352134</v>
      </c>
      <c r="Y20" s="8">
        <f t="shared" si="13"/>
        <v>12.0128061036262</v>
      </c>
      <c r="Z20">
        <f t="shared" si="7"/>
        <v>193.15307108599683</v>
      </c>
      <c r="AA20"/>
      <c r="AB20">
        <f t="shared" si="8"/>
        <v>0.8862272889323034</v>
      </c>
      <c r="AC20">
        <f t="shared" si="9"/>
        <v>208.09392696715508</v>
      </c>
      <c r="AK20" s="8" t="e">
        <f t="shared" si="10"/>
        <v>#NUM!</v>
      </c>
    </row>
    <row r="21" spans="1:37" x14ac:dyDescent="0.25">
      <c r="A21">
        <v>2105</v>
      </c>
      <c r="B21">
        <v>1.349</v>
      </c>
      <c r="C21">
        <v>243</v>
      </c>
      <c r="D21">
        <v>0.80757023172148901</v>
      </c>
      <c r="E21">
        <v>25.6</v>
      </c>
      <c r="F21">
        <f t="shared" si="14"/>
        <v>0.90070019096117127</v>
      </c>
      <c r="G21">
        <v>165</v>
      </c>
      <c r="J21" s="31">
        <f t="shared" si="0"/>
        <v>0.90070019096117127</v>
      </c>
      <c r="K21">
        <f t="shared" si="1"/>
        <v>308.83248730964465</v>
      </c>
      <c r="L21">
        <f t="shared" si="2"/>
        <v>0.38560670585124363</v>
      </c>
      <c r="M21">
        <f t="shared" si="3"/>
        <v>1.382482760149975</v>
      </c>
      <c r="N21" s="12">
        <f t="shared" si="4"/>
        <v>2239.3249880949638</v>
      </c>
      <c r="T21">
        <f t="shared" si="5"/>
        <v>184.61712106199425</v>
      </c>
      <c r="U21">
        <f t="shared" si="11"/>
        <v>0.95671651908868394</v>
      </c>
      <c r="V21">
        <f t="shared" si="6"/>
        <v>7.9444361979262288</v>
      </c>
      <c r="W21">
        <f t="shared" si="12"/>
        <v>7874.0492352672482</v>
      </c>
      <c r="Y21" s="8">
        <f t="shared" si="13"/>
        <v>77.133592051119138</v>
      </c>
      <c r="Z21">
        <f t="shared" si="7"/>
        <v>1378.3513753303682</v>
      </c>
      <c r="AA21"/>
      <c r="AB21">
        <f t="shared" si="8"/>
        <v>0.74213817178193198</v>
      </c>
      <c r="AC21">
        <f t="shared" si="9"/>
        <v>1582.3850223614609</v>
      </c>
      <c r="AK21" s="8">
        <f t="shared" si="10"/>
        <v>230.53071537944209</v>
      </c>
    </row>
    <row r="22" spans="1:37" x14ac:dyDescent="0.25">
      <c r="A22">
        <v>2975</v>
      </c>
      <c r="B22">
        <v>1.7390000000000001</v>
      </c>
      <c r="C22">
        <v>1262</v>
      </c>
      <c r="D22">
        <v>0.65002619805475581</v>
      </c>
      <c r="E22">
        <v>41.9</v>
      </c>
      <c r="F22">
        <f t="shared" si="14"/>
        <v>0.81603229527104959</v>
      </c>
      <c r="G22">
        <v>171</v>
      </c>
      <c r="J22" s="31">
        <f t="shared" si="0"/>
        <v>0.81603229527104959</v>
      </c>
      <c r="K22">
        <f t="shared" si="1"/>
        <v>169</v>
      </c>
      <c r="L22">
        <f t="shared" si="2"/>
        <v>0.6631564826457238</v>
      </c>
      <c r="M22">
        <f t="shared" si="3"/>
        <v>3.8421175993444354</v>
      </c>
      <c r="N22" s="12">
        <f t="shared" si="4"/>
        <v>3653.4957005629508</v>
      </c>
      <c r="T22">
        <f t="shared" si="5"/>
        <v>91.999742014716091</v>
      </c>
      <c r="U22">
        <f t="shared" si="11"/>
        <v>0.98440900400539444</v>
      </c>
      <c r="V22">
        <f t="shared" si="6"/>
        <v>8.3193128967314625</v>
      </c>
      <c r="W22">
        <f t="shared" si="12"/>
        <v>10320.846581108375</v>
      </c>
      <c r="Y22" s="8">
        <f t="shared" si="13"/>
        <v>229.61838097888833</v>
      </c>
      <c r="Z22">
        <f t="shared" si="7"/>
        <v>4153.5745338157676</v>
      </c>
      <c r="AA22"/>
      <c r="AB22">
        <f t="shared" si="8"/>
        <v>0.56382462140284262</v>
      </c>
      <c r="AC22">
        <f t="shared" si="9"/>
        <v>5184.6862882009837</v>
      </c>
      <c r="AK22" s="8">
        <f t="shared" si="10"/>
        <v>1289.8434376003779</v>
      </c>
    </row>
    <row r="23" spans="1:37" x14ac:dyDescent="0.25">
      <c r="A23">
        <v>1898</v>
      </c>
      <c r="B23">
        <v>1.2549999999999999</v>
      </c>
      <c r="C23">
        <v>525</v>
      </c>
      <c r="D23">
        <v>0.91923240349209867</v>
      </c>
      <c r="E23">
        <v>39.5</v>
      </c>
      <c r="F23">
        <f t="shared" si="14"/>
        <v>0.82748538011695905</v>
      </c>
      <c r="G23">
        <v>148</v>
      </c>
      <c r="J23" s="31">
        <f t="shared" si="0"/>
        <v>0.82748538011695905</v>
      </c>
      <c r="K23">
        <f t="shared" si="1"/>
        <v>181.07142857142856</v>
      </c>
      <c r="L23">
        <f t="shared" si="2"/>
        <v>0.46391113773425735</v>
      </c>
      <c r="M23">
        <f t="shared" si="3"/>
        <v>1.900022706960562</v>
      </c>
      <c r="N23" s="12">
        <f t="shared" si="4"/>
        <v>2488.5235616191317</v>
      </c>
      <c r="T23">
        <f t="shared" si="5"/>
        <v>104.21234263576004</v>
      </c>
      <c r="U23">
        <f t="shared" si="11"/>
        <v>0.9670417611409976</v>
      </c>
      <c r="V23">
        <f t="shared" si="6"/>
        <v>8.0834511702752216</v>
      </c>
      <c r="W23">
        <f t="shared" si="12"/>
        <v>6889.1161509389458</v>
      </c>
      <c r="Y23" s="8">
        <f t="shared" si="13"/>
        <v>84.921802173863171</v>
      </c>
      <c r="Z23">
        <f t="shared" si="7"/>
        <v>1520.0967995643095</v>
      </c>
      <c r="AA23"/>
      <c r="AB23">
        <f t="shared" si="8"/>
        <v>0.80431316311392853</v>
      </c>
      <c r="AC23">
        <f t="shared" si="9"/>
        <v>1889.8264209781958</v>
      </c>
      <c r="AK23" s="8">
        <f t="shared" si="10"/>
        <v>457.78383585719695</v>
      </c>
    </row>
    <row r="24" spans="1:37" x14ac:dyDescent="0.25">
      <c r="A24">
        <v>2511</v>
      </c>
      <c r="B24">
        <v>1.278</v>
      </c>
      <c r="C24">
        <v>562</v>
      </c>
      <c r="D24">
        <v>0.92803077843845605</v>
      </c>
      <c r="E24">
        <v>37.9</v>
      </c>
      <c r="F24">
        <f t="shared" si="14"/>
        <v>0.83530106257378978</v>
      </c>
      <c r="G24">
        <v>160</v>
      </c>
      <c r="J24" s="31">
        <f t="shared" si="0"/>
        <v>0.83530106257378978</v>
      </c>
      <c r="K24">
        <f t="shared" si="1"/>
        <v>190.125</v>
      </c>
      <c r="L24">
        <f t="shared" si="2"/>
        <v>0.49072258051035794</v>
      </c>
      <c r="M24">
        <f t="shared" si="3"/>
        <v>2.1099635013660838</v>
      </c>
      <c r="N24" s="12">
        <f t="shared" si="4"/>
        <v>2664.0986931695329</v>
      </c>
      <c r="T24">
        <f t="shared" si="5"/>
        <v>112.64304323302832</v>
      </c>
      <c r="U24">
        <f t="shared" si="11"/>
        <v>0.97112549167487872</v>
      </c>
      <c r="V24">
        <f t="shared" si="6"/>
        <v>8.1386825558723199</v>
      </c>
      <c r="W24">
        <f t="shared" si="12"/>
        <v>6975.6652983519807</v>
      </c>
      <c r="Y24" s="8">
        <f t="shared" si="13"/>
        <v>95.731390378966196</v>
      </c>
      <c r="Z24">
        <f t="shared" si="7"/>
        <v>1716.8313048971845</v>
      </c>
      <c r="AA24"/>
      <c r="AB24">
        <f t="shared" si="8"/>
        <v>0.8167111069978068</v>
      </c>
      <c r="AC24">
        <f t="shared" si="9"/>
        <v>2134.7529813266219</v>
      </c>
      <c r="AK24" s="8">
        <f t="shared" si="10"/>
        <v>604.48472397782064</v>
      </c>
    </row>
    <row r="25" spans="1:37" x14ac:dyDescent="0.25">
      <c r="A25">
        <v>5503</v>
      </c>
      <c r="B25">
        <v>1.7304999999999999</v>
      </c>
      <c r="C25">
        <v>1314.9</v>
      </c>
      <c r="D25">
        <v>0.73741363954113825</v>
      </c>
      <c r="E25">
        <v>35.9</v>
      </c>
      <c r="F25">
        <f t="shared" si="14"/>
        <v>0.84528076463560331</v>
      </c>
      <c r="G25">
        <v>204</v>
      </c>
      <c r="J25" s="31">
        <f t="shared" si="0"/>
        <v>0.84528076463560331</v>
      </c>
      <c r="K25">
        <f t="shared" si="1"/>
        <v>202.8</v>
      </c>
      <c r="L25">
        <f t="shared" si="2"/>
        <v>0.70382140532730231</v>
      </c>
      <c r="M25">
        <f t="shared" si="3"/>
        <v>4.330413247678079</v>
      </c>
      <c r="N25" s="12">
        <f t="shared" si="4"/>
        <v>4082.9423620937141</v>
      </c>
      <c r="T25">
        <f t="shared" si="5"/>
        <v>123.4969190469147</v>
      </c>
      <c r="U25">
        <f t="shared" si="11"/>
        <v>0.98840623444225628</v>
      </c>
      <c r="V25">
        <f t="shared" si="6"/>
        <v>8.3739582848522502</v>
      </c>
      <c r="W25">
        <f t="shared" si="12"/>
        <v>9532.2730470459537</v>
      </c>
      <c r="Y25" s="8">
        <f t="shared" si="13"/>
        <v>272.50262745066954</v>
      </c>
      <c r="Z25">
        <f t="shared" si="7"/>
        <v>4934.0678196021854</v>
      </c>
      <c r="AA25"/>
      <c r="AB25">
        <f t="shared" si="8"/>
        <v>0.65362677459244056</v>
      </c>
      <c r="AC25">
        <f t="shared" si="9"/>
        <v>6076.9398772203213</v>
      </c>
      <c r="AK25" s="8">
        <f t="shared" si="10"/>
        <v>1702.6870784636494</v>
      </c>
    </row>
    <row r="26" spans="1:37" x14ac:dyDescent="0.25">
      <c r="A26">
        <v>2271</v>
      </c>
      <c r="B26">
        <v>1.224</v>
      </c>
      <c r="C26">
        <v>465.5</v>
      </c>
      <c r="D26">
        <v>0.72661769747663696</v>
      </c>
      <c r="E26">
        <v>38.200000000000003</v>
      </c>
      <c r="F26">
        <f t="shared" si="14"/>
        <v>0.83382439599292879</v>
      </c>
      <c r="G26">
        <v>191</v>
      </c>
      <c r="J26" s="31">
        <f t="shared" si="0"/>
        <v>0.83382439599292879</v>
      </c>
      <c r="K26">
        <f t="shared" si="1"/>
        <v>188.35913312693495</v>
      </c>
      <c r="L26">
        <f t="shared" si="2"/>
        <v>0.44199591870835564</v>
      </c>
      <c r="M26">
        <f t="shared" si="3"/>
        <v>1.7415716212605505</v>
      </c>
      <c r="N26" s="12">
        <f t="shared" si="4"/>
        <v>2563.5225322968449</v>
      </c>
      <c r="T26">
        <f t="shared" si="5"/>
        <v>111.04500675267137</v>
      </c>
      <c r="U26">
        <f t="shared" si="11"/>
        <v>0.96492588398968071</v>
      </c>
      <c r="V26">
        <f t="shared" si="6"/>
        <v>8.05489006491967</v>
      </c>
      <c r="W26">
        <f t="shared" si="12"/>
        <v>9161.1914879189935</v>
      </c>
      <c r="Y26" s="8">
        <f t="shared" si="13"/>
        <v>106.12052323098219</v>
      </c>
      <c r="Z26">
        <f t="shared" si="7"/>
        <v>1905.9135228038756</v>
      </c>
      <c r="AA26"/>
      <c r="AB26">
        <f t="shared" si="8"/>
        <v>0.63876812342048161</v>
      </c>
      <c r="AC26">
        <f t="shared" si="9"/>
        <v>2353.8795176642261</v>
      </c>
      <c r="AK26" s="8">
        <f t="shared" si="10"/>
        <v>410.25958917395269</v>
      </c>
    </row>
    <row r="27" spans="1:37" x14ac:dyDescent="0.25">
      <c r="A27">
        <v>3303</v>
      </c>
      <c r="B27">
        <v>1.143</v>
      </c>
      <c r="C27">
        <v>752</v>
      </c>
      <c r="D27">
        <v>0.7926951382973586</v>
      </c>
      <c r="E27">
        <v>32</v>
      </c>
      <c r="F27">
        <f t="shared" si="14"/>
        <v>0.86544342507645255</v>
      </c>
      <c r="G27">
        <v>210</v>
      </c>
      <c r="J27" s="31">
        <f t="shared" si="0"/>
        <v>0.86544342507645255</v>
      </c>
      <c r="K27">
        <f t="shared" si="1"/>
        <v>233.10344827586206</v>
      </c>
      <c r="L27">
        <f t="shared" si="2"/>
        <v>0.60407446666448561</v>
      </c>
      <c r="M27">
        <f t="shared" si="3"/>
        <v>3.222218494333223</v>
      </c>
      <c r="N27" s="12">
        <f t="shared" si="4"/>
        <v>3571.7409406809056</v>
      </c>
      <c r="T27">
        <f t="shared" si="5"/>
        <v>145.6359793329415</v>
      </c>
      <c r="U27">
        <f t="shared" si="11"/>
        <v>0.98250460878317381</v>
      </c>
      <c r="V27">
        <f t="shared" si="6"/>
        <v>8.2933254784272616</v>
      </c>
      <c r="W27">
        <f t="shared" si="12"/>
        <v>8844.8930348007671</v>
      </c>
      <c r="Y27" s="8">
        <f t="shared" si="13"/>
        <v>182.85324256714</v>
      </c>
      <c r="Z27">
        <f t="shared" si="7"/>
        <v>3302.4490147219476</v>
      </c>
      <c r="AA27"/>
      <c r="AB27">
        <f t="shared" si="8"/>
        <v>0.712411601080567</v>
      </c>
      <c r="AC27">
        <f t="shared" si="9"/>
        <v>4008.0885820875524</v>
      </c>
      <c r="AK27" s="8">
        <f t="shared" si="10"/>
        <v>1292.8107895384157</v>
      </c>
    </row>
    <row r="28" spans="1:37" x14ac:dyDescent="0.25">
      <c r="A28">
        <v>1761</v>
      </c>
      <c r="B28">
        <v>1.113</v>
      </c>
      <c r="C28">
        <v>221</v>
      </c>
      <c r="D28">
        <v>0.75293986820479952</v>
      </c>
      <c r="E28">
        <v>25.3</v>
      </c>
      <c r="F28">
        <f t="shared" si="14"/>
        <v>0.90242346938775508</v>
      </c>
      <c r="G28">
        <v>146</v>
      </c>
      <c r="J28" s="31">
        <f t="shared" si="0"/>
        <v>0.90242346938775508</v>
      </c>
      <c r="K28">
        <f t="shared" si="1"/>
        <v>313.60824742268045</v>
      </c>
      <c r="L28">
        <f t="shared" si="2"/>
        <v>0.36649525311955072</v>
      </c>
      <c r="M28">
        <f t="shared" si="3"/>
        <v>1.2750718839532991</v>
      </c>
      <c r="N28" s="12">
        <f t="shared" si="4"/>
        <v>2106.940066343047</v>
      </c>
      <c r="T28">
        <f t="shared" si="5"/>
        <v>186.52191385008359</v>
      </c>
      <c r="U28">
        <f t="shared" si="11"/>
        <v>0.95298760286282402</v>
      </c>
      <c r="V28">
        <f t="shared" si="6"/>
        <v>7.8944545696570598</v>
      </c>
      <c r="W28">
        <f t="shared" si="12"/>
        <v>8193.0142531355832</v>
      </c>
      <c r="Y28" s="8">
        <f t="shared" si="13"/>
        <v>73.239360478989084</v>
      </c>
      <c r="Z28">
        <f t="shared" si="7"/>
        <v>1307.4763607176012</v>
      </c>
      <c r="AA28"/>
      <c r="AB28">
        <f t="shared" si="8"/>
        <v>0.69264905513053077</v>
      </c>
      <c r="AC28">
        <f t="shared" si="9"/>
        <v>1516.9509277090719</v>
      </c>
      <c r="AK28" s="8">
        <f t="shared" si="10"/>
        <v>104.33997038165009</v>
      </c>
    </row>
    <row r="29" spans="1:37" x14ac:dyDescent="0.25">
      <c r="A29">
        <v>3109</v>
      </c>
      <c r="B29">
        <v>1.5669999999999999</v>
      </c>
      <c r="C29">
        <v>964</v>
      </c>
      <c r="D29">
        <v>0.88258029928673554</v>
      </c>
      <c r="E29">
        <v>41.2</v>
      </c>
      <c r="F29">
        <f t="shared" si="14"/>
        <v>0.8193398957730168</v>
      </c>
      <c r="G29">
        <v>190</v>
      </c>
      <c r="J29" s="31">
        <f t="shared" si="0"/>
        <v>0.8193398957730168</v>
      </c>
      <c r="K29">
        <f t="shared" si="1"/>
        <v>172.3512747875354</v>
      </c>
      <c r="L29">
        <f t="shared" si="2"/>
        <v>0.60434955302748161</v>
      </c>
      <c r="M29">
        <f t="shared" si="3"/>
        <v>3.2248802303619715</v>
      </c>
      <c r="N29" s="12">
        <f t="shared" si="4"/>
        <v>3466.3419326594194</v>
      </c>
      <c r="T29">
        <f t="shared" si="5"/>
        <v>95.507092980202586</v>
      </c>
      <c r="U29">
        <f t="shared" si="11"/>
        <v>0.98034081868348377</v>
      </c>
      <c r="V29">
        <f t="shared" si="6"/>
        <v>8.2638353783005662</v>
      </c>
      <c r="W29">
        <f t="shared" si="12"/>
        <v>7728.5835923002314</v>
      </c>
      <c r="Y29" s="8">
        <f t="shared" si="13"/>
        <v>151.25436896591722</v>
      </c>
      <c r="Z29">
        <f t="shared" si="7"/>
        <v>2727.3495151796933</v>
      </c>
      <c r="AA29"/>
      <c r="AB29">
        <f t="shared" si="8"/>
        <v>0.7674944913453442</v>
      </c>
      <c r="AC29">
        <f t="shared" si="9"/>
        <v>3386.5837324060362</v>
      </c>
      <c r="AK29" s="8">
        <f t="shared" si="10"/>
        <v>1058.0664235607128</v>
      </c>
    </row>
    <row r="30" spans="1:37" x14ac:dyDescent="0.25">
      <c r="A30">
        <v>132.51</v>
      </c>
      <c r="B30">
        <v>1.034</v>
      </c>
      <c r="C30">
        <v>10</v>
      </c>
      <c r="D30">
        <v>0.8521680369045489</v>
      </c>
      <c r="E30">
        <v>19</v>
      </c>
      <c r="F30">
        <f t="shared" si="14"/>
        <v>0.94019933554817281</v>
      </c>
      <c r="G30">
        <v>135.79</v>
      </c>
      <c r="J30" s="31">
        <f t="shared" si="0"/>
        <v>0.94019933554817281</v>
      </c>
      <c r="K30">
        <f t="shared" si="1"/>
        <v>464.42748091603056</v>
      </c>
      <c r="L30">
        <f t="shared" si="2"/>
        <v>3.5874085514178734E-2</v>
      </c>
      <c r="M30">
        <f t="shared" si="3"/>
        <v>0.13763720599625581</v>
      </c>
      <c r="N30" s="12">
        <f t="shared" si="4"/>
        <v>2284.3179109254788</v>
      </c>
      <c r="T30">
        <f t="shared" si="5"/>
        <v>228.05535310336575</v>
      </c>
      <c r="U30">
        <f t="shared" si="11"/>
        <v>0.51840282603497401</v>
      </c>
      <c r="V30">
        <f t="shared" si="6"/>
        <v>2.9545718048216769</v>
      </c>
      <c r="W30">
        <f t="shared" si="12"/>
        <v>2673.8637734445342</v>
      </c>
      <c r="Y30" s="8">
        <f t="shared" si="13"/>
        <v>5.9392683785873706</v>
      </c>
      <c r="Z30" t="str">
        <f>IF(E30&gt;20,18.2*(Y30-1.4), "0")</f>
        <v>0</v>
      </c>
      <c r="AA30"/>
      <c r="AB30">
        <f t="shared" si="8"/>
        <v>0.80092331182800536</v>
      </c>
      <c r="AC30">
        <f t="shared" si="9"/>
        <v>98.807098375898676</v>
      </c>
      <c r="AK30" s="8" t="e">
        <f t="shared" si="10"/>
        <v>#NUM!</v>
      </c>
    </row>
    <row r="31" spans="1:37" x14ac:dyDescent="0.25">
      <c r="A31">
        <v>138.29</v>
      </c>
      <c r="B31">
        <v>1.0389999999999999</v>
      </c>
      <c r="C31">
        <v>11</v>
      </c>
      <c r="D31">
        <v>0.90914436110458996</v>
      </c>
      <c r="E31">
        <v>21.8</v>
      </c>
      <c r="F31">
        <f t="shared" si="14"/>
        <v>0.92302674494455306</v>
      </c>
      <c r="G31">
        <v>139.69999999999999</v>
      </c>
      <c r="J31" s="31">
        <f t="shared" si="0"/>
        <v>0.92302674494455306</v>
      </c>
      <c r="K31">
        <f t="shared" si="1"/>
        <v>382.64150943396226</v>
      </c>
      <c r="L31">
        <f t="shared" si="2"/>
        <v>3.3208733480383321E-2</v>
      </c>
      <c r="M31">
        <f t="shared" si="3"/>
        <v>0.13073923756911443</v>
      </c>
      <c r="N31" s="12">
        <f t="shared" si="4"/>
        <v>2359.3801046779899</v>
      </c>
      <c r="T31">
        <f t="shared" si="5"/>
        <v>209.23931069849382</v>
      </c>
      <c r="U31">
        <f t="shared" si="11"/>
        <v>0.52529805437740151</v>
      </c>
      <c r="V31">
        <f t="shared" si="6"/>
        <v>3.0178641233715537</v>
      </c>
      <c r="W31">
        <f t="shared" si="12"/>
        <v>2572.9604218645295</v>
      </c>
      <c r="Y31" s="8">
        <f t="shared" si="13"/>
        <v>5.6665361495050401</v>
      </c>
      <c r="Z31">
        <f t="shared" si="7"/>
        <v>77.650957920991715</v>
      </c>
      <c r="AA31"/>
      <c r="AB31">
        <f t="shared" si="8"/>
        <v>0.84641661703722926</v>
      </c>
      <c r="AC31">
        <f t="shared" si="9"/>
        <v>92.284252376953262</v>
      </c>
      <c r="AK31" s="8" t="e">
        <f t="shared" si="10"/>
        <v>#NUM!</v>
      </c>
    </row>
    <row r="32" spans="1:37" x14ac:dyDescent="0.25">
      <c r="A32">
        <v>2908</v>
      </c>
      <c r="B32">
        <v>1.2889999999999999</v>
      </c>
      <c r="C32">
        <v>529</v>
      </c>
      <c r="D32">
        <v>0.65</v>
      </c>
      <c r="E32">
        <v>36.700000000000003</v>
      </c>
      <c r="F32">
        <f t="shared" si="14"/>
        <v>0.84126040428061832</v>
      </c>
      <c r="G32">
        <v>207</v>
      </c>
      <c r="J32" s="31">
        <f t="shared" si="0"/>
        <v>0.84126040428061832</v>
      </c>
      <c r="K32">
        <f t="shared" si="1"/>
        <v>197.53246753246751</v>
      </c>
      <c r="L32">
        <f t="shared" si="2"/>
        <v>0.48337733377727865</v>
      </c>
      <c r="M32">
        <f t="shared" si="3"/>
        <v>2.050608512111014</v>
      </c>
      <c r="N32" s="12">
        <f t="shared" si="4"/>
        <v>2827.8852537240241</v>
      </c>
      <c r="T32">
        <f t="shared" si="5"/>
        <v>119.11386343835285</v>
      </c>
      <c r="U32">
        <f t="shared" si="11"/>
        <v>0.97079371482346322</v>
      </c>
      <c r="V32">
        <f t="shared" si="6"/>
        <v>8.1341900917924459</v>
      </c>
      <c r="W32">
        <f t="shared" si="12"/>
        <v>10542.101010613207</v>
      </c>
      <c r="Y32" s="8">
        <f t="shared" si="13"/>
        <v>139.75589049163523</v>
      </c>
      <c r="Z32">
        <f t="shared" si="7"/>
        <v>2518.0772069477607</v>
      </c>
      <c r="AA32"/>
      <c r="AB32">
        <f t="shared" si="8"/>
        <v>0.57449951407153776</v>
      </c>
      <c r="AC32">
        <f t="shared" si="9"/>
        <v>3085.9170265011116</v>
      </c>
      <c r="AK32" s="8">
        <f t="shared" si="10"/>
        <v>628.16797198616212</v>
      </c>
    </row>
    <row r="33" spans="1:37" x14ac:dyDescent="0.25">
      <c r="A33">
        <v>2851</v>
      </c>
      <c r="B33">
        <v>1.379</v>
      </c>
      <c r="C33">
        <v>700</v>
      </c>
      <c r="D33">
        <v>0.65001356018585665</v>
      </c>
      <c r="E33">
        <v>40</v>
      </c>
      <c r="F33">
        <f t="shared" si="14"/>
        <v>0.82507288629737607</v>
      </c>
      <c r="G33">
        <v>185</v>
      </c>
      <c r="J33" s="31">
        <f t="shared" si="0"/>
        <v>0.82507288629737607</v>
      </c>
      <c r="K33">
        <f t="shared" si="1"/>
        <v>178.41642228739002</v>
      </c>
      <c r="L33">
        <f t="shared" si="2"/>
        <v>0.53275889313001668</v>
      </c>
      <c r="M33">
        <f t="shared" si="3"/>
        <v>2.4783938226493958</v>
      </c>
      <c r="N33" s="12">
        <f t="shared" si="4"/>
        <v>2998.6785367277243</v>
      </c>
      <c r="T33">
        <f t="shared" si="5"/>
        <v>101.62469289111324</v>
      </c>
      <c r="U33">
        <f t="shared" si="11"/>
        <v>0.97453010301070464</v>
      </c>
      <c r="V33">
        <f t="shared" si="6"/>
        <v>8.184836881304955</v>
      </c>
      <c r="W33">
        <f t="shared" si="12"/>
        <v>10330.499675535993</v>
      </c>
      <c r="Y33" s="8">
        <f t="shared" si="13"/>
        <v>153.12840797546849</v>
      </c>
      <c r="Z33">
        <f t="shared" si="7"/>
        <v>2761.4570251535265</v>
      </c>
      <c r="AA33"/>
      <c r="AB33">
        <f t="shared" si="8"/>
        <v>0.56772248551954452</v>
      </c>
      <c r="AC33">
        <f t="shared" si="9"/>
        <v>3427.4892450943671</v>
      </c>
      <c r="AK33" s="8">
        <f t="shared" si="10"/>
        <v>765.28958346843228</v>
      </c>
    </row>
    <row r="34" spans="1:37" x14ac:dyDescent="0.25">
      <c r="A34">
        <v>2195</v>
      </c>
      <c r="B34">
        <v>1.18</v>
      </c>
      <c r="C34">
        <v>616.9</v>
      </c>
      <c r="D34">
        <v>0.67419223639400838</v>
      </c>
      <c r="E34">
        <v>38.200000000000003</v>
      </c>
      <c r="F34">
        <f t="shared" si="14"/>
        <v>0.83382439599292879</v>
      </c>
      <c r="G34">
        <v>168.1</v>
      </c>
      <c r="J34" s="31">
        <f t="shared" si="0"/>
        <v>0.83382439599292879</v>
      </c>
      <c r="K34">
        <f t="shared" si="1"/>
        <v>188.35913312693495</v>
      </c>
      <c r="L34">
        <f t="shared" si="2"/>
        <v>0.51212992234709354</v>
      </c>
      <c r="M34">
        <f t="shared" si="3"/>
        <v>2.2912867202854854</v>
      </c>
      <c r="N34" s="12">
        <f t="shared" si="4"/>
        <v>2808.351185050341</v>
      </c>
      <c r="T34">
        <f t="shared" si="5"/>
        <v>111.04500675267137</v>
      </c>
      <c r="U34">
        <f t="shared" si="11"/>
        <v>0.97330399956343816</v>
      </c>
      <c r="V34">
        <f t="shared" si="6"/>
        <v>8.1682040261426696</v>
      </c>
      <c r="W34">
        <f t="shared" si="12"/>
        <v>9735.0221828147442</v>
      </c>
      <c r="Y34" s="8">
        <f t="shared" si="13"/>
        <v>135.97490034116873</v>
      </c>
      <c r="Z34">
        <f t="shared" si="7"/>
        <v>2449.2631862092708</v>
      </c>
      <c r="AA34"/>
      <c r="AB34">
        <f t="shared" si="8"/>
        <v>0.59268100840594418</v>
      </c>
      <c r="AC34">
        <f t="shared" si="9"/>
        <v>3044.2466032864918</v>
      </c>
      <c r="AK34" s="8">
        <f t="shared" si="10"/>
        <v>696.49868743038644</v>
      </c>
    </row>
    <row r="35" spans="1:37" x14ac:dyDescent="0.25">
      <c r="A35">
        <v>1965.7</v>
      </c>
      <c r="B35">
        <v>1.17</v>
      </c>
      <c r="C35">
        <v>342</v>
      </c>
      <c r="D35">
        <v>0.82411841711059508</v>
      </c>
      <c r="E35">
        <v>26.8</v>
      </c>
      <c r="F35">
        <v>0.89387239418825004</v>
      </c>
      <c r="G35">
        <v>135</v>
      </c>
      <c r="J35" s="31">
        <f t="shared" si="0"/>
        <v>0.89387239418825004</v>
      </c>
      <c r="K35">
        <f t="shared" si="1"/>
        <v>291.10047846889955</v>
      </c>
      <c r="L35">
        <f t="shared" si="2"/>
        <v>0.45621515793414125</v>
      </c>
      <c r="M35">
        <f t="shared" si="3"/>
        <v>1.8430809951351219</v>
      </c>
      <c r="N35" s="12">
        <f t="shared" si="4"/>
        <v>2402.1471900886422</v>
      </c>
      <c r="T35">
        <f t="shared" si="5"/>
        <v>177.06608068638124</v>
      </c>
      <c r="U35">
        <f t="shared" si="11"/>
        <v>0.96780856002219828</v>
      </c>
      <c r="V35">
        <f t="shared" si="6"/>
        <v>8.0938111530431556</v>
      </c>
      <c r="W35">
        <f t="shared" si="12"/>
        <v>7566.3828052409335</v>
      </c>
      <c r="Y35" s="8">
        <f t="shared" si="13"/>
        <v>91.373504856131902</v>
      </c>
      <c r="Z35">
        <f t="shared" si="7"/>
        <v>1637.5177883816004</v>
      </c>
      <c r="AA35"/>
      <c r="AB35">
        <f t="shared" si="8"/>
        <v>0.75421559013180128</v>
      </c>
      <c r="AC35">
        <f t="shared" si="9"/>
        <v>1936.0170589157253</v>
      </c>
      <c r="AK35" s="8">
        <f t="shared" si="10"/>
        <v>590.13286661617383</v>
      </c>
    </row>
    <row r="36" spans="1:37" x14ac:dyDescent="0.25">
      <c r="A36">
        <v>2723</v>
      </c>
      <c r="B36">
        <v>1.446</v>
      </c>
      <c r="C36">
        <v>816</v>
      </c>
      <c r="D36">
        <v>0.88304691053831885</v>
      </c>
      <c r="E36">
        <v>39.700000000000003</v>
      </c>
      <c r="F36">
        <v>0.8265186915887851</v>
      </c>
      <c r="G36">
        <v>180</v>
      </c>
      <c r="J36" s="31">
        <f t="shared" si="0"/>
        <v>0.8265186915887851</v>
      </c>
      <c r="K36">
        <f t="shared" si="1"/>
        <v>179.99999999999997</v>
      </c>
      <c r="L36">
        <f t="shared" si="2"/>
        <v>0.57239840436372846</v>
      </c>
      <c r="M36">
        <f t="shared" si="3"/>
        <v>2.8751070375106016</v>
      </c>
      <c r="N36" s="12">
        <f t="shared" si="4"/>
        <v>3212.6547648851356</v>
      </c>
      <c r="T36">
        <f t="shared" si="5"/>
        <v>103.17457573834501</v>
      </c>
      <c r="U36">
        <f t="shared" si="11"/>
        <v>0.97835667691054307</v>
      </c>
      <c r="V36">
        <f t="shared" si="6"/>
        <v>8.2368283410533571</v>
      </c>
      <c r="W36">
        <f t="shared" si="12"/>
        <v>7605.9779343506889</v>
      </c>
      <c r="Y36" s="8">
        <f t="shared" si="13"/>
        <v>134.6127814993952</v>
      </c>
      <c r="Z36">
        <f t="shared" si="7"/>
        <v>2424.4726232889925</v>
      </c>
      <c r="AA36"/>
      <c r="AB36">
        <f t="shared" si="8"/>
        <v>0.77209249039672023</v>
      </c>
      <c r="AC36">
        <f t="shared" si="9"/>
        <v>3009.1443498997542</v>
      </c>
      <c r="AK36" s="8">
        <f t="shared" si="10"/>
        <v>937.28714546663275</v>
      </c>
    </row>
    <row r="37" spans="1:37" x14ac:dyDescent="0.25">
      <c r="A37">
        <v>1574</v>
      </c>
      <c r="B37">
        <v>1.1060000000000001</v>
      </c>
      <c r="C37">
        <v>150.1</v>
      </c>
      <c r="D37">
        <v>0.89837818770730016</v>
      </c>
      <c r="E37">
        <v>20.6</v>
      </c>
      <c r="F37">
        <f>141.5/(E37+131.5)</f>
        <v>0.93030900723208421</v>
      </c>
      <c r="G37">
        <v>156</v>
      </c>
      <c r="J37" s="31">
        <f t="shared" si="0"/>
        <v>0.93030900723208421</v>
      </c>
      <c r="K37">
        <f t="shared" si="1"/>
        <v>413.87755102040813</v>
      </c>
      <c r="L37">
        <f t="shared" si="2"/>
        <v>0.33466731993399013</v>
      </c>
      <c r="M37">
        <f t="shared" si="3"/>
        <v>1.110447966760705</v>
      </c>
      <c r="N37" s="12">
        <f t="shared" si="4"/>
        <v>2042.6008983270965</v>
      </c>
      <c r="T37">
        <f t="shared" si="5"/>
        <v>217.23449323988714</v>
      </c>
      <c r="U37">
        <f t="shared" si="11"/>
        <v>0.93959206510799798</v>
      </c>
      <c r="V37">
        <f t="shared" si="6"/>
        <v>7.7158842571092734</v>
      </c>
      <c r="W37">
        <f t="shared" si="12"/>
        <v>6797.2135069144069</v>
      </c>
      <c r="Y37" s="8">
        <f t="shared" si="13"/>
        <v>53.639514644760567</v>
      </c>
      <c r="Z37">
        <f t="shared" si="7"/>
        <v>950.7591665346423</v>
      </c>
      <c r="AA37"/>
      <c r="AB37">
        <f t="shared" si="8"/>
        <v>0.83980528524574871</v>
      </c>
      <c r="AC37">
        <f t="shared" si="9"/>
        <v>1085.7191603365768</v>
      </c>
      <c r="AK37" s="8">
        <f t="shared" si="10"/>
        <v>-351.78778466294847</v>
      </c>
    </row>
    <row r="38" spans="1:37" x14ac:dyDescent="0.25">
      <c r="A38">
        <v>2919</v>
      </c>
      <c r="B38">
        <v>1.34</v>
      </c>
      <c r="C38">
        <v>689</v>
      </c>
      <c r="D38">
        <v>0.66528519740074887</v>
      </c>
      <c r="E38">
        <v>36.6</v>
      </c>
      <c r="F38">
        <f>141.5/(E38+131.5)</f>
        <v>0.84176085663295663</v>
      </c>
      <c r="G38">
        <v>176</v>
      </c>
      <c r="J38" s="31">
        <f t="shared" si="0"/>
        <v>0.84176085663295663</v>
      </c>
      <c r="K38">
        <f t="shared" si="1"/>
        <v>198.17589576547229</v>
      </c>
      <c r="L38">
        <f t="shared" si="2"/>
        <v>0.54993176194615179</v>
      </c>
      <c r="M38">
        <f t="shared" si="3"/>
        <v>2.6440155861724315</v>
      </c>
      <c r="N38" s="12">
        <f t="shared" si="4"/>
        <v>3055.8997003991058</v>
      </c>
      <c r="T38">
        <f t="shared" si="5"/>
        <v>119.65873735694232</v>
      </c>
      <c r="U38">
        <f t="shared" si="11"/>
        <v>0.97751031675652245</v>
      </c>
      <c r="V38">
        <f t="shared" si="6"/>
        <v>8.2253182509214273</v>
      </c>
      <c r="W38">
        <f t="shared" si="12"/>
        <v>10032.011183736513</v>
      </c>
      <c r="Y38" s="8">
        <f t="shared" si="13"/>
        <v>160.42994328496033</v>
      </c>
      <c r="Z38">
        <f t="shared" si="7"/>
        <v>2894.3449677862777</v>
      </c>
      <c r="AA38"/>
      <c r="AB38">
        <f t="shared" si="8"/>
        <v>0.58821982670015938</v>
      </c>
      <c r="AC38">
        <f t="shared" si="9"/>
        <v>3591.9263162196389</v>
      </c>
      <c r="AK38" s="8">
        <f t="shared" si="10"/>
        <v>898.47582525800988</v>
      </c>
    </row>
    <row r="39" spans="1:37" x14ac:dyDescent="0.25">
      <c r="A39">
        <v>139.83000000000001</v>
      </c>
      <c r="B39">
        <v>1.038</v>
      </c>
      <c r="C39">
        <v>11</v>
      </c>
      <c r="D39">
        <v>0.81471004834381855</v>
      </c>
      <c r="E39">
        <v>20.100000000000001</v>
      </c>
      <c r="F39">
        <f>141.5/(E39+131.5)</f>
        <v>0.9333773087071241</v>
      </c>
      <c r="G39">
        <v>137.6</v>
      </c>
      <c r="J39" s="31">
        <f t="shared" si="0"/>
        <v>0.9333773087071241</v>
      </c>
      <c r="K39">
        <f t="shared" si="1"/>
        <v>428.45070422535207</v>
      </c>
      <c r="L39">
        <f t="shared" si="2"/>
        <v>3.6641508942942921E-2</v>
      </c>
      <c r="M39">
        <f t="shared" si="3"/>
        <v>0.13960506461251307</v>
      </c>
      <c r="N39" s="12">
        <f t="shared" si="4"/>
        <v>2275.3469218862538</v>
      </c>
      <c r="T39">
        <f t="shared" si="5"/>
        <v>220.5963985325011</v>
      </c>
      <c r="U39">
        <f t="shared" si="11"/>
        <v>0.53568511029502386</v>
      </c>
      <c r="V39">
        <f t="shared" si="6"/>
        <v>3.1142283820242773</v>
      </c>
      <c r="W39">
        <f t="shared" si="12"/>
        <v>2954.8499974395936</v>
      </c>
      <c r="Y39" s="8">
        <f t="shared" si="13"/>
        <v>6.4891733849431308</v>
      </c>
      <c r="Z39">
        <f t="shared" si="7"/>
        <v>92.622955605964975</v>
      </c>
      <c r="AA39"/>
      <c r="AB39">
        <f t="shared" si="8"/>
        <v>0.76288145093156701</v>
      </c>
      <c r="AC39">
        <f t="shared" si="9"/>
        <v>108.17878618170434</v>
      </c>
      <c r="AK39" s="8" t="e">
        <f t="shared" si="10"/>
        <v>#NUM!</v>
      </c>
    </row>
    <row r="40" spans="1:37" x14ac:dyDescent="0.25">
      <c r="A40">
        <v>2706</v>
      </c>
      <c r="B40">
        <v>1.5469999999999999</v>
      </c>
      <c r="C40">
        <v>981</v>
      </c>
      <c r="D40">
        <v>0.82462795150109558</v>
      </c>
      <c r="E40">
        <v>43.7</v>
      </c>
      <c r="F40">
        <f>141.5/(E40+131.5)</f>
        <v>0.80764840182648412</v>
      </c>
      <c r="G40">
        <v>179</v>
      </c>
      <c r="J40" s="31">
        <f t="shared" si="0"/>
        <v>0.80764840182648412</v>
      </c>
      <c r="K40">
        <f t="shared" si="1"/>
        <v>160.95238095238093</v>
      </c>
      <c r="L40">
        <f t="shared" si="2"/>
        <v>0.59557207307856208</v>
      </c>
      <c r="M40">
        <f t="shared" si="3"/>
        <v>3.1317562489696922</v>
      </c>
      <c r="N40" s="12">
        <f t="shared" si="4"/>
        <v>3358.0143042204613</v>
      </c>
      <c r="T40">
        <f t="shared" si="5"/>
        <v>83.192329445319615</v>
      </c>
      <c r="U40">
        <f t="shared" si="11"/>
        <v>0.97818634000070082</v>
      </c>
      <c r="V40">
        <f t="shared" si="6"/>
        <v>8.2345113557805103</v>
      </c>
      <c r="W40">
        <f t="shared" si="12"/>
        <v>8132.5299341321097</v>
      </c>
      <c r="Y40" s="8">
        <f t="shared" si="13"/>
        <v>147.6491983600626</v>
      </c>
      <c r="Z40">
        <f t="shared" si="7"/>
        <v>2661.7354101531391</v>
      </c>
      <c r="AA40"/>
      <c r="AB40">
        <f t="shared" si="8"/>
        <v>0.71057413708816131</v>
      </c>
      <c r="AC40">
        <f t="shared" si="9"/>
        <v>3315.449437174062</v>
      </c>
      <c r="AK40" s="8">
        <f t="shared" si="10"/>
        <v>954.39324351053733</v>
      </c>
    </row>
    <row r="41" spans="1:37" x14ac:dyDescent="0.25">
      <c r="A41">
        <v>2316</v>
      </c>
      <c r="B41">
        <v>1.37</v>
      </c>
      <c r="C41">
        <v>620</v>
      </c>
      <c r="D41">
        <v>0.75680139949130487</v>
      </c>
      <c r="E41">
        <v>36.200000000000003</v>
      </c>
      <c r="F41">
        <f>141.5/(E41+131.5)</f>
        <v>0.8437686344663089</v>
      </c>
      <c r="G41">
        <v>176</v>
      </c>
      <c r="J41" s="31">
        <f t="shared" si="0"/>
        <v>0.8437686344663089</v>
      </c>
      <c r="K41">
        <f t="shared" si="1"/>
        <v>200.79207920792075</v>
      </c>
      <c r="L41">
        <f t="shared" si="2"/>
        <v>0.52637693218996962</v>
      </c>
      <c r="M41">
        <f t="shared" si="3"/>
        <v>2.419161556020494</v>
      </c>
      <c r="N41" s="12">
        <f t="shared" si="4"/>
        <v>2921.1369096465246</v>
      </c>
      <c r="T41">
        <f t="shared" si="5"/>
        <v>121.84683931329499</v>
      </c>
      <c r="U41">
        <f t="shared" si="11"/>
        <v>0.97544956788583981</v>
      </c>
      <c r="V41">
        <f t="shared" si="6"/>
        <v>8.197318324380749</v>
      </c>
      <c r="W41">
        <f t="shared" si="12"/>
        <v>8788.8698120779572</v>
      </c>
      <c r="Y41" s="8">
        <f t="shared" si="13"/>
        <v>133.59496892768513</v>
      </c>
      <c r="Z41">
        <f t="shared" si="7"/>
        <v>2405.9484344838693</v>
      </c>
      <c r="AA41"/>
      <c r="AB41">
        <f t="shared" si="8"/>
        <v>0.67009306926501255</v>
      </c>
      <c r="AC41">
        <f t="shared" si="9"/>
        <v>2982.2693153863038</v>
      </c>
      <c r="AK41" s="8">
        <f t="shared" si="10"/>
        <v>803.08808214055375</v>
      </c>
    </row>
    <row r="42" spans="1:37" x14ac:dyDescent="0.25">
      <c r="A42">
        <v>2155</v>
      </c>
      <c r="B42">
        <v>1.2190000000000001</v>
      </c>
      <c r="C42">
        <v>324</v>
      </c>
      <c r="D42">
        <v>0.79530577401303026</v>
      </c>
      <c r="E42">
        <v>34.700000000000003</v>
      </c>
      <c r="F42">
        <v>0.85138387484957889</v>
      </c>
      <c r="G42">
        <v>224</v>
      </c>
      <c r="J42" s="31">
        <f t="shared" si="0"/>
        <v>0.85138387484957889</v>
      </c>
      <c r="K42">
        <f t="shared" si="1"/>
        <v>211.24999999999997</v>
      </c>
      <c r="L42">
        <f t="shared" si="2"/>
        <v>0.37716881095525562</v>
      </c>
      <c r="M42">
        <f t="shared" si="3"/>
        <v>1.3342300046145794</v>
      </c>
      <c r="N42" s="12">
        <f t="shared" si="4"/>
        <v>2418.2265464753091</v>
      </c>
      <c r="T42">
        <f t="shared" si="5"/>
        <v>130.17374471878819</v>
      </c>
      <c r="U42">
        <f t="shared" si="11"/>
        <v>0.95649141220331868</v>
      </c>
      <c r="V42">
        <f t="shared" si="6"/>
        <v>7.9414155489160336</v>
      </c>
      <c r="W42">
        <f t="shared" si="12"/>
        <v>8581.5716827655833</v>
      </c>
      <c r="Y42" s="8">
        <f t="shared" si="13"/>
        <v>86.377180935501357</v>
      </c>
      <c r="Z42">
        <f t="shared" si="7"/>
        <v>1546.5846930261246</v>
      </c>
      <c r="AA42"/>
      <c r="AB42">
        <f t="shared" si="8"/>
        <v>0.70796160120777196</v>
      </c>
      <c r="AC42">
        <f t="shared" si="9"/>
        <v>1867.0782017698616</v>
      </c>
      <c r="AK42" s="8">
        <f t="shared" si="10"/>
        <v>158.29770896977377</v>
      </c>
    </row>
    <row r="43" spans="1:37" x14ac:dyDescent="0.25">
      <c r="A43">
        <v>5921</v>
      </c>
      <c r="B43">
        <v>1.7927</v>
      </c>
      <c r="C43">
        <v>1529</v>
      </c>
      <c r="D43">
        <v>0.65</v>
      </c>
      <c r="E43">
        <v>32</v>
      </c>
      <c r="F43">
        <f t="shared" ref="F43:F46" si="15">141.5/(E43+131.5)</f>
        <v>0.86544342507645255</v>
      </c>
      <c r="G43">
        <v>212</v>
      </c>
      <c r="J43" s="31">
        <f t="shared" si="0"/>
        <v>0.86544342507645255</v>
      </c>
      <c r="K43">
        <f t="shared" si="1"/>
        <v>233.10344827586206</v>
      </c>
      <c r="L43">
        <f t="shared" si="2"/>
        <v>0.75622701544772497</v>
      </c>
      <c r="M43">
        <f t="shared" si="3"/>
        <v>5.0446403663903503</v>
      </c>
      <c r="N43" s="12">
        <f t="shared" si="4"/>
        <v>4480.1103383775599</v>
      </c>
      <c r="T43">
        <f t="shared" si="5"/>
        <v>145.6359793329415</v>
      </c>
      <c r="U43">
        <f t="shared" si="11"/>
        <v>0.99131814609971836</v>
      </c>
      <c r="V43">
        <f t="shared" si="6"/>
        <v>8.4138508753675776</v>
      </c>
      <c r="W43">
        <f t="shared" si="12"/>
        <v>10969.269870712593</v>
      </c>
      <c r="Y43" s="8">
        <f t="shared" si="13"/>
        <v>390.17561795654615</v>
      </c>
      <c r="Z43">
        <f t="shared" si="7"/>
        <v>7075.7162468091401</v>
      </c>
      <c r="AA43"/>
      <c r="AB43">
        <f t="shared" si="8"/>
        <v>0.58416851363185862</v>
      </c>
      <c r="AC43">
        <f t="shared" si="9"/>
        <v>8638.4011340071993</v>
      </c>
      <c r="AK43" s="8">
        <f t="shared" si="10"/>
        <v>2151.4804836172107</v>
      </c>
    </row>
    <row r="44" spans="1:37" x14ac:dyDescent="0.25">
      <c r="A44">
        <v>2820</v>
      </c>
      <c r="B44">
        <v>1.5649999999999999</v>
      </c>
      <c r="C44">
        <v>1127</v>
      </c>
      <c r="D44">
        <v>0.90465372387492327</v>
      </c>
      <c r="E44">
        <v>45</v>
      </c>
      <c r="F44">
        <f t="shared" si="15"/>
        <v>0.80169971671388107</v>
      </c>
      <c r="G44">
        <v>180</v>
      </c>
      <c r="J44" s="31">
        <f t="shared" si="0"/>
        <v>0.80169971671388107</v>
      </c>
      <c r="K44">
        <f t="shared" si="1"/>
        <v>155.6010230179028</v>
      </c>
      <c r="L44">
        <f t="shared" si="2"/>
        <v>0.62231132774204145</v>
      </c>
      <c r="M44">
        <f t="shared" si="3"/>
        <v>3.4030569433105389</v>
      </c>
      <c r="N44" s="12">
        <f t="shared" si="4"/>
        <v>3497.5985875732867</v>
      </c>
      <c r="T44">
        <f t="shared" si="5"/>
        <v>77.02500421288714</v>
      </c>
      <c r="U44">
        <f t="shared" si="11"/>
        <v>0.97961326669131976</v>
      </c>
      <c r="V44">
        <f t="shared" si="6"/>
        <v>8.2539284930161667</v>
      </c>
      <c r="W44">
        <f t="shared" si="12"/>
        <v>7439.7295488401896</v>
      </c>
      <c r="Y44" s="8">
        <f t="shared" si="13"/>
        <v>148.0868444270838</v>
      </c>
      <c r="Z44">
        <f t="shared" si="7"/>
        <v>2669.700568572925</v>
      </c>
      <c r="AA44"/>
      <c r="AB44">
        <f t="shared" si="8"/>
        <v>0.7758094225238551</v>
      </c>
      <c r="AC44">
        <f t="shared" si="9"/>
        <v>3329.0413115387423</v>
      </c>
      <c r="AK44" s="8">
        <f t="shared" si="10"/>
        <v>1045.9146686281317</v>
      </c>
    </row>
    <row r="45" spans="1:37" x14ac:dyDescent="0.25">
      <c r="A45">
        <v>2809</v>
      </c>
      <c r="B45">
        <v>1.61</v>
      </c>
      <c r="C45">
        <v>1017</v>
      </c>
      <c r="D45">
        <v>0.81463766337291299</v>
      </c>
      <c r="E45">
        <v>43.5</v>
      </c>
      <c r="F45">
        <f t="shared" si="15"/>
        <v>0.80857142857142861</v>
      </c>
      <c r="G45">
        <v>184</v>
      </c>
      <c r="J45" s="31">
        <f t="shared" si="0"/>
        <v>0.80857142857142861</v>
      </c>
      <c r="K45">
        <f t="shared" si="1"/>
        <v>161.80851063829786</v>
      </c>
      <c r="L45">
        <f t="shared" si="2"/>
        <v>0.60521719786734451</v>
      </c>
      <c r="M45">
        <f t="shared" si="3"/>
        <v>3.2332886115510875</v>
      </c>
      <c r="N45" s="12">
        <f t="shared" si="4"/>
        <v>3438.3433876748413</v>
      </c>
      <c r="T45">
        <f t="shared" si="5"/>
        <v>84.155694636207286</v>
      </c>
      <c r="U45">
        <f t="shared" si="11"/>
        <v>0.97915498233167042</v>
      </c>
      <c r="V45">
        <f t="shared" si="6"/>
        <v>8.2476904436264586</v>
      </c>
      <c r="W45">
        <f t="shared" si="12"/>
        <v>8296.0603297725884</v>
      </c>
      <c r="Y45" s="8">
        <f t="shared" si="13"/>
        <v>156.19454715102009</v>
      </c>
      <c r="Z45">
        <f t="shared" si="7"/>
        <v>2817.2607581485654</v>
      </c>
      <c r="AA45"/>
      <c r="AB45">
        <f t="shared" si="8"/>
        <v>0.70248126154301294</v>
      </c>
      <c r="AC45">
        <f t="shared" si="9"/>
        <v>3509.8422749436068</v>
      </c>
      <c r="AK45" s="8">
        <f t="shared" si="10"/>
        <v>1006.2387768877953</v>
      </c>
    </row>
    <row r="46" spans="1:37" x14ac:dyDescent="0.25">
      <c r="A46">
        <v>3710</v>
      </c>
      <c r="B46">
        <v>3.1720000000000002</v>
      </c>
      <c r="C46">
        <v>3455</v>
      </c>
      <c r="D46">
        <v>0.71604703117305368</v>
      </c>
      <c r="E46">
        <v>44.2</v>
      </c>
      <c r="F46">
        <f t="shared" si="15"/>
        <v>0.80535002845759818</v>
      </c>
      <c r="G46">
        <v>216</v>
      </c>
      <c r="J46" s="31">
        <f t="shared" si="0"/>
        <v>0.80535002845759818</v>
      </c>
      <c r="K46">
        <f t="shared" si="1"/>
        <v>158.85117493472583</v>
      </c>
      <c r="L46">
        <f t="shared" si="2"/>
        <v>0.83695760626462246</v>
      </c>
      <c r="M46">
        <f t="shared" si="3"/>
        <v>6.3638972524189557</v>
      </c>
      <c r="N46" s="12">
        <f t="shared" si="4"/>
        <v>5136.9973240614554</v>
      </c>
      <c r="T46">
        <f t="shared" si="5"/>
        <v>80.800805306123664</v>
      </c>
      <c r="U46">
        <f t="shared" si="11"/>
        <v>0.9935413199466876</v>
      </c>
      <c r="V46">
        <f t="shared" si="6"/>
        <v>8.4443557159148739</v>
      </c>
      <c r="W46">
        <f t="shared" si="12"/>
        <v>10040.755414719721</v>
      </c>
      <c r="Y46" s="8">
        <f t="shared" si="13"/>
        <v>502.77120633472873</v>
      </c>
      <c r="Z46">
        <f t="shared" si="7"/>
        <v>9124.9559552920637</v>
      </c>
      <c r="AA46"/>
      <c r="AB46">
        <f t="shared" si="8"/>
        <v>0.61587784538336743</v>
      </c>
      <c r="AC46">
        <f t="shared" si="9"/>
        <v>11476.481372634013</v>
      </c>
      <c r="AK46" s="8">
        <f t="shared" si="10"/>
        <v>2408.2491237329614</v>
      </c>
    </row>
    <row r="47" spans="1:37" x14ac:dyDescent="0.25">
      <c r="A47" s="1"/>
      <c r="G47" s="12"/>
      <c r="T47"/>
      <c r="U47"/>
      <c r="V47"/>
      <c r="W47"/>
      <c r="Z47"/>
      <c r="AA47"/>
      <c r="AB47"/>
      <c r="AC47"/>
    </row>
    <row r="48" spans="1:37" x14ac:dyDescent="0.25">
      <c r="A48" s="1"/>
      <c r="C48" s="1"/>
      <c r="G48" s="12"/>
      <c r="T48"/>
      <c r="U48"/>
      <c r="V48"/>
      <c r="W48"/>
      <c r="Z48"/>
      <c r="AA48"/>
      <c r="AB48"/>
      <c r="AC48"/>
    </row>
    <row r="49" spans="1:29" x14ac:dyDescent="0.25">
      <c r="A49" s="1"/>
      <c r="G49" s="12"/>
      <c r="T49"/>
      <c r="U49"/>
      <c r="V49"/>
      <c r="W49"/>
      <c r="Z49"/>
      <c r="AA49"/>
      <c r="AB49"/>
      <c r="AC49"/>
    </row>
    <row r="50" spans="1:29" x14ac:dyDescent="0.25">
      <c r="A50" s="1"/>
      <c r="G50" s="12"/>
      <c r="T50"/>
      <c r="U50"/>
      <c r="V50"/>
      <c r="W50"/>
      <c r="Z50"/>
      <c r="AA50"/>
      <c r="AB50"/>
      <c r="AC50"/>
    </row>
    <row r="51" spans="1:29" x14ac:dyDescent="0.25">
      <c r="A51" s="1"/>
      <c r="G51" s="12"/>
      <c r="T51"/>
      <c r="U51"/>
      <c r="V51"/>
      <c r="W51"/>
      <c r="Z51"/>
      <c r="AA51"/>
      <c r="AB51"/>
      <c r="AC51"/>
    </row>
    <row r="52" spans="1:29" x14ac:dyDescent="0.25">
      <c r="A52" s="1"/>
      <c r="C52" s="1"/>
      <c r="G52" s="12"/>
      <c r="T52"/>
      <c r="U52"/>
      <c r="V52"/>
      <c r="W52"/>
      <c r="Z52"/>
      <c r="AA52"/>
      <c r="AB52"/>
      <c r="AC52"/>
    </row>
    <row r="53" spans="1:29" x14ac:dyDescent="0.25">
      <c r="A53" s="1"/>
      <c r="G53" s="12"/>
      <c r="T53"/>
      <c r="U53"/>
      <c r="V53"/>
      <c r="W53"/>
      <c r="Z53"/>
      <c r="AA53"/>
      <c r="AB53"/>
      <c r="AC53"/>
    </row>
    <row r="54" spans="1:29" x14ac:dyDescent="0.25">
      <c r="A54" s="1"/>
      <c r="G54" s="12"/>
      <c r="T54"/>
      <c r="U54"/>
      <c r="V54"/>
      <c r="W54"/>
      <c r="Z54"/>
      <c r="AA54"/>
      <c r="AB54"/>
      <c r="AC54"/>
    </row>
    <row r="55" spans="1:29" x14ac:dyDescent="0.25">
      <c r="A55" s="1"/>
      <c r="G55" s="12"/>
      <c r="T55"/>
      <c r="U55"/>
      <c r="V55"/>
      <c r="W55"/>
      <c r="Z55"/>
      <c r="AA55"/>
      <c r="AB55"/>
      <c r="AC55"/>
    </row>
    <row r="56" spans="1:29" x14ac:dyDescent="0.25">
      <c r="A56" s="1"/>
      <c r="C56" s="1"/>
      <c r="G56" s="12"/>
      <c r="T56"/>
      <c r="U56"/>
      <c r="V56"/>
      <c r="W56"/>
      <c r="Z56"/>
      <c r="AA56"/>
      <c r="AB56"/>
      <c r="AC56"/>
    </row>
    <row r="57" spans="1:29" x14ac:dyDescent="0.25">
      <c r="A57" s="1"/>
      <c r="G57" s="12"/>
      <c r="T57"/>
      <c r="U57"/>
      <c r="V57"/>
      <c r="W57"/>
      <c r="Z57"/>
      <c r="AA57"/>
      <c r="AB57"/>
      <c r="AC57"/>
    </row>
    <row r="58" spans="1:29" x14ac:dyDescent="0.25">
      <c r="A58" s="1"/>
      <c r="C58" s="1"/>
      <c r="G58" s="12"/>
      <c r="T58"/>
      <c r="U58"/>
      <c r="V58"/>
      <c r="W58"/>
      <c r="Z58"/>
      <c r="AA58"/>
      <c r="AB58"/>
      <c r="AC58"/>
    </row>
    <row r="59" spans="1:29" x14ac:dyDescent="0.25">
      <c r="A59" s="1"/>
      <c r="G59" s="12"/>
      <c r="T59"/>
      <c r="U59"/>
      <c r="V59"/>
      <c r="W59"/>
      <c r="Z59"/>
      <c r="AA59"/>
      <c r="AB59"/>
      <c r="AC59"/>
    </row>
    <row r="60" spans="1:29" x14ac:dyDescent="0.25">
      <c r="A60" s="1"/>
      <c r="G60" s="12"/>
      <c r="T60"/>
      <c r="U60"/>
      <c r="V60"/>
      <c r="W60"/>
      <c r="Z60"/>
      <c r="AA60"/>
      <c r="AB60"/>
      <c r="AC60"/>
    </row>
    <row r="61" spans="1:29" x14ac:dyDescent="0.25">
      <c r="A61" s="1"/>
      <c r="G61" s="12"/>
      <c r="T61"/>
      <c r="U61"/>
      <c r="V61"/>
      <c r="W61"/>
      <c r="Z61"/>
      <c r="AA61"/>
      <c r="AB61"/>
      <c r="AC61"/>
    </row>
    <row r="62" spans="1:29" x14ac:dyDescent="0.25">
      <c r="A62" s="1"/>
      <c r="G62" s="12"/>
      <c r="T62"/>
      <c r="U62"/>
      <c r="V62"/>
      <c r="W62"/>
      <c r="Z62"/>
      <c r="AA62"/>
      <c r="AB62"/>
      <c r="AC62"/>
    </row>
    <row r="63" spans="1:29" x14ac:dyDescent="0.25">
      <c r="A63" s="1"/>
      <c r="C63" s="1"/>
      <c r="G63" s="12"/>
      <c r="T63"/>
      <c r="U63"/>
      <c r="V63"/>
      <c r="W63"/>
      <c r="Z63"/>
      <c r="AA63"/>
      <c r="AB63"/>
      <c r="AC63"/>
    </row>
    <row r="64" spans="1:29" x14ac:dyDescent="0.25">
      <c r="A64" s="1"/>
      <c r="C64" s="1"/>
      <c r="G64" s="12"/>
      <c r="T64"/>
      <c r="U64"/>
      <c r="V64"/>
      <c r="W64"/>
      <c r="Z64"/>
      <c r="AA64"/>
      <c r="AB64"/>
      <c r="AC64"/>
    </row>
    <row r="65" spans="1:29" x14ac:dyDescent="0.25">
      <c r="A65" s="1"/>
      <c r="G65" s="12"/>
      <c r="T65"/>
      <c r="U65"/>
      <c r="V65"/>
      <c r="W65"/>
      <c r="Z65"/>
      <c r="AA65"/>
      <c r="AB65"/>
      <c r="AC65"/>
    </row>
    <row r="66" spans="1:29" x14ac:dyDescent="0.25">
      <c r="A66" s="1"/>
      <c r="G66" s="12"/>
      <c r="T66"/>
      <c r="U66"/>
      <c r="V66"/>
      <c r="W66"/>
      <c r="Z66"/>
      <c r="AA66"/>
      <c r="AB66"/>
      <c r="AC66"/>
    </row>
    <row r="67" spans="1:29" x14ac:dyDescent="0.25">
      <c r="A67" s="1"/>
      <c r="G67" s="12"/>
      <c r="T67"/>
      <c r="U67"/>
      <c r="V67"/>
      <c r="W67"/>
      <c r="Z67"/>
      <c r="AA67"/>
      <c r="AB67"/>
      <c r="AC67"/>
    </row>
    <row r="68" spans="1:29" x14ac:dyDescent="0.25">
      <c r="A68" s="1"/>
      <c r="G68" s="12"/>
      <c r="T68"/>
      <c r="U68"/>
      <c r="V68"/>
      <c r="W68"/>
      <c r="Z68"/>
      <c r="AA68"/>
      <c r="AB68"/>
      <c r="AC68"/>
    </row>
    <row r="69" spans="1:29" x14ac:dyDescent="0.25">
      <c r="A69" s="1"/>
      <c r="G69" s="12"/>
      <c r="T69"/>
      <c r="U69"/>
      <c r="V69"/>
      <c r="W69"/>
      <c r="Z69"/>
      <c r="AA69"/>
      <c r="AB69"/>
      <c r="AC69"/>
    </row>
    <row r="70" spans="1:29" x14ac:dyDescent="0.25">
      <c r="A70" s="1"/>
      <c r="G70" s="12"/>
      <c r="T70"/>
      <c r="U70"/>
      <c r="V70"/>
      <c r="W70"/>
      <c r="Z70"/>
      <c r="AA70"/>
      <c r="AB70"/>
      <c r="AC70"/>
    </row>
    <row r="71" spans="1:29" x14ac:dyDescent="0.25">
      <c r="A71" s="1"/>
      <c r="G71" s="12"/>
      <c r="T71"/>
      <c r="U71"/>
      <c r="V71"/>
      <c r="W71"/>
      <c r="Z71"/>
      <c r="AA71"/>
      <c r="AB71"/>
      <c r="AC71"/>
    </row>
    <row r="72" spans="1:29" x14ac:dyDescent="0.25">
      <c r="A72" s="1"/>
      <c r="C72" s="1"/>
      <c r="G72" s="12"/>
      <c r="T72"/>
      <c r="U72"/>
      <c r="V72"/>
      <c r="W72"/>
      <c r="Z72"/>
      <c r="AA72"/>
      <c r="AB72"/>
      <c r="AC72"/>
    </row>
    <row r="73" spans="1:29" x14ac:dyDescent="0.25">
      <c r="A73" s="1"/>
      <c r="G73" s="12"/>
      <c r="T73"/>
      <c r="U73"/>
      <c r="V73"/>
      <c r="W73"/>
      <c r="Z73"/>
      <c r="AA73"/>
      <c r="AB73"/>
      <c r="AC73"/>
    </row>
    <row r="74" spans="1:29" x14ac:dyDescent="0.25">
      <c r="A74" s="1"/>
      <c r="G74" s="12"/>
      <c r="T74"/>
      <c r="U74"/>
      <c r="V74"/>
      <c r="W74"/>
      <c r="Z74"/>
      <c r="AA74"/>
      <c r="AB74"/>
      <c r="AC74"/>
    </row>
    <row r="75" spans="1:29" x14ac:dyDescent="0.25">
      <c r="A75" s="1"/>
      <c r="G75" s="12"/>
      <c r="T75"/>
      <c r="U75"/>
      <c r="V75"/>
      <c r="W75"/>
      <c r="Z75"/>
      <c r="AA75"/>
      <c r="AB75"/>
      <c r="AC75"/>
    </row>
    <row r="76" spans="1:29" x14ac:dyDescent="0.25">
      <c r="A76" s="1"/>
      <c r="G76" s="12"/>
      <c r="T76"/>
      <c r="U76"/>
      <c r="V76"/>
      <c r="W76"/>
      <c r="Z76"/>
      <c r="AA76"/>
      <c r="AB76"/>
      <c r="AC76"/>
    </row>
    <row r="77" spans="1:29" x14ac:dyDescent="0.25">
      <c r="A77" s="1"/>
      <c r="G77" s="12"/>
      <c r="T77"/>
      <c r="U77"/>
      <c r="V77"/>
      <c r="W77"/>
      <c r="Z77"/>
      <c r="AA77"/>
      <c r="AB77"/>
      <c r="AC77"/>
    </row>
    <row r="78" spans="1:29" x14ac:dyDescent="0.25">
      <c r="A78" s="1"/>
      <c r="G78" s="12"/>
      <c r="T78"/>
      <c r="U78"/>
      <c r="V78"/>
      <c r="W78"/>
      <c r="Z78"/>
      <c r="AA78"/>
      <c r="AB78"/>
      <c r="AC78"/>
    </row>
    <row r="79" spans="1:29" x14ac:dyDescent="0.25">
      <c r="A79" s="1"/>
      <c r="G79" s="12"/>
      <c r="T79"/>
      <c r="U79"/>
      <c r="V79"/>
      <c r="W79"/>
      <c r="Z79"/>
      <c r="AA79"/>
      <c r="AB79"/>
      <c r="AC79"/>
    </row>
    <row r="80" spans="1:29" x14ac:dyDescent="0.25">
      <c r="A80" s="1"/>
      <c r="G80" s="12"/>
      <c r="T80"/>
      <c r="U80"/>
      <c r="V80"/>
      <c r="W80"/>
      <c r="Z80"/>
      <c r="AA80"/>
      <c r="AB80"/>
      <c r="AC80"/>
    </row>
    <row r="81" spans="1:29" x14ac:dyDescent="0.25">
      <c r="A81" s="1"/>
      <c r="G81" s="12"/>
      <c r="T81"/>
      <c r="U81"/>
      <c r="V81"/>
      <c r="W81"/>
      <c r="Z81"/>
      <c r="AA81"/>
      <c r="AB81"/>
      <c r="AC81"/>
    </row>
    <row r="82" spans="1:29" x14ac:dyDescent="0.25">
      <c r="A82" s="1"/>
      <c r="G82" s="12"/>
      <c r="T82"/>
      <c r="U82"/>
      <c r="V82"/>
      <c r="W82"/>
      <c r="Z82"/>
      <c r="AA82"/>
      <c r="AB82"/>
      <c r="AC82"/>
    </row>
    <row r="83" spans="1:29" x14ac:dyDescent="0.25">
      <c r="A83" s="1"/>
      <c r="G83" s="12"/>
      <c r="T83"/>
      <c r="U83"/>
      <c r="V83"/>
      <c r="W83"/>
      <c r="Z83"/>
      <c r="AA83"/>
      <c r="AB83"/>
      <c r="AC83"/>
    </row>
    <row r="84" spans="1:29" x14ac:dyDescent="0.25">
      <c r="A84" s="1"/>
      <c r="G84" s="12"/>
      <c r="T84"/>
      <c r="U84"/>
      <c r="V84"/>
      <c r="W84"/>
      <c r="Z84"/>
      <c r="AA84"/>
      <c r="AB84"/>
      <c r="AC84"/>
    </row>
    <row r="85" spans="1:29" x14ac:dyDescent="0.25">
      <c r="A85" s="1"/>
      <c r="G85" s="12"/>
      <c r="T85"/>
      <c r="U85"/>
      <c r="V85"/>
      <c r="W85"/>
      <c r="Z85"/>
      <c r="AA85"/>
      <c r="AB85"/>
      <c r="AC85"/>
    </row>
    <row r="86" spans="1:29" x14ac:dyDescent="0.25">
      <c r="A86" s="1"/>
      <c r="G86" s="12"/>
      <c r="T86"/>
      <c r="U86"/>
      <c r="V86"/>
      <c r="W86"/>
      <c r="Z86"/>
      <c r="AA86"/>
      <c r="AB86"/>
      <c r="AC86"/>
    </row>
    <row r="87" spans="1:29" x14ac:dyDescent="0.25">
      <c r="A87" s="1"/>
      <c r="G87" s="12"/>
      <c r="T87"/>
      <c r="U87"/>
      <c r="V87"/>
      <c r="W87"/>
      <c r="Z87"/>
      <c r="AA87"/>
      <c r="AB87"/>
      <c r="AC87"/>
    </row>
    <row r="88" spans="1:29" x14ac:dyDescent="0.25">
      <c r="A88" s="1"/>
      <c r="G88" s="12"/>
      <c r="T88"/>
      <c r="U88"/>
      <c r="V88"/>
      <c r="W88"/>
      <c r="Z88"/>
      <c r="AA88"/>
      <c r="AB88"/>
      <c r="AC88"/>
    </row>
    <row r="89" spans="1:29" x14ac:dyDescent="0.25">
      <c r="A89" s="1"/>
      <c r="C89" s="1"/>
      <c r="G89" s="12"/>
      <c r="T89"/>
      <c r="U89"/>
      <c r="V89"/>
      <c r="W89"/>
      <c r="Z89"/>
      <c r="AA89"/>
      <c r="AB89"/>
      <c r="AC89"/>
    </row>
    <row r="90" spans="1:29" x14ac:dyDescent="0.25">
      <c r="A90" s="1"/>
      <c r="G90" s="12"/>
      <c r="T90"/>
      <c r="U90"/>
      <c r="V90"/>
      <c r="W90"/>
      <c r="Z90"/>
      <c r="AA90"/>
      <c r="AB90"/>
      <c r="AC90"/>
    </row>
    <row r="91" spans="1:29" x14ac:dyDescent="0.25">
      <c r="A91" s="1"/>
      <c r="G91" s="12"/>
      <c r="T91"/>
      <c r="U91"/>
      <c r="V91"/>
      <c r="W91"/>
      <c r="Z91"/>
      <c r="AA91"/>
      <c r="AB91"/>
      <c r="AC91"/>
    </row>
    <row r="92" spans="1:29" x14ac:dyDescent="0.25">
      <c r="A92" s="1"/>
      <c r="G92" s="12"/>
      <c r="T92"/>
      <c r="U92"/>
      <c r="V92"/>
      <c r="W92"/>
      <c r="Z92"/>
      <c r="AA92"/>
      <c r="AB92"/>
      <c r="AC92"/>
    </row>
    <row r="93" spans="1:29" x14ac:dyDescent="0.25">
      <c r="A93" s="1"/>
      <c r="G93" s="12"/>
      <c r="T93"/>
      <c r="U93"/>
      <c r="V93"/>
      <c r="W93"/>
      <c r="Z93"/>
      <c r="AA93"/>
      <c r="AB93"/>
      <c r="AC93"/>
    </row>
    <row r="94" spans="1:29" x14ac:dyDescent="0.25">
      <c r="A94" s="1"/>
      <c r="G94" s="12"/>
      <c r="T94"/>
      <c r="U94"/>
      <c r="V94"/>
      <c r="W94"/>
      <c r="Z94"/>
      <c r="AA94"/>
      <c r="AB94"/>
      <c r="AC94"/>
    </row>
    <row r="95" spans="1:29" x14ac:dyDescent="0.25">
      <c r="A95" s="1"/>
      <c r="G95" s="12"/>
      <c r="T95"/>
      <c r="U95"/>
      <c r="V95"/>
      <c r="W95"/>
      <c r="Z95"/>
      <c r="AA95"/>
      <c r="AB95"/>
      <c r="AC95"/>
    </row>
    <row r="96" spans="1:29" x14ac:dyDescent="0.25">
      <c r="A96" s="1"/>
      <c r="G96" s="12"/>
      <c r="T96"/>
      <c r="U96"/>
      <c r="V96"/>
      <c r="W96"/>
      <c r="Z96"/>
      <c r="AA96"/>
      <c r="AB96"/>
      <c r="AC96"/>
    </row>
    <row r="97" spans="1:29" x14ac:dyDescent="0.25">
      <c r="A97" s="1"/>
      <c r="G97" s="12"/>
      <c r="T97"/>
      <c r="U97"/>
      <c r="V97"/>
      <c r="W97"/>
      <c r="Z97"/>
      <c r="AA97"/>
      <c r="AB97"/>
      <c r="AC97"/>
    </row>
    <row r="98" spans="1:29" x14ac:dyDescent="0.25">
      <c r="A98" s="1"/>
      <c r="G98" s="12"/>
      <c r="T98"/>
      <c r="U98"/>
      <c r="V98"/>
      <c r="W98"/>
      <c r="Z98"/>
      <c r="AA98"/>
      <c r="AB98"/>
      <c r="AC98"/>
    </row>
    <row r="99" spans="1:29" x14ac:dyDescent="0.25">
      <c r="A99" s="1"/>
      <c r="G99" s="12"/>
      <c r="T99"/>
      <c r="U99"/>
      <c r="V99"/>
      <c r="W99"/>
      <c r="Z99"/>
      <c r="AA99"/>
      <c r="AB99"/>
      <c r="AC99"/>
    </row>
    <row r="100" spans="1:29" x14ac:dyDescent="0.25">
      <c r="A100" s="1"/>
      <c r="G100" s="12"/>
      <c r="T100"/>
      <c r="U100"/>
      <c r="V100"/>
      <c r="W100"/>
      <c r="Z100"/>
      <c r="AA100"/>
      <c r="AB100"/>
      <c r="AC100"/>
    </row>
    <row r="101" spans="1:29" x14ac:dyDescent="0.25">
      <c r="A101" s="1"/>
      <c r="G101" s="12"/>
      <c r="T101"/>
      <c r="U101"/>
      <c r="V101"/>
      <c r="W101"/>
      <c r="Z101"/>
      <c r="AA101"/>
      <c r="AB101"/>
      <c r="AC101"/>
    </row>
    <row r="102" spans="1:29" x14ac:dyDescent="0.25">
      <c r="A102" s="1"/>
      <c r="G102" s="12"/>
      <c r="T102"/>
      <c r="U102"/>
      <c r="V102"/>
      <c r="W102"/>
      <c r="Z102"/>
      <c r="AA102"/>
      <c r="AB102"/>
      <c r="AC102"/>
    </row>
    <row r="103" spans="1:29" x14ac:dyDescent="0.25">
      <c r="A103" s="1"/>
      <c r="G103" s="12"/>
      <c r="T103"/>
      <c r="U103"/>
      <c r="V103"/>
      <c r="W103"/>
      <c r="Z103"/>
      <c r="AA103"/>
      <c r="AB103"/>
      <c r="AC103"/>
    </row>
    <row r="104" spans="1:29" x14ac:dyDescent="0.25">
      <c r="A104" s="1"/>
      <c r="G104" s="12"/>
      <c r="T104"/>
      <c r="U104"/>
      <c r="V104"/>
      <c r="W104"/>
      <c r="Z104"/>
      <c r="AA104"/>
      <c r="AB104"/>
      <c r="AC104"/>
    </row>
    <row r="105" spans="1:29" x14ac:dyDescent="0.25">
      <c r="A105" s="1"/>
      <c r="G105" s="12"/>
      <c r="T105"/>
      <c r="U105"/>
      <c r="V105"/>
      <c r="W105"/>
      <c r="Z105"/>
      <c r="AA105"/>
      <c r="AB105"/>
      <c r="AC105"/>
    </row>
    <row r="106" spans="1:29" x14ac:dyDescent="0.25">
      <c r="A106" s="1"/>
      <c r="G106" s="12"/>
      <c r="T106"/>
      <c r="U106"/>
      <c r="V106"/>
      <c r="W106"/>
      <c r="Z106"/>
      <c r="AA106"/>
      <c r="AB106"/>
      <c r="AC106"/>
    </row>
    <row r="107" spans="1:29" x14ac:dyDescent="0.25">
      <c r="A107" s="1"/>
      <c r="G107" s="12"/>
      <c r="T107"/>
      <c r="U107"/>
      <c r="V107"/>
      <c r="W107"/>
      <c r="Z107"/>
      <c r="AA107"/>
      <c r="AB107"/>
      <c r="AC107"/>
    </row>
    <row r="108" spans="1:29" x14ac:dyDescent="0.25">
      <c r="A108" s="1"/>
      <c r="G108" s="12"/>
      <c r="T108"/>
      <c r="U108"/>
      <c r="V108"/>
      <c r="W108"/>
      <c r="Z108"/>
      <c r="AA108"/>
      <c r="AB108"/>
      <c r="AC108"/>
    </row>
    <row r="109" spans="1:29" x14ac:dyDescent="0.25">
      <c r="A109" s="1"/>
      <c r="G109" s="12"/>
      <c r="T109"/>
      <c r="U109"/>
      <c r="V109"/>
      <c r="W109"/>
      <c r="Z109"/>
      <c r="AA109"/>
      <c r="AB109"/>
      <c r="AC109"/>
    </row>
    <row r="110" spans="1:29" x14ac:dyDescent="0.25">
      <c r="A110" s="1"/>
      <c r="G110" s="12"/>
      <c r="T110"/>
      <c r="U110"/>
      <c r="V110"/>
      <c r="W110"/>
      <c r="Z110"/>
      <c r="AA110"/>
      <c r="AB110"/>
      <c r="AC110"/>
    </row>
    <row r="111" spans="1:29" x14ac:dyDescent="0.25">
      <c r="A111" s="1"/>
      <c r="G111" s="12"/>
      <c r="T111"/>
      <c r="U111"/>
      <c r="V111"/>
      <c r="W111"/>
      <c r="Z111"/>
      <c r="AA111"/>
      <c r="AB111"/>
      <c r="AC111"/>
    </row>
    <row r="112" spans="1:29" x14ac:dyDescent="0.25">
      <c r="A112" s="1"/>
      <c r="G112" s="12"/>
      <c r="T112"/>
      <c r="U112"/>
      <c r="V112"/>
      <c r="W112"/>
      <c r="Z112"/>
      <c r="AA112"/>
      <c r="AB112"/>
      <c r="AC112"/>
    </row>
    <row r="113" spans="1:29" x14ac:dyDescent="0.25">
      <c r="A113" s="1"/>
      <c r="G113" s="12"/>
      <c r="T113"/>
      <c r="U113"/>
      <c r="V113"/>
      <c r="W113"/>
      <c r="Z113"/>
      <c r="AA113"/>
      <c r="AB113"/>
      <c r="AC113"/>
    </row>
    <row r="114" spans="1:29" x14ac:dyDescent="0.25">
      <c r="A114" s="1"/>
      <c r="G114" s="12"/>
      <c r="T114"/>
      <c r="U114"/>
      <c r="V114"/>
      <c r="W114"/>
      <c r="Z114"/>
      <c r="AA114"/>
      <c r="AB114"/>
      <c r="AC114"/>
    </row>
    <row r="115" spans="1:29" x14ac:dyDescent="0.25">
      <c r="A115" s="1"/>
      <c r="G115" s="12"/>
      <c r="T115"/>
      <c r="U115"/>
      <c r="V115"/>
      <c r="W115"/>
      <c r="Z115"/>
      <c r="AA115"/>
      <c r="AB115"/>
      <c r="AC115"/>
    </row>
    <row r="116" spans="1:29" x14ac:dyDescent="0.25">
      <c r="A116" s="1"/>
      <c r="G116" s="12"/>
      <c r="T116"/>
      <c r="U116"/>
      <c r="V116"/>
      <c r="W116"/>
      <c r="Z116"/>
      <c r="AA116"/>
      <c r="AB116"/>
      <c r="AC116"/>
    </row>
    <row r="117" spans="1:29" x14ac:dyDescent="0.25">
      <c r="G117" s="12"/>
      <c r="T117"/>
      <c r="U117"/>
      <c r="V117"/>
      <c r="W117"/>
      <c r="Z117"/>
      <c r="AA117"/>
      <c r="AB117"/>
      <c r="AC117"/>
    </row>
    <row r="118" spans="1:29" x14ac:dyDescent="0.25">
      <c r="G118" s="12"/>
      <c r="T118"/>
      <c r="U118"/>
      <c r="V118"/>
      <c r="W118"/>
      <c r="Z118"/>
      <c r="AA118"/>
      <c r="AB118"/>
      <c r="AC118"/>
    </row>
    <row r="119" spans="1:29" x14ac:dyDescent="0.25">
      <c r="G119" s="12"/>
      <c r="T119"/>
      <c r="U119"/>
      <c r="V119"/>
      <c r="W119"/>
      <c r="Z119"/>
      <c r="AA119"/>
      <c r="AB119"/>
      <c r="AC119"/>
    </row>
    <row r="120" spans="1:29" x14ac:dyDescent="0.25">
      <c r="G120" s="12"/>
      <c r="T120"/>
      <c r="U120"/>
      <c r="V120"/>
      <c r="W120"/>
      <c r="Z120"/>
      <c r="AA120"/>
      <c r="AB120"/>
      <c r="AC120"/>
    </row>
    <row r="121" spans="1:29" x14ac:dyDescent="0.25">
      <c r="G121" s="12"/>
      <c r="T121"/>
      <c r="U121"/>
      <c r="V121"/>
      <c r="W121"/>
      <c r="Z121"/>
      <c r="AA121"/>
      <c r="AB121"/>
      <c r="AC121"/>
    </row>
    <row r="122" spans="1:29" x14ac:dyDescent="0.25">
      <c r="G122" s="12"/>
      <c r="T122"/>
      <c r="U122"/>
      <c r="V122"/>
      <c r="W122"/>
      <c r="Z122"/>
      <c r="AA122"/>
      <c r="AB122"/>
      <c r="AC122"/>
    </row>
    <row r="123" spans="1:29" x14ac:dyDescent="0.25">
      <c r="G123" s="12"/>
      <c r="T123"/>
      <c r="U123"/>
      <c r="V123"/>
      <c r="W123"/>
      <c r="Z123"/>
      <c r="AA123"/>
      <c r="AB123"/>
      <c r="AC123"/>
    </row>
    <row r="124" spans="1:29" x14ac:dyDescent="0.25">
      <c r="G124" s="12"/>
      <c r="T124"/>
      <c r="U124"/>
      <c r="V124"/>
      <c r="W124"/>
      <c r="Z124"/>
      <c r="AA124"/>
      <c r="AB124"/>
      <c r="AC124"/>
    </row>
    <row r="125" spans="1:29" x14ac:dyDescent="0.25">
      <c r="G125" s="12"/>
      <c r="T125"/>
      <c r="U125"/>
      <c r="V125"/>
      <c r="W125"/>
      <c r="Z125"/>
      <c r="AA125"/>
      <c r="AB125"/>
      <c r="AC125"/>
    </row>
    <row r="126" spans="1:29" x14ac:dyDescent="0.25">
      <c r="G126" s="12"/>
      <c r="T126"/>
      <c r="U126"/>
      <c r="V126"/>
      <c r="W126"/>
      <c r="Z126"/>
      <c r="AA126"/>
      <c r="AB126"/>
      <c r="AC126"/>
    </row>
    <row r="127" spans="1:29" x14ac:dyDescent="0.25">
      <c r="G127" s="12"/>
      <c r="T127"/>
      <c r="U127"/>
      <c r="V127"/>
      <c r="W127"/>
      <c r="Z127"/>
      <c r="AA127"/>
      <c r="AB127"/>
      <c r="AC127"/>
    </row>
    <row r="128" spans="1:29" x14ac:dyDescent="0.25">
      <c r="G128" s="12"/>
      <c r="T128"/>
      <c r="U128"/>
      <c r="V128"/>
      <c r="W128"/>
      <c r="Z128"/>
      <c r="AA128"/>
      <c r="AB128"/>
      <c r="AC128"/>
    </row>
    <row r="129" spans="7:29" x14ac:dyDescent="0.25">
      <c r="G129" s="12"/>
      <c r="T129"/>
      <c r="U129"/>
      <c r="V129"/>
      <c r="W129"/>
      <c r="Z129"/>
      <c r="AA129"/>
      <c r="AB129"/>
      <c r="AC129"/>
    </row>
    <row r="130" spans="7:29" x14ac:dyDescent="0.25">
      <c r="G130" s="12"/>
      <c r="T130"/>
      <c r="U130"/>
      <c r="V130"/>
      <c r="W130"/>
      <c r="Z130"/>
      <c r="AA130"/>
      <c r="AB130"/>
      <c r="AC130"/>
    </row>
    <row r="131" spans="7:29" x14ac:dyDescent="0.25">
      <c r="G131" s="12"/>
      <c r="T131"/>
      <c r="U131"/>
      <c r="V131"/>
      <c r="W131"/>
      <c r="Z131"/>
      <c r="AA131"/>
      <c r="AB131"/>
      <c r="AC131"/>
    </row>
    <row r="132" spans="7:29" x14ac:dyDescent="0.25">
      <c r="G132" s="12"/>
      <c r="T132"/>
      <c r="U132"/>
      <c r="V132"/>
      <c r="W132"/>
      <c r="Z132"/>
      <c r="AA132"/>
      <c r="AB132"/>
      <c r="AC132"/>
    </row>
    <row r="133" spans="7:29" x14ac:dyDescent="0.25">
      <c r="G133" s="12"/>
      <c r="T133"/>
      <c r="U133"/>
      <c r="V133"/>
      <c r="W133"/>
      <c r="Z133"/>
      <c r="AA133"/>
      <c r="AB133"/>
      <c r="AC133"/>
    </row>
    <row r="134" spans="7:29" x14ac:dyDescent="0.25">
      <c r="G134" s="12"/>
      <c r="T134"/>
      <c r="U134"/>
      <c r="V134"/>
      <c r="W134"/>
      <c r="Z134"/>
      <c r="AA134"/>
      <c r="AB134"/>
      <c r="AC134"/>
    </row>
    <row r="135" spans="7:29" x14ac:dyDescent="0.25">
      <c r="G135" s="12"/>
      <c r="T135"/>
      <c r="U135"/>
      <c r="V135"/>
      <c r="W135"/>
      <c r="Z135"/>
      <c r="AA135"/>
      <c r="AB135"/>
      <c r="AC135"/>
    </row>
    <row r="136" spans="7:29" x14ac:dyDescent="0.25">
      <c r="G136" s="12"/>
      <c r="T136"/>
      <c r="U136"/>
      <c r="V136"/>
      <c r="W136"/>
      <c r="Z136"/>
      <c r="AA136"/>
      <c r="AB136"/>
      <c r="AC136"/>
    </row>
    <row r="137" spans="7:29" x14ac:dyDescent="0.25">
      <c r="G137" s="12"/>
      <c r="T137"/>
      <c r="U137"/>
      <c r="V137"/>
      <c r="W137"/>
      <c r="Z137"/>
      <c r="AA137"/>
      <c r="AB137"/>
      <c r="AC137"/>
    </row>
    <row r="138" spans="7:29" x14ac:dyDescent="0.25">
      <c r="G138" s="12"/>
      <c r="T138"/>
      <c r="U138"/>
      <c r="V138"/>
      <c r="W138"/>
      <c r="Z138"/>
      <c r="AA138"/>
      <c r="AB138"/>
      <c r="AC138"/>
    </row>
    <row r="139" spans="7:29" x14ac:dyDescent="0.25">
      <c r="G139" s="12"/>
      <c r="T139"/>
      <c r="U139"/>
      <c r="V139"/>
      <c r="W139"/>
      <c r="Z139"/>
      <c r="AA139"/>
      <c r="AB139"/>
      <c r="AC139"/>
    </row>
    <row r="140" spans="7:29" x14ac:dyDescent="0.25">
      <c r="G140" s="12"/>
      <c r="T140"/>
      <c r="U140"/>
      <c r="V140"/>
      <c r="W140"/>
      <c r="Z140"/>
      <c r="AA140"/>
      <c r="AB140"/>
      <c r="AC140"/>
    </row>
    <row r="141" spans="7:29" x14ac:dyDescent="0.25">
      <c r="G141" s="12"/>
      <c r="T141"/>
      <c r="U141"/>
      <c r="V141"/>
      <c r="W141"/>
      <c r="Z141"/>
      <c r="AA141"/>
      <c r="AB141"/>
      <c r="AC141"/>
    </row>
    <row r="142" spans="7:29" x14ac:dyDescent="0.25">
      <c r="G142" s="12"/>
      <c r="T142"/>
      <c r="U142"/>
      <c r="V142"/>
      <c r="W142"/>
      <c r="Z142"/>
      <c r="AA142"/>
      <c r="AB142"/>
      <c r="AC142"/>
    </row>
    <row r="143" spans="7:29" x14ac:dyDescent="0.25">
      <c r="G143" s="12"/>
      <c r="T143"/>
      <c r="U143"/>
      <c r="V143"/>
      <c r="W143"/>
      <c r="Z143"/>
      <c r="AA143"/>
      <c r="AB143"/>
      <c r="AC143"/>
    </row>
    <row r="144" spans="7:29" x14ac:dyDescent="0.25">
      <c r="G144" s="12"/>
      <c r="T144"/>
      <c r="U144"/>
      <c r="V144"/>
      <c r="W144"/>
      <c r="Z144"/>
      <c r="AA144"/>
      <c r="AB144"/>
      <c r="AC144"/>
    </row>
    <row r="145" spans="7:29" x14ac:dyDescent="0.25">
      <c r="G145" s="12"/>
      <c r="T145"/>
      <c r="U145"/>
      <c r="V145"/>
      <c r="W145"/>
      <c r="Z145"/>
      <c r="AA145"/>
      <c r="AB145"/>
      <c r="AC145"/>
    </row>
    <row r="146" spans="7:29" x14ac:dyDescent="0.25">
      <c r="G146" s="12"/>
      <c r="T146"/>
      <c r="U146"/>
      <c r="V146"/>
      <c r="W146"/>
      <c r="Z146"/>
      <c r="AA146"/>
      <c r="AB146"/>
      <c r="AC146"/>
    </row>
    <row r="147" spans="7:29" x14ac:dyDescent="0.25">
      <c r="G147" s="12"/>
      <c r="T147"/>
      <c r="U147"/>
      <c r="V147"/>
      <c r="W147"/>
      <c r="Z147"/>
      <c r="AA147"/>
      <c r="AB147"/>
      <c r="AC147"/>
    </row>
    <row r="148" spans="7:29" x14ac:dyDescent="0.25">
      <c r="G148" s="12"/>
      <c r="T148"/>
      <c r="U148"/>
      <c r="V148"/>
      <c r="W148"/>
      <c r="Z148"/>
      <c r="AA148"/>
      <c r="AB148"/>
      <c r="AC148"/>
    </row>
    <row r="149" spans="7:29" x14ac:dyDescent="0.25">
      <c r="G149" s="12"/>
      <c r="T149"/>
      <c r="U149"/>
      <c r="V149"/>
      <c r="W149"/>
      <c r="Z149"/>
      <c r="AA149"/>
      <c r="AB149"/>
      <c r="AC149"/>
    </row>
    <row r="150" spans="7:29" x14ac:dyDescent="0.25">
      <c r="G150" s="12"/>
      <c r="T150"/>
      <c r="U150"/>
      <c r="V150"/>
      <c r="W150"/>
      <c r="Z150"/>
      <c r="AA150"/>
      <c r="AB150"/>
      <c r="AC150"/>
    </row>
    <row r="151" spans="7:29" x14ac:dyDescent="0.25">
      <c r="G151" s="12"/>
      <c r="T151"/>
      <c r="U151"/>
      <c r="V151"/>
      <c r="W151"/>
      <c r="Z151"/>
      <c r="AA151"/>
      <c r="AB151"/>
      <c r="AC151"/>
    </row>
    <row r="152" spans="7:29" x14ac:dyDescent="0.25">
      <c r="G152" s="12"/>
      <c r="T152"/>
      <c r="U152"/>
      <c r="V152"/>
      <c r="W152"/>
      <c r="Z152"/>
      <c r="AA152"/>
      <c r="AB152"/>
      <c r="AC152"/>
    </row>
    <row r="153" spans="7:29" x14ac:dyDescent="0.25">
      <c r="G153" s="12"/>
      <c r="T153"/>
      <c r="U153"/>
      <c r="V153"/>
      <c r="W153"/>
      <c r="Z153"/>
      <c r="AA153"/>
      <c r="AB153"/>
      <c r="AC153"/>
    </row>
    <row r="154" spans="7:29" x14ac:dyDescent="0.25">
      <c r="G154" s="12"/>
      <c r="T154"/>
      <c r="U154"/>
      <c r="V154"/>
      <c r="W154"/>
      <c r="Z154"/>
      <c r="AA154"/>
      <c r="AB154"/>
      <c r="AC154"/>
    </row>
    <row r="155" spans="7:29" x14ac:dyDescent="0.25">
      <c r="G155" s="12"/>
      <c r="T155"/>
      <c r="U155"/>
      <c r="V155"/>
      <c r="W155"/>
      <c r="Z155"/>
      <c r="AA155"/>
      <c r="AB155"/>
      <c r="AC155"/>
    </row>
    <row r="156" spans="7:29" x14ac:dyDescent="0.25">
      <c r="G156" s="12"/>
      <c r="T156"/>
      <c r="U156"/>
      <c r="V156"/>
      <c r="W156"/>
      <c r="Z156"/>
      <c r="AA156"/>
      <c r="AB156"/>
      <c r="AC156"/>
    </row>
    <row r="157" spans="7:29" x14ac:dyDescent="0.25">
      <c r="G157" s="12"/>
      <c r="T157"/>
      <c r="U157"/>
      <c r="V157"/>
      <c r="W157"/>
      <c r="Z157"/>
      <c r="AA157"/>
      <c r="AB157"/>
      <c r="AC157"/>
    </row>
    <row r="158" spans="7:29" x14ac:dyDescent="0.25">
      <c r="G158" s="12"/>
      <c r="T158"/>
      <c r="U158"/>
      <c r="V158"/>
      <c r="W158"/>
      <c r="Z158"/>
      <c r="AA158"/>
      <c r="AB158"/>
      <c r="AC158"/>
    </row>
    <row r="159" spans="7:29" x14ac:dyDescent="0.25">
      <c r="G159" s="12"/>
      <c r="T159"/>
      <c r="U159"/>
      <c r="V159"/>
      <c r="W159"/>
      <c r="Z159"/>
      <c r="AA159"/>
      <c r="AB159"/>
      <c r="AC159"/>
    </row>
    <row r="160" spans="7:29" x14ac:dyDescent="0.25">
      <c r="G160" s="12"/>
      <c r="T160"/>
      <c r="U160"/>
      <c r="V160"/>
      <c r="W160"/>
      <c r="Z160"/>
      <c r="AA160"/>
      <c r="AB160"/>
      <c r="AC160"/>
    </row>
    <row r="161" spans="4:29" x14ac:dyDescent="0.25">
      <c r="G161" s="12"/>
      <c r="T161"/>
      <c r="U161"/>
      <c r="V161"/>
      <c r="W161"/>
      <c r="Z161"/>
      <c r="AA161"/>
      <c r="AB161"/>
      <c r="AC161"/>
    </row>
    <row r="162" spans="4:29" x14ac:dyDescent="0.25">
      <c r="G162" s="12"/>
      <c r="T162"/>
      <c r="U162"/>
      <c r="V162"/>
      <c r="W162"/>
      <c r="Z162"/>
      <c r="AA162"/>
      <c r="AB162"/>
      <c r="AC162"/>
    </row>
    <row r="163" spans="4:29" x14ac:dyDescent="0.25">
      <c r="G163" s="12"/>
      <c r="T163"/>
      <c r="U163"/>
      <c r="V163"/>
      <c r="W163"/>
      <c r="Z163"/>
      <c r="AA163"/>
      <c r="AB163"/>
      <c r="AC163"/>
    </row>
    <row r="164" spans="4:29" x14ac:dyDescent="0.25">
      <c r="G164" s="12"/>
      <c r="T164"/>
      <c r="U164"/>
      <c r="V164"/>
      <c r="W164"/>
      <c r="Z164"/>
      <c r="AA164"/>
      <c r="AB164"/>
      <c r="AC164"/>
    </row>
    <row r="165" spans="4:29" x14ac:dyDescent="0.25">
      <c r="G165" s="12"/>
      <c r="T165"/>
      <c r="U165"/>
      <c r="V165"/>
      <c r="W165"/>
      <c r="Z165"/>
      <c r="AA165"/>
      <c r="AB165"/>
      <c r="AC165"/>
    </row>
    <row r="166" spans="4:29" x14ac:dyDescent="0.25">
      <c r="D166" s="2"/>
      <c r="G166" s="12"/>
      <c r="T166"/>
      <c r="U166"/>
      <c r="V166"/>
      <c r="W166"/>
      <c r="Z166"/>
      <c r="AA166"/>
      <c r="AB166"/>
      <c r="AC166"/>
    </row>
    <row r="167" spans="4:29" x14ac:dyDescent="0.25">
      <c r="D167" s="2"/>
      <c r="G167" s="12"/>
      <c r="T167"/>
      <c r="U167"/>
      <c r="V167"/>
      <c r="W167"/>
      <c r="Z167"/>
      <c r="AA167"/>
      <c r="AB167"/>
      <c r="AC167"/>
    </row>
    <row r="168" spans="4:29" x14ac:dyDescent="0.25">
      <c r="D168" s="2"/>
      <c r="G168" s="12"/>
      <c r="T168"/>
      <c r="U168"/>
      <c r="V168"/>
      <c r="W168"/>
      <c r="Z168"/>
      <c r="AA168"/>
      <c r="AB168"/>
      <c r="AC168"/>
    </row>
    <row r="169" spans="4:29" x14ac:dyDescent="0.25">
      <c r="D169" s="2"/>
      <c r="G169" s="12"/>
      <c r="T169"/>
      <c r="U169"/>
      <c r="V169"/>
      <c r="W169"/>
      <c r="Z169"/>
      <c r="AA169"/>
      <c r="AB169"/>
      <c r="AC169"/>
    </row>
    <row r="170" spans="4:29" x14ac:dyDescent="0.25">
      <c r="D170" s="2"/>
      <c r="G170" s="12"/>
      <c r="T170"/>
      <c r="U170"/>
      <c r="V170"/>
      <c r="W170"/>
      <c r="Z170"/>
      <c r="AA170"/>
      <c r="AB170"/>
      <c r="AC170"/>
    </row>
    <row r="171" spans="4:29" x14ac:dyDescent="0.25">
      <c r="D171" s="2"/>
      <c r="G171" s="12"/>
      <c r="T171"/>
      <c r="U171"/>
      <c r="V171"/>
      <c r="W171"/>
      <c r="Z171"/>
      <c r="AA171"/>
      <c r="AB171"/>
      <c r="AC171"/>
    </row>
    <row r="172" spans="4:29" x14ac:dyDescent="0.25">
      <c r="D172" s="2"/>
      <c r="G172" s="12"/>
      <c r="T172"/>
      <c r="U172"/>
      <c r="V172"/>
      <c r="W172"/>
      <c r="Z172"/>
      <c r="AA172"/>
      <c r="AB172"/>
      <c r="AC172"/>
    </row>
    <row r="173" spans="4:29" x14ac:dyDescent="0.25">
      <c r="D173" s="2"/>
      <c r="G173" s="12"/>
      <c r="T173"/>
      <c r="U173"/>
      <c r="V173"/>
      <c r="W173"/>
      <c r="Z173"/>
      <c r="AA173"/>
      <c r="AB173"/>
      <c r="AC173"/>
    </row>
    <row r="174" spans="4:29" x14ac:dyDescent="0.25">
      <c r="D174" s="2"/>
      <c r="G174" s="12"/>
      <c r="T174"/>
      <c r="U174"/>
      <c r="V174"/>
      <c r="W174"/>
      <c r="Z174"/>
      <c r="AA174"/>
      <c r="AB174"/>
      <c r="AC174"/>
    </row>
    <row r="175" spans="4:29" x14ac:dyDescent="0.25">
      <c r="D175" s="2"/>
      <c r="G175" s="12"/>
      <c r="T175"/>
      <c r="U175"/>
      <c r="V175"/>
      <c r="W175"/>
      <c r="Z175"/>
      <c r="AA175"/>
      <c r="AB175"/>
      <c r="AC175"/>
    </row>
    <row r="176" spans="4:29" x14ac:dyDescent="0.25">
      <c r="D176" s="2"/>
      <c r="G176" s="12"/>
      <c r="T176"/>
      <c r="U176"/>
      <c r="V176"/>
      <c r="W176"/>
      <c r="Z176"/>
      <c r="AA176"/>
      <c r="AB176"/>
      <c r="AC176"/>
    </row>
    <row r="177" spans="4:29" x14ac:dyDescent="0.25">
      <c r="D177" s="2"/>
      <c r="G177" s="12"/>
      <c r="T177"/>
      <c r="U177"/>
      <c r="V177"/>
      <c r="W177"/>
      <c r="Z177"/>
      <c r="AA177"/>
      <c r="AB177"/>
      <c r="AC177"/>
    </row>
    <row r="178" spans="4:29" x14ac:dyDescent="0.25">
      <c r="D178" s="2"/>
      <c r="G178" s="12"/>
      <c r="T178"/>
      <c r="U178"/>
      <c r="V178"/>
      <c r="W178"/>
      <c r="Z178"/>
      <c r="AA178"/>
      <c r="AB178"/>
      <c r="AC178"/>
    </row>
    <row r="179" spans="4:29" x14ac:dyDescent="0.25">
      <c r="D179" s="2"/>
      <c r="G179" s="12"/>
      <c r="T179"/>
      <c r="U179"/>
      <c r="V179"/>
      <c r="W179"/>
      <c r="Z179"/>
      <c r="AA179"/>
      <c r="AB179"/>
      <c r="AC179"/>
    </row>
    <row r="180" spans="4:29" x14ac:dyDescent="0.25">
      <c r="D180" s="2"/>
      <c r="G180" s="12"/>
      <c r="T180"/>
      <c r="U180"/>
      <c r="V180"/>
      <c r="W180"/>
      <c r="Z180"/>
      <c r="AA180"/>
      <c r="AB180"/>
      <c r="AC180"/>
    </row>
    <row r="181" spans="4:29" x14ac:dyDescent="0.25">
      <c r="D181" s="2"/>
      <c r="G181" s="12"/>
      <c r="T181"/>
      <c r="U181"/>
      <c r="V181"/>
      <c r="W181"/>
      <c r="Z181"/>
      <c r="AA181"/>
      <c r="AB181"/>
      <c r="AC181"/>
    </row>
    <row r="182" spans="4:29" x14ac:dyDescent="0.25">
      <c r="D182" s="2"/>
      <c r="G182" s="12"/>
      <c r="T182"/>
      <c r="U182"/>
      <c r="V182"/>
      <c r="W182"/>
      <c r="Z182"/>
      <c r="AA182"/>
      <c r="AB182"/>
      <c r="AC182"/>
    </row>
    <row r="183" spans="4:29" x14ac:dyDescent="0.25">
      <c r="D183" s="2"/>
      <c r="G183" s="12"/>
      <c r="T183"/>
      <c r="U183"/>
      <c r="V183"/>
      <c r="W183"/>
      <c r="Z183"/>
      <c r="AA183"/>
      <c r="AB183"/>
      <c r="AC183"/>
    </row>
    <row r="184" spans="4:29" x14ac:dyDescent="0.25">
      <c r="D184" s="2"/>
      <c r="G184" s="12"/>
      <c r="T184"/>
      <c r="U184"/>
      <c r="V184"/>
      <c r="W184"/>
      <c r="Z184"/>
      <c r="AA184"/>
      <c r="AB184"/>
      <c r="AC184"/>
    </row>
    <row r="185" spans="4:29" x14ac:dyDescent="0.25">
      <c r="D185" s="2"/>
      <c r="G185" s="12"/>
      <c r="T185"/>
      <c r="U185"/>
      <c r="V185"/>
      <c r="W185"/>
      <c r="Z185"/>
      <c r="AA185"/>
      <c r="AB185"/>
      <c r="AC185"/>
    </row>
    <row r="186" spans="4:29" x14ac:dyDescent="0.25">
      <c r="D186" s="2"/>
      <c r="G186" s="12"/>
      <c r="T186"/>
      <c r="U186"/>
      <c r="V186"/>
      <c r="W186"/>
      <c r="Z186"/>
      <c r="AA186"/>
      <c r="AB186"/>
      <c r="AC186"/>
    </row>
    <row r="187" spans="4:29" x14ac:dyDescent="0.25">
      <c r="D187" s="2"/>
      <c r="G187" s="12"/>
      <c r="T187"/>
      <c r="U187"/>
      <c r="V187"/>
      <c r="W187"/>
      <c r="Z187"/>
      <c r="AA187"/>
      <c r="AB187"/>
      <c r="AC187"/>
    </row>
    <row r="188" spans="4:29" x14ac:dyDescent="0.25">
      <c r="D188" s="2"/>
      <c r="G188" s="12"/>
      <c r="T188"/>
      <c r="U188"/>
      <c r="V188"/>
      <c r="W188"/>
      <c r="Z188"/>
      <c r="AA188"/>
      <c r="AB188"/>
      <c r="AC188"/>
    </row>
    <row r="189" spans="4:29" x14ac:dyDescent="0.25">
      <c r="D189" s="2"/>
      <c r="G189" s="12"/>
      <c r="T189"/>
      <c r="U189"/>
      <c r="V189"/>
      <c r="W189"/>
      <c r="Z189"/>
      <c r="AA189"/>
      <c r="AB189"/>
      <c r="AC189"/>
    </row>
    <row r="190" spans="4:29" x14ac:dyDescent="0.25">
      <c r="D190" s="2"/>
      <c r="G190" s="12"/>
      <c r="T190"/>
      <c r="U190"/>
      <c r="V190"/>
      <c r="W190"/>
      <c r="Z190"/>
      <c r="AA190"/>
      <c r="AB190"/>
      <c r="AC190"/>
    </row>
    <row r="191" spans="4:29" x14ac:dyDescent="0.25">
      <c r="D191" s="2"/>
      <c r="G191" s="12"/>
      <c r="T191"/>
      <c r="U191"/>
      <c r="V191"/>
      <c r="W191"/>
      <c r="Z191"/>
      <c r="AA191"/>
      <c r="AB191"/>
      <c r="AC191"/>
    </row>
    <row r="192" spans="4:29" x14ac:dyDescent="0.25">
      <c r="D192" s="2"/>
      <c r="G192" s="12"/>
      <c r="T192"/>
      <c r="U192"/>
      <c r="V192"/>
      <c r="W192"/>
      <c r="Z192"/>
      <c r="AA192"/>
      <c r="AB192"/>
      <c r="AC192"/>
    </row>
    <row r="193" spans="2:29" x14ac:dyDescent="0.25">
      <c r="D193" s="2"/>
      <c r="G193" s="12"/>
      <c r="T193"/>
      <c r="U193"/>
      <c r="V193"/>
      <c r="W193"/>
      <c r="Z193"/>
      <c r="AA193"/>
      <c r="AB193"/>
      <c r="AC193"/>
    </row>
    <row r="194" spans="2:29" x14ac:dyDescent="0.25">
      <c r="D194" s="2"/>
      <c r="G194" s="12"/>
      <c r="T194"/>
      <c r="U194"/>
      <c r="V194"/>
      <c r="W194"/>
      <c r="Z194"/>
      <c r="AA194"/>
      <c r="AB194"/>
      <c r="AC194"/>
    </row>
    <row r="195" spans="2:29" x14ac:dyDescent="0.25">
      <c r="D195" s="2"/>
      <c r="G195" s="12"/>
      <c r="T195"/>
      <c r="U195"/>
      <c r="V195"/>
      <c r="W195"/>
      <c r="Z195"/>
      <c r="AA195"/>
      <c r="AB195"/>
      <c r="AC195"/>
    </row>
    <row r="196" spans="2:29" x14ac:dyDescent="0.25">
      <c r="D196" s="2"/>
      <c r="G196" s="12"/>
      <c r="T196"/>
      <c r="U196"/>
      <c r="V196"/>
      <c r="W196"/>
      <c r="Z196"/>
      <c r="AA196"/>
      <c r="AB196"/>
      <c r="AC196"/>
    </row>
    <row r="197" spans="2:29" x14ac:dyDescent="0.25">
      <c r="D197" s="2"/>
      <c r="G197" s="12"/>
      <c r="T197"/>
      <c r="U197"/>
      <c r="V197"/>
      <c r="W197"/>
      <c r="Z197"/>
      <c r="AA197"/>
      <c r="AB197"/>
      <c r="AC197"/>
    </row>
    <row r="198" spans="2:29" x14ac:dyDescent="0.25">
      <c r="D198" s="2"/>
      <c r="G198" s="12"/>
      <c r="T198"/>
      <c r="U198"/>
      <c r="V198"/>
      <c r="W198"/>
      <c r="Z198"/>
      <c r="AA198"/>
      <c r="AB198"/>
      <c r="AC198"/>
    </row>
    <row r="199" spans="2:29" x14ac:dyDescent="0.25">
      <c r="D199" s="2"/>
      <c r="G199" s="12"/>
      <c r="T199"/>
      <c r="U199"/>
      <c r="V199"/>
      <c r="W199"/>
      <c r="Z199"/>
      <c r="AA199"/>
      <c r="AB199"/>
      <c r="AC199"/>
    </row>
    <row r="200" spans="2:29" x14ac:dyDescent="0.25">
      <c r="D200" s="2"/>
      <c r="G200" s="12"/>
      <c r="T200"/>
      <c r="U200"/>
      <c r="V200"/>
      <c r="W200"/>
      <c r="Z200"/>
      <c r="AA200"/>
      <c r="AB200"/>
      <c r="AC200"/>
    </row>
    <row r="201" spans="2:29" x14ac:dyDescent="0.25">
      <c r="D201" s="2"/>
      <c r="G201" s="12"/>
      <c r="T201"/>
      <c r="U201"/>
      <c r="V201"/>
      <c r="W201"/>
      <c r="Z201"/>
      <c r="AA201"/>
      <c r="AB201"/>
      <c r="AC201"/>
    </row>
    <row r="202" spans="2:29" x14ac:dyDescent="0.25">
      <c r="D202" s="2"/>
      <c r="G202" s="12"/>
      <c r="T202"/>
      <c r="U202"/>
      <c r="V202"/>
      <c r="W202"/>
      <c r="Z202"/>
      <c r="AA202"/>
      <c r="AB202"/>
      <c r="AC202"/>
    </row>
    <row r="203" spans="2:29" x14ac:dyDescent="0.25">
      <c r="D203" s="2"/>
      <c r="G203" s="12"/>
      <c r="T203"/>
      <c r="U203"/>
      <c r="V203"/>
      <c r="W203"/>
      <c r="Z203"/>
      <c r="AA203"/>
      <c r="AB203"/>
      <c r="AC203"/>
    </row>
    <row r="204" spans="2:29" x14ac:dyDescent="0.25">
      <c r="D204" s="2"/>
      <c r="G204" s="12"/>
      <c r="T204"/>
      <c r="U204"/>
      <c r="V204"/>
      <c r="W204"/>
      <c r="Z204"/>
      <c r="AA204"/>
      <c r="AB204"/>
      <c r="AC204"/>
    </row>
    <row r="205" spans="2:29" x14ac:dyDescent="0.25">
      <c r="D205" s="2"/>
      <c r="F205" s="5"/>
      <c r="G205" s="12"/>
      <c r="T205"/>
      <c r="U205"/>
      <c r="V205"/>
      <c r="W205"/>
      <c r="Z205"/>
      <c r="AA205"/>
      <c r="AB205"/>
      <c r="AC205"/>
    </row>
    <row r="206" spans="2:29" x14ac:dyDescent="0.25">
      <c r="B206" s="2"/>
      <c r="C206" s="3"/>
      <c r="D206" s="2"/>
      <c r="E206" s="2"/>
      <c r="F206" s="2"/>
      <c r="G206" s="14"/>
      <c r="T206"/>
      <c r="U206"/>
      <c r="V206"/>
      <c r="W206"/>
      <c r="Z206"/>
      <c r="AA206"/>
      <c r="AB206"/>
      <c r="AC206"/>
    </row>
    <row r="207" spans="2:29" x14ac:dyDescent="0.25">
      <c r="B207" s="2"/>
      <c r="C207" s="2"/>
      <c r="D207" s="2"/>
      <c r="E207" s="2"/>
      <c r="F207" s="2"/>
      <c r="G207" s="14"/>
      <c r="T207"/>
      <c r="U207"/>
      <c r="V207"/>
      <c r="W207"/>
      <c r="Z207"/>
      <c r="AA207"/>
      <c r="AB207"/>
      <c r="AC207"/>
    </row>
    <row r="208" spans="2:29" x14ac:dyDescent="0.25">
      <c r="B208" s="2"/>
      <c r="C208" s="3"/>
      <c r="D208" s="2"/>
      <c r="E208" s="2"/>
      <c r="F208" s="2"/>
      <c r="G208" s="14"/>
      <c r="T208"/>
      <c r="U208"/>
      <c r="V208"/>
      <c r="W208"/>
      <c r="Z208"/>
      <c r="AA208"/>
      <c r="AB208"/>
      <c r="AC208"/>
    </row>
    <row r="209" spans="2:29" x14ac:dyDescent="0.25">
      <c r="B209" s="2"/>
      <c r="C209" s="2"/>
      <c r="D209" s="2"/>
      <c r="E209" s="2"/>
      <c r="F209" s="2"/>
      <c r="G209" s="14"/>
      <c r="T209"/>
      <c r="U209"/>
      <c r="V209"/>
      <c r="W209"/>
      <c r="Z209"/>
      <c r="AA209"/>
      <c r="AB209"/>
      <c r="AC209"/>
    </row>
    <row r="210" spans="2:29" x14ac:dyDescent="0.25">
      <c r="B210" s="2"/>
      <c r="C210" s="3"/>
      <c r="D210" s="2"/>
      <c r="E210" s="2"/>
      <c r="F210" s="2"/>
      <c r="G210" s="14"/>
      <c r="T210"/>
      <c r="U210"/>
      <c r="V210"/>
      <c r="W210"/>
      <c r="Z210"/>
      <c r="AA210"/>
      <c r="AB210"/>
      <c r="AC210"/>
    </row>
    <row r="211" spans="2:29" x14ac:dyDescent="0.25">
      <c r="B211" s="2"/>
      <c r="C211" s="2"/>
      <c r="D211" s="2"/>
      <c r="E211" s="2"/>
      <c r="F211" s="2"/>
      <c r="G211" s="14"/>
      <c r="T211"/>
      <c r="U211"/>
      <c r="V211"/>
      <c r="W211"/>
      <c r="Z211"/>
      <c r="AA211"/>
      <c r="AB211"/>
      <c r="AC211"/>
    </row>
    <row r="212" spans="2:29" x14ac:dyDescent="0.25">
      <c r="B212" s="2"/>
      <c r="C212" s="3"/>
      <c r="D212" s="2"/>
      <c r="E212" s="2"/>
      <c r="F212" s="2"/>
      <c r="G212" s="14"/>
      <c r="T212"/>
      <c r="U212"/>
      <c r="V212"/>
      <c r="W212"/>
      <c r="Z212"/>
      <c r="AA212"/>
      <c r="AB212"/>
      <c r="AC212"/>
    </row>
    <row r="213" spans="2:29" x14ac:dyDescent="0.25">
      <c r="B213" s="2"/>
      <c r="C213" s="3"/>
      <c r="D213" s="2"/>
      <c r="E213" s="2"/>
      <c r="F213" s="2"/>
      <c r="G213" s="14"/>
      <c r="T213"/>
      <c r="U213"/>
      <c r="V213"/>
      <c r="W213"/>
      <c r="Z213"/>
      <c r="AA213"/>
      <c r="AB213"/>
      <c r="AC213"/>
    </row>
    <row r="214" spans="2:29" x14ac:dyDescent="0.25">
      <c r="B214" s="2"/>
      <c r="C214" s="3"/>
      <c r="D214" s="2"/>
      <c r="E214" s="2"/>
      <c r="F214" s="2"/>
      <c r="G214" s="14"/>
      <c r="T214"/>
      <c r="U214"/>
      <c r="V214"/>
      <c r="W214"/>
      <c r="Z214"/>
      <c r="AA214"/>
      <c r="AB214"/>
      <c r="AC214"/>
    </row>
    <row r="215" spans="2:29" x14ac:dyDescent="0.25">
      <c r="B215" s="2"/>
      <c r="C215" s="3"/>
      <c r="D215" s="2"/>
      <c r="E215" s="2"/>
      <c r="F215" s="2"/>
      <c r="G215" s="14"/>
      <c r="T215"/>
      <c r="U215"/>
      <c r="V215"/>
      <c r="W215"/>
      <c r="Z215"/>
      <c r="AA215"/>
      <c r="AB215"/>
      <c r="AC215"/>
    </row>
    <row r="216" spans="2:29" x14ac:dyDescent="0.25">
      <c r="B216" s="2"/>
      <c r="C216" s="3"/>
      <c r="D216" s="2"/>
      <c r="E216" s="2"/>
      <c r="F216" s="2"/>
      <c r="G216" s="14"/>
      <c r="T216"/>
      <c r="U216"/>
      <c r="V216"/>
      <c r="W216"/>
      <c r="Z216"/>
      <c r="AA216"/>
      <c r="AB216"/>
      <c r="AC216"/>
    </row>
    <row r="217" spans="2:29" x14ac:dyDescent="0.25">
      <c r="B217" s="2"/>
      <c r="C217" s="2"/>
      <c r="D217" s="2"/>
      <c r="E217" s="2"/>
      <c r="F217" s="2"/>
      <c r="G217" s="14"/>
      <c r="T217"/>
      <c r="U217"/>
      <c r="V217"/>
      <c r="W217"/>
      <c r="Z217"/>
      <c r="AA217"/>
      <c r="AB217"/>
      <c r="AC217"/>
    </row>
    <row r="218" spans="2:29" x14ac:dyDescent="0.25">
      <c r="B218" s="2"/>
      <c r="C218" s="2"/>
      <c r="D218" s="2"/>
      <c r="E218" s="2"/>
      <c r="F218" s="2"/>
      <c r="G218" s="14"/>
      <c r="T218"/>
      <c r="U218"/>
      <c r="V218"/>
      <c r="W218"/>
      <c r="Z218"/>
      <c r="AA218"/>
      <c r="AB218"/>
      <c r="AC218"/>
    </row>
    <row r="219" spans="2:29" x14ac:dyDescent="0.25">
      <c r="B219" s="2"/>
      <c r="C219" s="2"/>
      <c r="D219" s="2"/>
      <c r="E219" s="2"/>
      <c r="F219" s="2"/>
      <c r="G219" s="14"/>
      <c r="T219"/>
      <c r="U219"/>
      <c r="V219"/>
      <c r="W219"/>
      <c r="Z219"/>
      <c r="AA219"/>
      <c r="AB219"/>
      <c r="AC219"/>
    </row>
    <row r="220" spans="2:29" x14ac:dyDescent="0.25">
      <c r="B220" s="2"/>
      <c r="C220" s="2"/>
      <c r="D220" s="2"/>
      <c r="E220" s="2"/>
      <c r="F220" s="2"/>
      <c r="G220" s="14"/>
      <c r="T220"/>
      <c r="U220"/>
      <c r="V220"/>
      <c r="W220"/>
      <c r="Z220"/>
      <c r="AA220"/>
      <c r="AB220"/>
      <c r="AC220"/>
    </row>
    <row r="221" spans="2:29" x14ac:dyDescent="0.25">
      <c r="B221" s="2"/>
      <c r="C221" s="2"/>
      <c r="D221" s="2"/>
      <c r="E221" s="2"/>
      <c r="F221" s="2"/>
      <c r="G221" s="14"/>
      <c r="T221"/>
      <c r="U221"/>
      <c r="V221"/>
      <c r="W221"/>
      <c r="Z221"/>
      <c r="AA221"/>
      <c r="AB221"/>
      <c r="AC221"/>
    </row>
    <row r="222" spans="2:29" x14ac:dyDescent="0.25">
      <c r="B222" s="2"/>
      <c r="C222" s="2"/>
      <c r="D222" s="2"/>
      <c r="E222" s="2"/>
      <c r="F222" s="2"/>
      <c r="G222" s="14"/>
      <c r="T222"/>
      <c r="U222"/>
      <c r="V222"/>
      <c r="W222"/>
      <c r="Z222"/>
      <c r="AA222"/>
      <c r="AB222"/>
      <c r="AC222"/>
    </row>
    <row r="223" spans="2:29" x14ac:dyDescent="0.25">
      <c r="B223" s="2"/>
      <c r="C223" s="3"/>
      <c r="D223" s="2"/>
      <c r="E223" s="2"/>
      <c r="F223" s="2"/>
      <c r="G223" s="14"/>
      <c r="T223"/>
      <c r="U223"/>
      <c r="V223"/>
      <c r="W223"/>
      <c r="Z223"/>
      <c r="AA223"/>
      <c r="AB223"/>
      <c r="AC223"/>
    </row>
    <row r="224" spans="2:29" x14ac:dyDescent="0.25">
      <c r="B224" s="2"/>
      <c r="C224" s="2"/>
      <c r="D224" s="2"/>
      <c r="E224" s="2"/>
      <c r="F224" s="2"/>
      <c r="G224" s="14"/>
      <c r="T224"/>
      <c r="U224"/>
      <c r="V224"/>
      <c r="W224"/>
      <c r="Z224"/>
      <c r="AA224"/>
      <c r="AB224"/>
      <c r="AC224"/>
    </row>
    <row r="225" spans="2:29" x14ac:dyDescent="0.25">
      <c r="B225" s="4"/>
      <c r="C225" s="3"/>
      <c r="D225" s="2"/>
      <c r="E225" s="2"/>
      <c r="F225" s="2"/>
      <c r="G225" s="14"/>
      <c r="T225"/>
      <c r="U225"/>
      <c r="V225"/>
      <c r="W225"/>
      <c r="Z225"/>
      <c r="AA225"/>
      <c r="AB225"/>
      <c r="AC225"/>
    </row>
    <row r="226" spans="2:29" x14ac:dyDescent="0.25">
      <c r="B226" s="4"/>
      <c r="C226" s="3"/>
      <c r="D226" s="2"/>
      <c r="E226" s="2"/>
      <c r="F226" s="2"/>
      <c r="G226" s="14"/>
      <c r="T226"/>
      <c r="U226"/>
      <c r="V226"/>
      <c r="W226"/>
      <c r="Z226"/>
      <c r="AA226"/>
      <c r="AB226"/>
      <c r="AC226"/>
    </row>
    <row r="227" spans="2:29" x14ac:dyDescent="0.25">
      <c r="B227" s="4"/>
      <c r="C227" s="2"/>
      <c r="D227" s="2"/>
      <c r="E227" s="2"/>
      <c r="F227" s="2"/>
      <c r="G227" s="14"/>
      <c r="T227"/>
      <c r="U227"/>
      <c r="V227"/>
      <c r="W227"/>
      <c r="Z227"/>
      <c r="AA227"/>
      <c r="AB227"/>
      <c r="AC227"/>
    </row>
    <row r="228" spans="2:29" x14ac:dyDescent="0.25">
      <c r="B228" s="2"/>
      <c r="C228" s="3"/>
      <c r="D228" s="2"/>
      <c r="E228" s="2"/>
      <c r="F228" s="2"/>
      <c r="G228" s="14"/>
      <c r="T228"/>
      <c r="U228"/>
      <c r="V228"/>
      <c r="W228"/>
      <c r="Z228"/>
      <c r="AA228"/>
      <c r="AB228"/>
      <c r="AC228"/>
    </row>
    <row r="229" spans="2:29" x14ac:dyDescent="0.25">
      <c r="B229" s="2"/>
      <c r="C229" s="3"/>
      <c r="D229" s="2"/>
      <c r="E229" s="2"/>
      <c r="F229" s="2"/>
      <c r="G229" s="14"/>
      <c r="T229"/>
      <c r="U229"/>
      <c r="V229"/>
      <c r="W229"/>
      <c r="Z229"/>
      <c r="AA229"/>
      <c r="AB229"/>
      <c r="AC229"/>
    </row>
    <row r="230" spans="2:29" x14ac:dyDescent="0.25">
      <c r="B230" s="2"/>
      <c r="C230" s="3"/>
      <c r="D230" s="2"/>
      <c r="E230" s="2"/>
      <c r="F230" s="2"/>
      <c r="G230" s="14"/>
      <c r="T230"/>
      <c r="U230"/>
      <c r="V230"/>
      <c r="W230"/>
      <c r="Z230"/>
      <c r="AA230"/>
      <c r="AB230"/>
      <c r="AC230"/>
    </row>
    <row r="231" spans="2:29" x14ac:dyDescent="0.25">
      <c r="B231" s="2"/>
      <c r="C231" s="3"/>
      <c r="D231" s="2"/>
      <c r="E231" s="2"/>
      <c r="F231" s="2"/>
      <c r="G231" s="14"/>
      <c r="T231"/>
      <c r="U231"/>
      <c r="V231"/>
      <c r="W231"/>
      <c r="Z231"/>
      <c r="AA231"/>
      <c r="AB231"/>
      <c r="AC231"/>
    </row>
    <row r="232" spans="2:29" x14ac:dyDescent="0.25">
      <c r="B232" s="2"/>
      <c r="C232" s="2"/>
      <c r="D232" s="2"/>
      <c r="E232" s="2"/>
      <c r="F232" s="2"/>
      <c r="G232" s="14"/>
      <c r="T232"/>
      <c r="U232"/>
      <c r="V232"/>
      <c r="W232"/>
      <c r="Z232"/>
      <c r="AA232"/>
      <c r="AB232"/>
      <c r="AC232"/>
    </row>
    <row r="233" spans="2:29" x14ac:dyDescent="0.25">
      <c r="B233" s="2"/>
      <c r="C233" s="2"/>
      <c r="D233" s="2"/>
      <c r="E233" s="2"/>
      <c r="F233" s="2"/>
      <c r="G233" s="14"/>
      <c r="T233"/>
      <c r="U233"/>
      <c r="V233"/>
      <c r="W233"/>
      <c r="Z233"/>
      <c r="AA233"/>
      <c r="AB233"/>
      <c r="AC233"/>
    </row>
    <row r="234" spans="2:29" x14ac:dyDescent="0.25">
      <c r="B234" s="2"/>
      <c r="C234" s="2"/>
      <c r="D234" s="2"/>
      <c r="E234" s="2"/>
      <c r="F234" s="2"/>
      <c r="G234" s="14"/>
      <c r="T234"/>
      <c r="U234"/>
      <c r="V234"/>
      <c r="W234"/>
      <c r="Z234"/>
      <c r="AA234"/>
      <c r="AB234"/>
      <c r="AC234"/>
    </row>
    <row r="235" spans="2:29" x14ac:dyDescent="0.25">
      <c r="B235" s="2"/>
      <c r="C235" s="2"/>
      <c r="D235" s="2"/>
      <c r="E235" s="2"/>
      <c r="F235" s="2"/>
      <c r="G235" s="14"/>
      <c r="T235"/>
      <c r="U235"/>
      <c r="V235"/>
      <c r="W235"/>
      <c r="Z235"/>
      <c r="AA235"/>
      <c r="AB235"/>
      <c r="AC235"/>
    </row>
    <row r="236" spans="2:29" x14ac:dyDescent="0.25">
      <c r="B236" s="2"/>
      <c r="C236" s="2"/>
      <c r="D236" s="2"/>
      <c r="E236" s="2"/>
      <c r="F236" s="2"/>
      <c r="G236" s="14"/>
      <c r="T236"/>
      <c r="U236"/>
      <c r="V236"/>
      <c r="W236"/>
      <c r="Z236"/>
      <c r="AA236"/>
      <c r="AB236"/>
      <c r="AC236"/>
    </row>
    <row r="237" spans="2:29" x14ac:dyDescent="0.25">
      <c r="B237" s="2"/>
      <c r="C237" s="3"/>
      <c r="D237" s="2"/>
      <c r="E237" s="2"/>
      <c r="F237" s="2"/>
      <c r="G237" s="14"/>
      <c r="T237"/>
      <c r="U237"/>
      <c r="V237"/>
      <c r="W237"/>
      <c r="Z237"/>
      <c r="AA237"/>
      <c r="AB237"/>
      <c r="AC237"/>
    </row>
    <row r="238" spans="2:29" x14ac:dyDescent="0.25">
      <c r="B238" s="2"/>
      <c r="C238" s="3"/>
      <c r="D238" s="2"/>
      <c r="E238" s="2"/>
      <c r="F238" s="2"/>
      <c r="G238" s="14"/>
      <c r="T238"/>
      <c r="U238"/>
      <c r="V238"/>
      <c r="W238"/>
      <c r="Z238"/>
      <c r="AA238"/>
      <c r="AB238"/>
      <c r="AC238"/>
    </row>
    <row r="239" spans="2:29" x14ac:dyDescent="0.25">
      <c r="B239" s="2"/>
      <c r="C239" s="2"/>
      <c r="D239" s="2"/>
      <c r="E239" s="2"/>
      <c r="F239" s="2"/>
      <c r="G239" s="14"/>
      <c r="T239"/>
      <c r="U239"/>
      <c r="V239"/>
      <c r="W239"/>
      <c r="Z239"/>
      <c r="AA239"/>
      <c r="AB239"/>
      <c r="AC239"/>
    </row>
    <row r="240" spans="2:29" x14ac:dyDescent="0.25">
      <c r="B240" s="2"/>
      <c r="C240" s="2"/>
      <c r="D240" s="2"/>
      <c r="E240" s="2"/>
      <c r="F240" s="2"/>
      <c r="G240" s="14"/>
      <c r="T240"/>
      <c r="U240"/>
      <c r="V240"/>
      <c r="W240"/>
      <c r="Z240"/>
      <c r="AA240"/>
      <c r="AB240"/>
      <c r="AC240"/>
    </row>
    <row r="241" spans="2:29" x14ac:dyDescent="0.25">
      <c r="B241" s="2"/>
      <c r="C241" s="2"/>
      <c r="D241" s="2"/>
      <c r="E241" s="2"/>
      <c r="F241" s="2"/>
      <c r="G241" s="14"/>
      <c r="T241"/>
      <c r="U241"/>
      <c r="V241"/>
      <c r="W241"/>
      <c r="Z241"/>
      <c r="AA241"/>
      <c r="AB241"/>
      <c r="AC241"/>
    </row>
    <row r="242" spans="2:29" x14ac:dyDescent="0.25">
      <c r="B242" s="2"/>
      <c r="C242" s="3"/>
      <c r="D242" s="2"/>
      <c r="E242" s="2"/>
      <c r="F242" s="2"/>
      <c r="G242" s="14"/>
      <c r="T242"/>
      <c r="U242"/>
      <c r="V242"/>
      <c r="W242"/>
      <c r="Z242"/>
      <c r="AA242"/>
      <c r="AB242"/>
      <c r="AC242"/>
    </row>
    <row r="243" spans="2:29" x14ac:dyDescent="0.25">
      <c r="B243" s="2"/>
      <c r="C243" s="3"/>
      <c r="D243" s="2"/>
      <c r="E243" s="2"/>
      <c r="F243" s="2"/>
      <c r="G243" s="14"/>
      <c r="T243"/>
      <c r="U243"/>
      <c r="V243"/>
      <c r="W243"/>
      <c r="Z243"/>
      <c r="AA243"/>
      <c r="AB243"/>
      <c r="AC243"/>
    </row>
    <row r="244" spans="2:29" x14ac:dyDescent="0.25">
      <c r="B244" s="2"/>
      <c r="C244" s="2"/>
      <c r="D244" s="2"/>
      <c r="E244" s="2"/>
      <c r="F244" s="2"/>
      <c r="G244" s="14"/>
      <c r="T244"/>
      <c r="U244"/>
      <c r="V244"/>
      <c r="W244"/>
      <c r="Z244"/>
      <c r="AA244"/>
      <c r="AB244"/>
      <c r="AC244"/>
    </row>
    <row r="245" spans="2:29" x14ac:dyDescent="0.25">
      <c r="B245" s="2"/>
      <c r="C245" s="2"/>
      <c r="D245" s="2"/>
      <c r="E245" s="2"/>
      <c r="F245" s="2"/>
      <c r="G245" s="14"/>
      <c r="T245"/>
      <c r="U245"/>
      <c r="V245"/>
      <c r="W245"/>
      <c r="Z245"/>
      <c r="AA245"/>
      <c r="AB245"/>
      <c r="AC245"/>
    </row>
    <row r="246" spans="2:29" x14ac:dyDescent="0.25">
      <c r="B246" s="2"/>
      <c r="C246" s="2"/>
      <c r="D246" s="2"/>
      <c r="E246" s="2"/>
      <c r="F246" s="2"/>
      <c r="G246" s="14"/>
      <c r="T246"/>
      <c r="U246"/>
      <c r="V246"/>
      <c r="W246"/>
      <c r="Z246"/>
      <c r="AA246"/>
      <c r="AB246"/>
      <c r="AC246"/>
    </row>
    <row r="247" spans="2:29" x14ac:dyDescent="0.25">
      <c r="B247" s="2"/>
      <c r="C247" s="3"/>
      <c r="D247" s="2"/>
      <c r="E247" s="2"/>
      <c r="F247" s="2"/>
      <c r="G247" s="14"/>
      <c r="T247"/>
      <c r="U247"/>
      <c r="V247"/>
      <c r="W247"/>
      <c r="Z247"/>
      <c r="AA247"/>
      <c r="AB247"/>
      <c r="AC247"/>
    </row>
    <row r="248" spans="2:29" x14ac:dyDescent="0.25">
      <c r="B248" s="2"/>
      <c r="C248" s="3"/>
      <c r="D248" s="2"/>
      <c r="E248" s="2"/>
      <c r="F248" s="2"/>
      <c r="G248" s="14"/>
      <c r="T248"/>
      <c r="U248"/>
      <c r="V248"/>
      <c r="W248"/>
      <c r="Z248"/>
      <c r="AA248"/>
      <c r="AB248"/>
      <c r="AC248"/>
    </row>
    <row r="249" spans="2:29" x14ac:dyDescent="0.25">
      <c r="B249" s="2"/>
      <c r="C249" s="2"/>
      <c r="D249" s="2"/>
      <c r="E249" s="2"/>
      <c r="F249" s="2"/>
      <c r="G249" s="14"/>
      <c r="T249"/>
      <c r="U249"/>
      <c r="V249"/>
      <c r="W249"/>
      <c r="Z249"/>
      <c r="AA249"/>
      <c r="AB249"/>
      <c r="AC249"/>
    </row>
    <row r="250" spans="2:29" x14ac:dyDescent="0.25">
      <c r="B250" s="2"/>
      <c r="C250" s="2"/>
      <c r="D250" s="2"/>
      <c r="E250" s="2"/>
      <c r="F250" s="2"/>
      <c r="G250" s="14"/>
      <c r="T250"/>
      <c r="U250"/>
      <c r="V250"/>
      <c r="W250"/>
      <c r="Z250"/>
      <c r="AA250"/>
      <c r="AB250"/>
      <c r="AC250"/>
    </row>
    <row r="251" spans="2:29" x14ac:dyDescent="0.25">
      <c r="U251"/>
    </row>
  </sheetData>
  <mergeCells count="13">
    <mergeCell ref="AH2:AK2"/>
    <mergeCell ref="M1:N1"/>
    <mergeCell ref="AK3:AK5"/>
    <mergeCell ref="Q2:W2"/>
    <mergeCell ref="Y2:AE2"/>
    <mergeCell ref="Y3:Z3"/>
    <mergeCell ref="AB3:AD3"/>
    <mergeCell ref="J2:P2"/>
    <mergeCell ref="J3:J5"/>
    <mergeCell ref="K3:K5"/>
    <mergeCell ref="L3:L5"/>
    <mergeCell ref="M3:M5"/>
    <mergeCell ref="N3:N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2"/>
  <sheetViews>
    <sheetView zoomScale="80" zoomScaleNormal="80" workbookViewId="0">
      <selection activeCell="F2" sqref="F2:F13"/>
    </sheetView>
  </sheetViews>
  <sheetFormatPr defaultRowHeight="15" x14ac:dyDescent="0.25"/>
  <cols>
    <col min="4" max="4" width="13" bestFit="1" customWidth="1"/>
    <col min="5" max="5" width="12.42578125" bestFit="1" customWidth="1"/>
    <col min="6" max="6" width="13" bestFit="1" customWidth="1"/>
  </cols>
  <sheetData>
    <row r="1" spans="1:7" x14ac:dyDescent="0.25">
      <c r="A1" t="s">
        <v>49</v>
      </c>
      <c r="B1" t="s">
        <v>5</v>
      </c>
      <c r="C1" t="s">
        <v>41</v>
      </c>
      <c r="D1" t="s">
        <v>36</v>
      </c>
      <c r="E1" t="s">
        <v>54</v>
      </c>
      <c r="F1" t="s">
        <v>56</v>
      </c>
      <c r="G1" t="s">
        <v>58</v>
      </c>
    </row>
    <row r="2" spans="1:7" x14ac:dyDescent="0.25">
      <c r="A2">
        <v>82</v>
      </c>
      <c r="B2">
        <v>136.90075797304539</v>
      </c>
      <c r="C2">
        <v>102.0500519551085</v>
      </c>
      <c r="D2">
        <v>71.858954362502303</v>
      </c>
      <c r="E2" s="8">
        <v>51.689256468580588</v>
      </c>
      <c r="F2">
        <v>148.95909177132165</v>
      </c>
    </row>
    <row r="3" spans="1:7" x14ac:dyDescent="0.25">
      <c r="A3">
        <v>968</v>
      </c>
      <c r="B3">
        <v>687.37667110603365</v>
      </c>
      <c r="C3">
        <v>690.60344918388273</v>
      </c>
      <c r="D3">
        <v>628.26069841641674</v>
      </c>
      <c r="E3" s="8">
        <v>342.1165943404265</v>
      </c>
      <c r="F3">
        <v>758.37166491931032</v>
      </c>
    </row>
    <row r="4" spans="1:7" x14ac:dyDescent="0.25">
      <c r="A4">
        <v>417</v>
      </c>
      <c r="B4">
        <v>583.07009135113162</v>
      </c>
      <c r="C4">
        <v>555.23651075989665</v>
      </c>
      <c r="D4">
        <v>504.64390637189138</v>
      </c>
      <c r="E4" s="8">
        <v>288.32158845451761</v>
      </c>
      <c r="F4">
        <v>772.82388504108735</v>
      </c>
    </row>
    <row r="5" spans="1:7" x14ac:dyDescent="0.25">
      <c r="A5">
        <v>875</v>
      </c>
      <c r="B5">
        <v>593.63748624184086</v>
      </c>
      <c r="C5">
        <v>614.9509965404402</v>
      </c>
      <c r="D5">
        <v>566.39544363030291</v>
      </c>
      <c r="E5" s="8">
        <v>325.24405023392632</v>
      </c>
      <c r="F5">
        <v>791.76195898535775</v>
      </c>
    </row>
    <row r="6" spans="1:7" x14ac:dyDescent="0.25">
      <c r="A6">
        <v>346</v>
      </c>
      <c r="B6">
        <v>334.36907382024032</v>
      </c>
      <c r="C6">
        <v>302.80083307636801</v>
      </c>
      <c r="D6">
        <v>279.53211069335964</v>
      </c>
      <c r="E6" s="8">
        <v>164.52341730981831</v>
      </c>
      <c r="F6">
        <v>324.29039866417952</v>
      </c>
    </row>
    <row r="7" spans="1:7" x14ac:dyDescent="0.25">
      <c r="A7">
        <v>263</v>
      </c>
      <c r="B7">
        <v>402.66459776459789</v>
      </c>
      <c r="C7">
        <v>349.30398669764099</v>
      </c>
      <c r="D7">
        <v>365.2844799434331</v>
      </c>
      <c r="E7" s="8">
        <v>411.0373798714644</v>
      </c>
      <c r="F7">
        <v>291.14493927117553</v>
      </c>
    </row>
    <row r="8" spans="1:7" x14ac:dyDescent="0.25">
      <c r="A8">
        <v>173</v>
      </c>
      <c r="B8">
        <v>180.7527166307971</v>
      </c>
      <c r="C8">
        <v>136.71440711589347</v>
      </c>
      <c r="D8">
        <v>146.48950347017364</v>
      </c>
      <c r="E8" s="8">
        <v>169.87446144652029</v>
      </c>
      <c r="F8">
        <v>113.78956729303827</v>
      </c>
    </row>
    <row r="9" spans="1:7" x14ac:dyDescent="0.25">
      <c r="A9">
        <v>290</v>
      </c>
      <c r="B9">
        <v>462.22084302214762</v>
      </c>
      <c r="C9">
        <v>413.60166445817401</v>
      </c>
      <c r="D9">
        <v>426.44885094602063</v>
      </c>
      <c r="E9" s="8">
        <v>476.70952360150687</v>
      </c>
      <c r="F9">
        <v>334.28542064335221</v>
      </c>
    </row>
    <row r="10" spans="1:7" x14ac:dyDescent="0.25">
      <c r="A10">
        <v>441</v>
      </c>
      <c r="B10">
        <v>572.15534618756374</v>
      </c>
      <c r="C10">
        <v>540.02990858086434</v>
      </c>
      <c r="D10">
        <v>504.98428894060766</v>
      </c>
      <c r="E10" s="8">
        <v>282.13651118247316</v>
      </c>
      <c r="F10">
        <v>616.25983571750237</v>
      </c>
    </row>
    <row r="11" spans="1:7" x14ac:dyDescent="0.25">
      <c r="A11">
        <v>1069</v>
      </c>
      <c r="B11">
        <v>893.17687673005526</v>
      </c>
      <c r="C11">
        <v>850.27819509928008</v>
      </c>
      <c r="D11">
        <v>815.32416785703299</v>
      </c>
      <c r="E11" s="8">
        <v>474.94041273941525</v>
      </c>
      <c r="F11">
        <v>1539.0978935044841</v>
      </c>
    </row>
    <row r="12" spans="1:7" x14ac:dyDescent="0.25">
      <c r="A12">
        <v>1958</v>
      </c>
      <c r="B12">
        <v>1147.8373210615573</v>
      </c>
      <c r="C12">
        <v>1136.6918653244995</v>
      </c>
      <c r="D12">
        <v>1051.9257917534342</v>
      </c>
      <c r="E12" s="8">
        <v>586.97474194517849</v>
      </c>
      <c r="F12">
        <v>1767.2357615329954</v>
      </c>
    </row>
    <row r="13" spans="1:7" s="46" customFormat="1" x14ac:dyDescent="0.25">
      <c r="A13" s="46">
        <v>40</v>
      </c>
      <c r="B13" s="46">
        <v>135.89833932219261</v>
      </c>
      <c r="C13" s="46">
        <v>65.898029581236145</v>
      </c>
      <c r="D13" s="46">
        <v>55.622825511514506</v>
      </c>
      <c r="E13" s="55">
        <v>71.681229026760917</v>
      </c>
      <c r="F13" s="46">
        <v>78.980741337675653</v>
      </c>
    </row>
    <row r="14" spans="1:7" x14ac:dyDescent="0.25">
      <c r="A14">
        <v>1428</v>
      </c>
      <c r="B14">
        <v>1039.5179814712701</v>
      </c>
      <c r="C14">
        <v>1002.1182389442009</v>
      </c>
      <c r="D14">
        <v>915.72255149074158</v>
      </c>
      <c r="E14" s="8">
        <v>508.87951614868717</v>
      </c>
      <c r="F14">
        <v>1603.7980926943258</v>
      </c>
    </row>
    <row r="15" spans="1:7" x14ac:dyDescent="0.25">
      <c r="A15">
        <v>129.30000000000001</v>
      </c>
      <c r="B15">
        <v>222.48389710117249</v>
      </c>
      <c r="C15">
        <v>168.06637329358401</v>
      </c>
      <c r="D15">
        <v>171.97808261409065</v>
      </c>
      <c r="E15" s="8">
        <v>204.97055066416414</v>
      </c>
      <c r="F15">
        <v>168.66764833773743</v>
      </c>
    </row>
    <row r="16" spans="1:7" x14ac:dyDescent="0.25">
      <c r="A16">
        <v>30</v>
      </c>
      <c r="B16">
        <v>128.44733635255355</v>
      </c>
      <c r="C16">
        <v>54.188683420100809</v>
      </c>
      <c r="D16">
        <v>45.253723144299805</v>
      </c>
      <c r="E16" s="8">
        <v>57.256213451286364</v>
      </c>
      <c r="F16">
        <v>59.775951277233411</v>
      </c>
    </row>
    <row r="17" spans="1:6" x14ac:dyDescent="0.25">
      <c r="A17">
        <v>243</v>
      </c>
      <c r="B17">
        <v>358.3285730648048</v>
      </c>
      <c r="C17">
        <v>314.70759263845861</v>
      </c>
      <c r="D17">
        <v>332.22379297842321</v>
      </c>
      <c r="E17" s="8">
        <v>369.90093145843747</v>
      </c>
      <c r="F17">
        <v>235.90005191461509</v>
      </c>
    </row>
    <row r="18" spans="1:6" x14ac:dyDescent="0.25">
      <c r="A18">
        <v>1262</v>
      </c>
      <c r="B18">
        <v>644.64845972320711</v>
      </c>
      <c r="C18">
        <v>688.200163755105</v>
      </c>
      <c r="D18">
        <v>651.80208519598432</v>
      </c>
      <c r="E18" s="8">
        <v>391.49888948590626</v>
      </c>
      <c r="F18">
        <v>1089.3302299094844</v>
      </c>
    </row>
    <row r="19" spans="1:6" x14ac:dyDescent="0.25">
      <c r="A19">
        <v>525</v>
      </c>
      <c r="B19">
        <v>626.52383911603738</v>
      </c>
      <c r="C19">
        <v>551.93701476553906</v>
      </c>
      <c r="D19">
        <v>526.98708054826147</v>
      </c>
      <c r="E19" s="8">
        <v>312.46342537265082</v>
      </c>
      <c r="F19">
        <v>918.92873787680446</v>
      </c>
    </row>
    <row r="20" spans="1:6" x14ac:dyDescent="0.25">
      <c r="A20">
        <v>562</v>
      </c>
      <c r="B20">
        <v>790.02972846280181</v>
      </c>
      <c r="C20">
        <v>718.60238729785635</v>
      </c>
      <c r="D20">
        <v>680.56439670310635</v>
      </c>
      <c r="E20" s="8">
        <v>377.20672024226627</v>
      </c>
      <c r="F20">
        <v>965.79535367208439</v>
      </c>
    </row>
    <row r="21" spans="1:6" x14ac:dyDescent="0.25">
      <c r="A21">
        <v>1314.9</v>
      </c>
      <c r="B21">
        <v>1297.3172980938521</v>
      </c>
      <c r="C21">
        <v>1439.884900128211</v>
      </c>
      <c r="D21">
        <v>1167.5205418254043</v>
      </c>
      <c r="E21" s="8">
        <v>579.48246966535328</v>
      </c>
      <c r="F21">
        <v>1065.3482218976505</v>
      </c>
    </row>
    <row r="22" spans="1:6" x14ac:dyDescent="0.25">
      <c r="A22">
        <v>465.5</v>
      </c>
      <c r="B22">
        <v>471.46169676609605</v>
      </c>
      <c r="C22">
        <v>486.52624084801204</v>
      </c>
      <c r="D22">
        <v>445.56814896471008</v>
      </c>
      <c r="E22" s="8">
        <v>265.75486438634312</v>
      </c>
      <c r="F22">
        <v>687.71499403961866</v>
      </c>
    </row>
    <row r="23" spans="1:6" x14ac:dyDescent="0.25">
      <c r="A23">
        <v>752</v>
      </c>
      <c r="B23">
        <v>644.27222791896145</v>
      </c>
      <c r="C23">
        <v>661.00407327042581</v>
      </c>
      <c r="D23">
        <v>597.09962248974557</v>
      </c>
      <c r="E23" s="8">
        <v>311.26678048830644</v>
      </c>
      <c r="F23">
        <v>542.69981437649517</v>
      </c>
    </row>
    <row r="24" spans="1:6" x14ac:dyDescent="0.25">
      <c r="A24">
        <v>221</v>
      </c>
      <c r="B24">
        <v>277.51734580985493</v>
      </c>
      <c r="C24">
        <v>243.28577160031216</v>
      </c>
      <c r="D24">
        <v>260.32860515065272</v>
      </c>
      <c r="E24" s="8">
        <v>299.77858365197693</v>
      </c>
      <c r="F24">
        <v>193.26983505368659</v>
      </c>
    </row>
    <row r="25" spans="1:6" x14ac:dyDescent="0.25">
      <c r="A25">
        <v>964</v>
      </c>
      <c r="B25">
        <v>998.03937233638521</v>
      </c>
      <c r="C25">
        <v>945.8855790055693</v>
      </c>
      <c r="D25">
        <v>869.80262139980869</v>
      </c>
      <c r="E25" s="8">
        <v>477.10074239856863</v>
      </c>
      <c r="F25">
        <v>1390.7499313368714</v>
      </c>
    </row>
    <row r="26" spans="1:6" x14ac:dyDescent="0.25">
      <c r="A26">
        <v>10</v>
      </c>
      <c r="B26">
        <v>81.615872718551032</v>
      </c>
      <c r="C26">
        <v>19.49725618784915</v>
      </c>
      <c r="D26">
        <v>13.793551417811454</v>
      </c>
      <c r="E26" s="8">
        <v>18.39248119384651</v>
      </c>
      <c r="F26">
        <v>20.323115554215327</v>
      </c>
    </row>
    <row r="27" spans="1:6" x14ac:dyDescent="0.25">
      <c r="A27">
        <v>11</v>
      </c>
      <c r="B27">
        <v>96.156813521692754</v>
      </c>
      <c r="C27">
        <v>25.230580057171583</v>
      </c>
      <c r="D27">
        <v>17.131172773532207</v>
      </c>
      <c r="E27" s="8">
        <v>23.125902840919679</v>
      </c>
      <c r="F27">
        <v>28.649765848604929</v>
      </c>
    </row>
    <row r="28" spans="1:6" x14ac:dyDescent="0.25">
      <c r="A28">
        <v>529</v>
      </c>
      <c r="B28">
        <v>486.30386717304333</v>
      </c>
      <c r="C28">
        <v>547.33863288421571</v>
      </c>
      <c r="D28">
        <v>492.4347637374434</v>
      </c>
      <c r="E28" s="8">
        <v>284.59938788312229</v>
      </c>
      <c r="F28">
        <v>627.27047766134774</v>
      </c>
    </row>
    <row r="29" spans="1:6" x14ac:dyDescent="0.25">
      <c r="A29">
        <v>700</v>
      </c>
      <c r="B29">
        <v>557.26210638119016</v>
      </c>
      <c r="C29">
        <v>607.19560864307152</v>
      </c>
      <c r="D29">
        <v>561.8308888219816</v>
      </c>
      <c r="E29" s="8">
        <v>334.6623775571021</v>
      </c>
      <c r="F29">
        <v>866.97029488117425</v>
      </c>
    </row>
    <row r="30" spans="1:6" x14ac:dyDescent="0.25">
      <c r="A30">
        <v>616.9</v>
      </c>
      <c r="B30">
        <v>425.89021166755418</v>
      </c>
      <c r="C30">
        <v>445.90976354530176</v>
      </c>
      <c r="D30">
        <v>417.8883804620541</v>
      </c>
      <c r="E30" s="8">
        <v>256.5345007545564</v>
      </c>
      <c r="F30">
        <v>644.94176045303129</v>
      </c>
    </row>
    <row r="31" spans="1:6" x14ac:dyDescent="0.25">
      <c r="A31">
        <v>342</v>
      </c>
      <c r="B31">
        <v>375.65981171639191</v>
      </c>
      <c r="C31">
        <v>327.84079381683847</v>
      </c>
      <c r="D31">
        <v>347.95564615722492</v>
      </c>
      <c r="E31" s="8">
        <v>397.1574543998849</v>
      </c>
      <c r="F31">
        <v>267.90231070472652</v>
      </c>
    </row>
    <row r="32" spans="1:6" x14ac:dyDescent="0.25">
      <c r="A32">
        <v>816</v>
      </c>
      <c r="B32">
        <v>826.11584323029524</v>
      </c>
      <c r="C32">
        <v>777.45445965674378</v>
      </c>
      <c r="D32">
        <v>723.80604561529071</v>
      </c>
      <c r="E32" s="8">
        <v>403.38319963029988</v>
      </c>
      <c r="F32">
        <v>1116.1416294332123</v>
      </c>
    </row>
    <row r="33" spans="1:6" x14ac:dyDescent="0.25">
      <c r="A33">
        <v>150.1</v>
      </c>
      <c r="B33">
        <v>280.22302769474931</v>
      </c>
      <c r="C33">
        <v>197.64268178371324</v>
      </c>
      <c r="D33">
        <v>225.45161731905625</v>
      </c>
      <c r="E33" s="8">
        <v>239.56992129336837</v>
      </c>
      <c r="F33">
        <v>135.61485895999922</v>
      </c>
    </row>
    <row r="34" spans="1:6" x14ac:dyDescent="0.25">
      <c r="A34">
        <v>689</v>
      </c>
      <c r="B34">
        <v>535.41579567796521</v>
      </c>
      <c r="C34">
        <v>580.4746810016552</v>
      </c>
      <c r="D34">
        <v>537.9739584868953</v>
      </c>
      <c r="E34" s="8">
        <v>310.50552786045051</v>
      </c>
      <c r="F34">
        <v>669.56036353386207</v>
      </c>
    </row>
    <row r="35" spans="1:6" x14ac:dyDescent="0.25">
      <c r="A35">
        <v>11</v>
      </c>
      <c r="B35">
        <v>78.902985748639225</v>
      </c>
      <c r="C35">
        <v>20.730546062650475</v>
      </c>
      <c r="D35">
        <v>14.573597680218583</v>
      </c>
      <c r="E35" s="8">
        <v>19.747365929629755</v>
      </c>
      <c r="F35">
        <v>22.180812538004758</v>
      </c>
    </row>
    <row r="36" spans="1:6" x14ac:dyDescent="0.25">
      <c r="A36">
        <v>981</v>
      </c>
      <c r="B36">
        <v>860.79581474155725</v>
      </c>
      <c r="C36">
        <v>810.40852792130988</v>
      </c>
      <c r="D36">
        <v>769.73864315452397</v>
      </c>
      <c r="E36" s="8">
        <v>448.98846594944956</v>
      </c>
      <c r="F36">
        <v>1501.856181600627</v>
      </c>
    </row>
    <row r="37" spans="1:6" x14ac:dyDescent="0.25">
      <c r="A37">
        <v>620</v>
      </c>
      <c r="B37">
        <v>491.17222416570422</v>
      </c>
      <c r="C37">
        <v>494.12935544272312</v>
      </c>
      <c r="D37">
        <v>458.70947302686557</v>
      </c>
      <c r="E37" s="8">
        <v>267.03353241622011</v>
      </c>
      <c r="F37">
        <v>618.81490804219027</v>
      </c>
    </row>
    <row r="38" spans="1:6" x14ac:dyDescent="0.25">
      <c r="A38">
        <v>324</v>
      </c>
      <c r="B38">
        <v>422.31042482521315</v>
      </c>
      <c r="C38">
        <v>431.50813935052969</v>
      </c>
      <c r="D38">
        <v>383.72606712644654</v>
      </c>
      <c r="E38" s="8">
        <v>219.5864116764923</v>
      </c>
      <c r="F38">
        <v>498.30631705457273</v>
      </c>
    </row>
    <row r="39" spans="1:6" x14ac:dyDescent="0.25">
      <c r="A39">
        <v>1529</v>
      </c>
      <c r="B39">
        <v>1034.3811550852195</v>
      </c>
      <c r="C39">
        <v>1225.2429822594665</v>
      </c>
      <c r="D39">
        <v>975.5878288060253</v>
      </c>
      <c r="E39" s="8">
        <v>479.24366915264721</v>
      </c>
      <c r="F39">
        <v>683.75335568444802</v>
      </c>
    </row>
    <row r="40" spans="1:6" x14ac:dyDescent="0.25">
      <c r="A40">
        <v>1127</v>
      </c>
      <c r="B40">
        <v>1083.5764564655353</v>
      </c>
      <c r="C40">
        <v>967.37371998012964</v>
      </c>
      <c r="D40">
        <v>924.15413768998303</v>
      </c>
      <c r="E40" s="8">
        <v>527.80811955624347</v>
      </c>
      <c r="F40">
        <v>1911.6304402514902</v>
      </c>
    </row>
    <row r="41" spans="1:6" x14ac:dyDescent="0.25">
      <c r="A41">
        <v>1017</v>
      </c>
      <c r="B41">
        <v>867.72191114506234</v>
      </c>
      <c r="C41">
        <v>828.22813668729259</v>
      </c>
      <c r="D41">
        <v>779.62922092301687</v>
      </c>
      <c r="E41" s="8">
        <v>451.85075660775306</v>
      </c>
      <c r="F41">
        <v>1485.7010718582985</v>
      </c>
    </row>
    <row r="42" spans="1:6" x14ac:dyDescent="0.25">
      <c r="A42">
        <v>3455</v>
      </c>
      <c r="B42">
        <v>968.71227949434626</v>
      </c>
      <c r="C42">
        <v>1020.5342381815332</v>
      </c>
      <c r="D42">
        <v>903.05462807900813</v>
      </c>
      <c r="E42" s="8">
        <v>512.06221084550089</v>
      </c>
      <c r="F42">
        <v>1627.7015391192135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2"/>
  <sheetViews>
    <sheetView tabSelected="1" zoomScale="80" zoomScaleNormal="80" workbookViewId="0">
      <selection activeCell="F2" sqref="F2:F13"/>
    </sheetView>
  </sheetViews>
  <sheetFormatPr defaultRowHeight="15" x14ac:dyDescent="0.25"/>
  <cols>
    <col min="2" max="2" width="13" bestFit="1" customWidth="1"/>
    <col min="3" max="3" width="12" bestFit="1" customWidth="1"/>
  </cols>
  <sheetData>
    <row r="1" spans="1:7" x14ac:dyDescent="0.25">
      <c r="A1" t="s">
        <v>49</v>
      </c>
      <c r="B1" t="s">
        <v>5</v>
      </c>
      <c r="C1" t="s">
        <v>50</v>
      </c>
      <c r="D1" t="s">
        <v>51</v>
      </c>
      <c r="E1" t="s">
        <v>52</v>
      </c>
      <c r="F1" t="s">
        <v>53</v>
      </c>
      <c r="G1" t="s">
        <v>58</v>
      </c>
    </row>
    <row r="2" spans="1:7" x14ac:dyDescent="0.25">
      <c r="A2">
        <v>567</v>
      </c>
      <c r="B2">
        <v>1961.8511014367166</v>
      </c>
      <c r="C2">
        <v>7288.4142799673491</v>
      </c>
      <c r="D2">
        <v>522.5733943188028</v>
      </c>
      <c r="E2">
        <v>633.18430009931978</v>
      </c>
    </row>
    <row r="3" spans="1:7" x14ac:dyDescent="0.25">
      <c r="A3">
        <v>2954</v>
      </c>
      <c r="B3">
        <v>3646.7015090409545</v>
      </c>
      <c r="C3">
        <v>8494.1068494109204</v>
      </c>
      <c r="D3">
        <v>3444.8284943607241</v>
      </c>
      <c r="E3">
        <v>4247.7019726330745</v>
      </c>
      <c r="F3">
        <v>1330.9649401232393</v>
      </c>
    </row>
    <row r="4" spans="1:7" x14ac:dyDescent="0.25">
      <c r="A4">
        <v>2209</v>
      </c>
      <c r="B4">
        <v>2480.8324176519673</v>
      </c>
      <c r="C4">
        <v>7639.8865878688048</v>
      </c>
      <c r="D4">
        <v>1525.4804284822828</v>
      </c>
      <c r="E4">
        <v>1879.1573422936094</v>
      </c>
      <c r="F4">
        <v>308.98026700168538</v>
      </c>
    </row>
    <row r="5" spans="1:7" x14ac:dyDescent="0.25">
      <c r="A5">
        <v>2740</v>
      </c>
      <c r="B5">
        <v>3421.0154936900267</v>
      </c>
      <c r="C5">
        <v>9234.8582345393097</v>
      </c>
      <c r="D5">
        <v>3185.639779841973</v>
      </c>
      <c r="E5">
        <v>3948.5349572054774</v>
      </c>
      <c r="F5">
        <v>1101.4229355064135</v>
      </c>
    </row>
    <row r="6" spans="1:7" x14ac:dyDescent="0.25">
      <c r="A6">
        <v>1622</v>
      </c>
      <c r="B6">
        <v>2367.3954115127817</v>
      </c>
      <c r="C6">
        <v>7803.600745834241</v>
      </c>
      <c r="D6">
        <v>1558.8583970575955</v>
      </c>
      <c r="E6">
        <v>1939.6560209037639</v>
      </c>
      <c r="F6">
        <v>399.49462424656491</v>
      </c>
    </row>
    <row r="7" spans="1:7" x14ac:dyDescent="0.25">
      <c r="A7">
        <v>1994.7</v>
      </c>
      <c r="B7">
        <v>2220.3834499149393</v>
      </c>
      <c r="C7">
        <v>7264.5449741336406</v>
      </c>
      <c r="D7">
        <v>1295.3706480170911</v>
      </c>
      <c r="E7">
        <v>1477.9948965896813</v>
      </c>
      <c r="F7">
        <v>237.08876115343793</v>
      </c>
    </row>
    <row r="8" spans="1:7" x14ac:dyDescent="0.25">
      <c r="A8">
        <v>1109</v>
      </c>
      <c r="B8">
        <v>2047.4599026694525</v>
      </c>
      <c r="C8">
        <v>7880.3864560866277</v>
      </c>
      <c r="D8">
        <v>1126.2783454283303</v>
      </c>
      <c r="E8">
        <v>1291.9060910353151</v>
      </c>
      <c r="F8">
        <v>-177.04293174279323</v>
      </c>
    </row>
    <row r="9" spans="1:7" x14ac:dyDescent="0.25">
      <c r="A9">
        <v>2302</v>
      </c>
      <c r="B9">
        <v>2311.039548896998</v>
      </c>
      <c r="C9">
        <v>7454.0227331127435</v>
      </c>
      <c r="D9">
        <v>1417.2369105767498</v>
      </c>
      <c r="E9">
        <v>1618.9418099590571</v>
      </c>
      <c r="F9">
        <v>335.90467267766968</v>
      </c>
    </row>
    <row r="10" spans="1:7" x14ac:dyDescent="0.25">
      <c r="A10">
        <v>2333</v>
      </c>
      <c r="B10">
        <v>2519.0496516206886</v>
      </c>
      <c r="C10">
        <v>7579.981759329874</v>
      </c>
      <c r="D10">
        <v>1675.1573296841184</v>
      </c>
      <c r="E10">
        <v>2079.3515054159066</v>
      </c>
      <c r="F10">
        <v>499.33806829823777</v>
      </c>
    </row>
    <row r="11" spans="1:7" x14ac:dyDescent="0.25">
      <c r="A11">
        <v>2860</v>
      </c>
      <c r="B11">
        <v>3418.9942773236389</v>
      </c>
      <c r="C11">
        <v>8312.8401358198298</v>
      </c>
      <c r="D11">
        <v>2881.2519303427002</v>
      </c>
      <c r="E11">
        <v>3588.8439784527318</v>
      </c>
      <c r="F11">
        <v>1034.3774258375286</v>
      </c>
    </row>
    <row r="12" spans="1:7" x14ac:dyDescent="0.25">
      <c r="A12">
        <v>3740</v>
      </c>
      <c r="B12">
        <v>4202.2367002372621</v>
      </c>
      <c r="C12">
        <v>8852.9735762464334</v>
      </c>
      <c r="D12">
        <v>5036.5991895721027</v>
      </c>
      <c r="E12">
        <v>6304.8457130640509</v>
      </c>
      <c r="F12">
        <v>1705.4745384084147</v>
      </c>
    </row>
    <row r="13" spans="1:7" x14ac:dyDescent="0.25">
      <c r="A13">
        <v>348.78500000000003</v>
      </c>
      <c r="B13">
        <v>1829.2098297211699</v>
      </c>
      <c r="C13">
        <v>4872.6665300811692</v>
      </c>
      <c r="D13">
        <v>243.44718772522748</v>
      </c>
      <c r="E13">
        <v>258.15457109868339</v>
      </c>
    </row>
    <row r="14" spans="1:7" s="52" customFormat="1" x14ac:dyDescent="0.25">
      <c r="A14" s="52">
        <v>3264</v>
      </c>
      <c r="B14" s="52">
        <v>3934.2303258395777</v>
      </c>
      <c r="C14" s="52">
        <v>8245.4262424107765</v>
      </c>
      <c r="D14" s="52">
        <v>3803.1002126907788</v>
      </c>
      <c r="E14" s="52">
        <v>4740.4530993218714</v>
      </c>
      <c r="F14" s="52">
        <v>1412.336772159425</v>
      </c>
    </row>
    <row r="15" spans="1:7" x14ac:dyDescent="0.25">
      <c r="A15">
        <v>1005</v>
      </c>
      <c r="B15">
        <v>1805.6312430751718</v>
      </c>
      <c r="C15">
        <v>6678.0697942175975</v>
      </c>
      <c r="D15">
        <v>703.90262132689645</v>
      </c>
      <c r="E15">
        <v>774.73204971615667</v>
      </c>
      <c r="F15">
        <v>-813.85179714242099</v>
      </c>
    </row>
    <row r="16" spans="1:7" x14ac:dyDescent="0.25">
      <c r="A16">
        <v>302.86500000000001</v>
      </c>
      <c r="B16">
        <v>1873.372768204498</v>
      </c>
      <c r="C16">
        <v>4304.0362319352134</v>
      </c>
      <c r="D16">
        <v>193.15307108599683</v>
      </c>
      <c r="E16">
        <v>208.09392696715508</v>
      </c>
    </row>
    <row r="17" spans="1:6" x14ac:dyDescent="0.25">
      <c r="A17">
        <v>2105</v>
      </c>
      <c r="B17">
        <v>2239.3249880949638</v>
      </c>
      <c r="C17">
        <v>7874.0492352672482</v>
      </c>
      <c r="D17">
        <v>1378.3513753303682</v>
      </c>
      <c r="E17">
        <v>1582.3850223614609</v>
      </c>
      <c r="F17">
        <v>230.53071537944209</v>
      </c>
    </row>
    <row r="18" spans="1:6" x14ac:dyDescent="0.25">
      <c r="A18">
        <v>2975</v>
      </c>
      <c r="B18">
        <v>3653.4957005629508</v>
      </c>
      <c r="C18">
        <v>10320.846581108375</v>
      </c>
      <c r="D18">
        <v>4153.5745338157676</v>
      </c>
      <c r="E18">
        <v>5184.6862882009837</v>
      </c>
      <c r="F18">
        <v>1289.8434376003779</v>
      </c>
    </row>
    <row r="19" spans="1:6" x14ac:dyDescent="0.25">
      <c r="A19">
        <v>1898</v>
      </c>
      <c r="B19">
        <v>2488.5235616191317</v>
      </c>
      <c r="C19">
        <v>6889.1161509389458</v>
      </c>
      <c r="D19">
        <v>1520.0967995643095</v>
      </c>
      <c r="E19">
        <v>1889.8264209781958</v>
      </c>
      <c r="F19">
        <v>457.78383585719695</v>
      </c>
    </row>
    <row r="20" spans="1:6" x14ac:dyDescent="0.25">
      <c r="A20">
        <v>2511</v>
      </c>
      <c r="B20">
        <v>2664.0986931695329</v>
      </c>
      <c r="C20">
        <v>6975.6652983519807</v>
      </c>
      <c r="D20">
        <v>1716.8313048971845</v>
      </c>
      <c r="E20">
        <v>2134.7529813266219</v>
      </c>
      <c r="F20">
        <v>604.48472397782064</v>
      </c>
    </row>
    <row r="21" spans="1:6" x14ac:dyDescent="0.25">
      <c r="A21">
        <v>5503</v>
      </c>
      <c r="B21">
        <v>4082.9423620937141</v>
      </c>
      <c r="C21">
        <v>9532.2730470459537</v>
      </c>
      <c r="D21">
        <v>4934.0678196021854</v>
      </c>
      <c r="E21">
        <v>6076.9398772203213</v>
      </c>
      <c r="F21">
        <v>1702.6870784636494</v>
      </c>
    </row>
    <row r="22" spans="1:6" x14ac:dyDescent="0.25">
      <c r="A22">
        <v>2271</v>
      </c>
      <c r="B22">
        <v>2563.5225322968449</v>
      </c>
      <c r="C22">
        <v>9161.1914879189935</v>
      </c>
      <c r="D22">
        <v>1905.9135228038756</v>
      </c>
      <c r="E22">
        <v>2353.8795176642261</v>
      </c>
      <c r="F22">
        <v>410.25958917395269</v>
      </c>
    </row>
    <row r="23" spans="1:6" x14ac:dyDescent="0.25">
      <c r="A23">
        <v>3303</v>
      </c>
      <c r="B23">
        <v>3571.7409406809056</v>
      </c>
      <c r="C23">
        <v>8844.8930348007671</v>
      </c>
      <c r="D23">
        <v>3302.4490147219476</v>
      </c>
      <c r="E23">
        <v>4008.0885820875524</v>
      </c>
      <c r="F23">
        <v>1292.8107895384157</v>
      </c>
    </row>
    <row r="24" spans="1:6" x14ac:dyDescent="0.25">
      <c r="A24">
        <v>1761</v>
      </c>
      <c r="B24">
        <v>2106.940066343047</v>
      </c>
      <c r="C24">
        <v>8193.0142531355832</v>
      </c>
      <c r="D24">
        <v>1307.4763607176012</v>
      </c>
      <c r="E24">
        <v>1516.9509277090719</v>
      </c>
      <c r="F24">
        <v>104.33997038165009</v>
      </c>
    </row>
    <row r="25" spans="1:6" x14ac:dyDescent="0.25">
      <c r="A25">
        <v>3109</v>
      </c>
      <c r="B25">
        <v>3466.3419326594194</v>
      </c>
      <c r="C25">
        <v>7728.5835923002314</v>
      </c>
      <c r="D25">
        <v>2727.3495151796933</v>
      </c>
      <c r="E25">
        <v>3386.5837324060362</v>
      </c>
      <c r="F25">
        <v>1058.0664235607128</v>
      </c>
    </row>
    <row r="26" spans="1:6" x14ac:dyDescent="0.25">
      <c r="A26">
        <v>132.51</v>
      </c>
      <c r="B26">
        <v>2284.3179109254788</v>
      </c>
      <c r="C26">
        <v>2673.8637734445342</v>
      </c>
      <c r="D26">
        <v>0</v>
      </c>
      <c r="E26">
        <v>98.807098375898676</v>
      </c>
    </row>
    <row r="27" spans="1:6" x14ac:dyDescent="0.25">
      <c r="A27">
        <v>138.29</v>
      </c>
      <c r="B27">
        <v>2359.3801046779899</v>
      </c>
      <c r="C27">
        <v>2572.9604218645295</v>
      </c>
      <c r="D27">
        <v>77.650957920991715</v>
      </c>
      <c r="E27">
        <v>92.284252376953262</v>
      </c>
    </row>
    <row r="28" spans="1:6" x14ac:dyDescent="0.25">
      <c r="A28">
        <v>2908</v>
      </c>
      <c r="B28">
        <v>2827.8852537240241</v>
      </c>
      <c r="C28">
        <v>10542.101010613207</v>
      </c>
      <c r="D28">
        <v>2518.0772069477607</v>
      </c>
      <c r="E28">
        <v>3085.9170265011116</v>
      </c>
      <c r="F28">
        <v>628.16797198616212</v>
      </c>
    </row>
    <row r="29" spans="1:6" x14ac:dyDescent="0.25">
      <c r="A29">
        <v>2851</v>
      </c>
      <c r="B29">
        <v>2998.6785367277243</v>
      </c>
      <c r="C29">
        <v>10330.499675535993</v>
      </c>
      <c r="D29">
        <v>2761.4570251535265</v>
      </c>
      <c r="E29">
        <v>3427.4892450943671</v>
      </c>
      <c r="F29">
        <v>765.28958346843228</v>
      </c>
    </row>
    <row r="30" spans="1:6" x14ac:dyDescent="0.25">
      <c r="A30">
        <v>2195</v>
      </c>
      <c r="B30">
        <v>2808.351185050341</v>
      </c>
      <c r="C30">
        <v>9735.0221828147442</v>
      </c>
      <c r="D30">
        <v>2449.2631862092708</v>
      </c>
      <c r="E30">
        <v>3044.2466032864918</v>
      </c>
      <c r="F30">
        <v>696.49868743038644</v>
      </c>
    </row>
    <row r="31" spans="1:6" x14ac:dyDescent="0.25">
      <c r="A31">
        <v>1965.7</v>
      </c>
      <c r="B31">
        <v>2402.1471900886422</v>
      </c>
      <c r="C31">
        <v>7566.3828052409335</v>
      </c>
      <c r="D31">
        <v>1637.5177883816004</v>
      </c>
      <c r="E31">
        <v>1936.0170589157253</v>
      </c>
      <c r="F31">
        <v>590.13286661617383</v>
      </c>
    </row>
    <row r="32" spans="1:6" x14ac:dyDescent="0.25">
      <c r="A32">
        <v>2723</v>
      </c>
      <c r="B32">
        <v>3212.6547648851356</v>
      </c>
      <c r="C32">
        <v>7605.9779343506889</v>
      </c>
      <c r="D32">
        <v>2424.4726232889925</v>
      </c>
      <c r="E32">
        <v>3009.1443498997542</v>
      </c>
      <c r="F32">
        <v>937.28714546663275</v>
      </c>
    </row>
    <row r="33" spans="1:6" x14ac:dyDescent="0.25">
      <c r="A33">
        <v>1574</v>
      </c>
      <c r="B33">
        <v>2042.6008983270965</v>
      </c>
      <c r="C33">
        <v>6797.2135069144069</v>
      </c>
      <c r="D33">
        <v>950.7591665346423</v>
      </c>
      <c r="E33">
        <v>1085.7191603365768</v>
      </c>
      <c r="F33">
        <v>-351.78778466294847</v>
      </c>
    </row>
    <row r="34" spans="1:6" x14ac:dyDescent="0.25">
      <c r="A34">
        <v>2919</v>
      </c>
      <c r="B34">
        <v>3055.8997003991058</v>
      </c>
      <c r="C34">
        <v>10032.011183736513</v>
      </c>
      <c r="D34">
        <v>2894.3449677862777</v>
      </c>
      <c r="E34">
        <v>3591.9263162196389</v>
      </c>
      <c r="F34">
        <v>898.47582525800988</v>
      </c>
    </row>
    <row r="35" spans="1:6" x14ac:dyDescent="0.25">
      <c r="A35">
        <v>139.83000000000001</v>
      </c>
      <c r="B35">
        <v>2275.3469218862538</v>
      </c>
      <c r="C35">
        <v>2954.8499974395936</v>
      </c>
      <c r="D35">
        <v>92.622955605964975</v>
      </c>
      <c r="E35">
        <v>108.17878618170434</v>
      </c>
    </row>
    <row r="36" spans="1:6" x14ac:dyDescent="0.25">
      <c r="A36">
        <v>2706</v>
      </c>
      <c r="B36">
        <v>3358.0143042204613</v>
      </c>
      <c r="C36">
        <v>8132.5299341321097</v>
      </c>
      <c r="D36">
        <v>2661.7354101531391</v>
      </c>
      <c r="E36">
        <v>3315.449437174062</v>
      </c>
      <c r="F36">
        <v>954.39324351053733</v>
      </c>
    </row>
    <row r="37" spans="1:6" x14ac:dyDescent="0.25">
      <c r="A37">
        <v>2316</v>
      </c>
      <c r="B37">
        <v>2921.1369096465246</v>
      </c>
      <c r="C37">
        <v>8788.8698120779572</v>
      </c>
      <c r="D37">
        <v>2405.9484344838693</v>
      </c>
      <c r="E37">
        <v>2982.2693153863038</v>
      </c>
      <c r="F37">
        <v>803.08808214055375</v>
      </c>
    </row>
    <row r="38" spans="1:6" x14ac:dyDescent="0.25">
      <c r="A38">
        <v>2155</v>
      </c>
      <c r="B38">
        <v>2418.2265464753091</v>
      </c>
      <c r="C38">
        <v>8581.5716827655833</v>
      </c>
      <c r="D38">
        <v>1546.5846930261246</v>
      </c>
      <c r="E38">
        <v>1867.0782017698616</v>
      </c>
      <c r="F38">
        <v>158.29770896977377</v>
      </c>
    </row>
    <row r="39" spans="1:6" x14ac:dyDescent="0.25">
      <c r="A39">
        <v>5921</v>
      </c>
      <c r="B39">
        <v>4480.1103383775599</v>
      </c>
      <c r="C39">
        <v>10969.269870712593</v>
      </c>
      <c r="D39">
        <v>7075.7162468091401</v>
      </c>
      <c r="E39">
        <v>8638.4011340071993</v>
      </c>
      <c r="F39">
        <v>2151.4804836172107</v>
      </c>
    </row>
    <row r="40" spans="1:6" x14ac:dyDescent="0.25">
      <c r="A40">
        <v>2820</v>
      </c>
      <c r="B40">
        <v>3497.5985875732867</v>
      </c>
      <c r="C40">
        <v>7439.7295488401896</v>
      </c>
      <c r="D40">
        <v>2669.700568572925</v>
      </c>
      <c r="E40">
        <v>3329.0413115387423</v>
      </c>
      <c r="F40">
        <v>1045.9146686281317</v>
      </c>
    </row>
    <row r="41" spans="1:6" x14ac:dyDescent="0.25">
      <c r="A41">
        <v>2809</v>
      </c>
      <c r="B41">
        <v>3438.3433876748413</v>
      </c>
      <c r="C41">
        <v>8296.0603297725884</v>
      </c>
      <c r="D41">
        <v>2817.2607581485654</v>
      </c>
      <c r="E41">
        <v>3509.8422749436068</v>
      </c>
      <c r="F41">
        <v>1006.2387768877953</v>
      </c>
    </row>
    <row r="42" spans="1:6" x14ac:dyDescent="0.25">
      <c r="A42">
        <v>3710</v>
      </c>
      <c r="B42">
        <v>5136.9973240614554</v>
      </c>
      <c r="C42">
        <v>10040.755414719721</v>
      </c>
      <c r="D42">
        <v>9124.9559552920637</v>
      </c>
      <c r="E42">
        <v>11476.481372634013</v>
      </c>
      <c r="F42">
        <v>2408.2491237329614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7"/>
  <sheetViews>
    <sheetView zoomScale="60" zoomScaleNormal="60" workbookViewId="0">
      <selection activeCell="A20" sqref="A20"/>
    </sheetView>
  </sheetViews>
  <sheetFormatPr defaultRowHeight="15" x14ac:dyDescent="0.25"/>
  <cols>
    <col min="1" max="1" width="10" bestFit="1" customWidth="1"/>
    <col min="2" max="2" width="14.85546875" bestFit="1" customWidth="1"/>
    <col min="3" max="7" width="14.85546875" customWidth="1"/>
    <col min="8" max="8" width="15.85546875" bestFit="1" customWidth="1"/>
    <col min="12" max="12" width="12.42578125" bestFit="1" customWidth="1"/>
    <col min="13" max="14" width="14.85546875" bestFit="1" customWidth="1"/>
  </cols>
  <sheetData>
    <row r="1" spans="1:12" x14ac:dyDescent="0.25">
      <c r="A1" s="78" t="s">
        <v>59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2" x14ac:dyDescent="0.25">
      <c r="A2" s="31"/>
      <c r="B2" s="16"/>
      <c r="C2" s="34"/>
      <c r="D2" s="34"/>
      <c r="E2" s="34"/>
      <c r="F2" s="34"/>
      <c r="G2" s="34"/>
      <c r="H2" s="34"/>
      <c r="I2" s="16"/>
      <c r="J2" s="16"/>
      <c r="K2" s="16"/>
      <c r="L2" s="12"/>
    </row>
    <row r="3" spans="1:12" x14ac:dyDescent="0.25">
      <c r="A3" s="31" t="s">
        <v>69</v>
      </c>
      <c r="B3" s="16" t="s">
        <v>70</v>
      </c>
      <c r="C3" s="16" t="s">
        <v>61</v>
      </c>
      <c r="D3" s="16" t="s">
        <v>62</v>
      </c>
      <c r="E3" s="16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68</v>
      </c>
      <c r="L3" s="12"/>
    </row>
    <row r="4" spans="1:12" x14ac:dyDescent="0.25">
      <c r="A4" s="31">
        <v>567</v>
      </c>
      <c r="B4" s="16">
        <v>633.18430009931978</v>
      </c>
      <c r="C4" s="37">
        <f>(A4-B4)/A4</f>
        <v>-0.11672716066899433</v>
      </c>
      <c r="D4" s="39">
        <f>ABS(C4)</f>
        <v>0.11672716066899433</v>
      </c>
      <c r="E4" s="37"/>
      <c r="F4" s="38">
        <f>AVERAGE(C4:C44)</f>
        <v>-0.12165736341264295</v>
      </c>
      <c r="G4" s="39">
        <f>AVERAGE(D4:D44)</f>
        <v>0.28892503678546244</v>
      </c>
      <c r="H4" s="16">
        <f>(A4-B4)^2</f>
        <v>4380.3615796368213</v>
      </c>
      <c r="I4" s="16">
        <f>SQRT(H46)</f>
        <v>1489.9783772070484</v>
      </c>
      <c r="J4" s="16">
        <f>CORREL(A4:A44,B4:B44)</f>
        <v>0.84751106823917621</v>
      </c>
      <c r="K4" s="16">
        <f>J4^2</f>
        <v>0.71827501078790956</v>
      </c>
      <c r="L4" s="12"/>
    </row>
    <row r="5" spans="1:12" x14ac:dyDescent="0.25">
      <c r="A5" s="31">
        <v>2954</v>
      </c>
      <c r="B5" s="16">
        <v>4247.7019726330745</v>
      </c>
      <c r="C5" s="37">
        <f t="shared" ref="C5:C44" si="0">(A5-B5)/A5</f>
        <v>-0.43794921213035698</v>
      </c>
      <c r="D5" s="39">
        <f t="shared" ref="D5:D44" si="1">ABS(C5)</f>
        <v>0.43794921213035698</v>
      </c>
      <c r="E5" s="37"/>
      <c r="F5" s="16"/>
      <c r="G5" s="42"/>
      <c r="H5" s="16">
        <f t="shared" ref="H5:H44" si="2">(A5-B5)^2</f>
        <v>1673664.7939947085</v>
      </c>
      <c r="I5" s="16"/>
      <c r="J5" s="16"/>
      <c r="K5" s="16"/>
      <c r="L5" s="12"/>
    </row>
    <row r="6" spans="1:12" x14ac:dyDescent="0.25">
      <c r="A6" s="31">
        <v>2209</v>
      </c>
      <c r="B6" s="16">
        <v>1879.1573422936094</v>
      </c>
      <c r="C6" s="37">
        <f t="shared" si="0"/>
        <v>0.14931763590148964</v>
      </c>
      <c r="D6" s="39">
        <f t="shared" si="1"/>
        <v>0.14931763590148964</v>
      </c>
      <c r="E6" s="37"/>
      <c r="F6" s="16"/>
      <c r="G6" s="42"/>
      <c r="H6" s="16">
        <f t="shared" si="2"/>
        <v>108796.17884281515</v>
      </c>
      <c r="I6" s="16"/>
      <c r="J6" s="16"/>
      <c r="K6" s="16"/>
      <c r="L6" s="12"/>
    </row>
    <row r="7" spans="1:12" x14ac:dyDescent="0.25">
      <c r="A7" s="31">
        <v>2740</v>
      </c>
      <c r="B7" s="16">
        <v>3948.5349572054774</v>
      </c>
      <c r="C7" s="37">
        <f t="shared" si="0"/>
        <v>-0.44107115226477278</v>
      </c>
      <c r="D7" s="39">
        <f t="shared" si="1"/>
        <v>0.44107115226477278</v>
      </c>
      <c r="E7" s="37"/>
      <c r="F7" s="16"/>
      <c r="G7" s="42" t="s">
        <v>1</v>
      </c>
      <c r="H7" s="16">
        <f t="shared" si="2"/>
        <v>1460556.7427876452</v>
      </c>
      <c r="I7" s="16"/>
      <c r="J7" s="16"/>
      <c r="K7" s="16"/>
      <c r="L7" s="12"/>
    </row>
    <row r="8" spans="1:12" x14ac:dyDescent="0.25">
      <c r="A8" s="31">
        <v>1622</v>
      </c>
      <c r="B8" s="16">
        <v>1939.6560209037639</v>
      </c>
      <c r="C8" s="37">
        <f t="shared" si="0"/>
        <v>-0.19584218304794321</v>
      </c>
      <c r="D8" s="39">
        <f t="shared" si="1"/>
        <v>0.19584218304794321</v>
      </c>
      <c r="E8" s="37"/>
      <c r="F8" s="16"/>
      <c r="G8" s="42">
        <f>MAX(D4:D44)</f>
        <v>2.0933912055617285</v>
      </c>
      <c r="H8" s="16">
        <f t="shared" si="2"/>
        <v>100905.34761641247</v>
      </c>
      <c r="I8" s="16"/>
      <c r="J8" s="16"/>
      <c r="K8" s="16"/>
      <c r="L8" s="12"/>
    </row>
    <row r="9" spans="1:12" x14ac:dyDescent="0.25">
      <c r="A9" s="31">
        <v>1994.7</v>
      </c>
      <c r="B9" s="16">
        <v>1477.9948965896813</v>
      </c>
      <c r="C9" s="37">
        <f t="shared" si="0"/>
        <v>0.25903900506859112</v>
      </c>
      <c r="D9" s="39">
        <f t="shared" si="1"/>
        <v>0.25903900506859112</v>
      </c>
      <c r="E9" s="37"/>
      <c r="F9" s="16"/>
      <c r="G9" s="42" t="s">
        <v>2</v>
      </c>
      <c r="H9" s="16">
        <f t="shared" si="2"/>
        <v>266984.16389026819</v>
      </c>
      <c r="I9" s="16"/>
      <c r="J9" s="16"/>
      <c r="K9" s="16"/>
      <c r="L9" s="12"/>
    </row>
    <row r="10" spans="1:12" x14ac:dyDescent="0.25">
      <c r="A10" s="31">
        <v>1109</v>
      </c>
      <c r="B10" s="16">
        <v>1291.9060910353151</v>
      </c>
      <c r="C10" s="37">
        <f t="shared" si="0"/>
        <v>-0.16492884674059066</v>
      </c>
      <c r="D10" s="39">
        <f t="shared" si="1"/>
        <v>0.16492884674059066</v>
      </c>
      <c r="E10" s="37"/>
      <c r="F10" s="16"/>
      <c r="G10" s="42">
        <f>MIN(D4:D44)</f>
        <v>4.3064167659664088E-3</v>
      </c>
      <c r="H10" s="16">
        <f t="shared" si="2"/>
        <v>33454.638137818962</v>
      </c>
      <c r="I10" s="16"/>
      <c r="J10" s="16"/>
      <c r="K10" s="16"/>
      <c r="L10" s="12"/>
    </row>
    <row r="11" spans="1:12" x14ac:dyDescent="0.25">
      <c r="A11" s="31">
        <v>2302</v>
      </c>
      <c r="B11" s="16">
        <v>1618.9418099590571</v>
      </c>
      <c r="C11" s="37">
        <f t="shared" si="0"/>
        <v>0.29672380106035751</v>
      </c>
      <c r="D11" s="39">
        <f t="shared" si="1"/>
        <v>0.29672380106035751</v>
      </c>
      <c r="E11" s="37"/>
      <c r="F11" s="16"/>
      <c r="G11" s="42"/>
      <c r="H11" s="16">
        <f t="shared" si="2"/>
        <v>466568.49098200887</v>
      </c>
      <c r="I11" s="16"/>
      <c r="J11" s="16"/>
      <c r="K11" s="16"/>
      <c r="L11" s="12"/>
    </row>
    <row r="12" spans="1:12" x14ac:dyDescent="0.25">
      <c r="A12" s="31">
        <v>2333</v>
      </c>
      <c r="B12" s="16">
        <v>2079.3515054159066</v>
      </c>
      <c r="C12" s="37">
        <f t="shared" si="0"/>
        <v>0.10872202939738253</v>
      </c>
      <c r="D12" s="39">
        <f t="shared" si="1"/>
        <v>0.10872202939738253</v>
      </c>
      <c r="E12" s="37"/>
      <c r="F12" s="16"/>
      <c r="G12" s="16"/>
      <c r="H12" s="16">
        <f t="shared" si="2"/>
        <v>64337.558804776883</v>
      </c>
      <c r="I12" s="16"/>
      <c r="J12" s="16"/>
      <c r="K12" s="16"/>
      <c r="L12" s="12"/>
    </row>
    <row r="13" spans="1:12" x14ac:dyDescent="0.25">
      <c r="A13" s="31">
        <v>2860</v>
      </c>
      <c r="B13" s="16">
        <v>3588.8439784527318</v>
      </c>
      <c r="C13" s="37">
        <f t="shared" si="0"/>
        <v>-0.25484055190654958</v>
      </c>
      <c r="D13" s="39">
        <f t="shared" si="1"/>
        <v>0.25484055190654958</v>
      </c>
      <c r="E13" s="37"/>
      <c r="F13" s="16"/>
      <c r="G13" s="16"/>
      <c r="H13" s="16">
        <f t="shared" si="2"/>
        <v>531213.54492680612</v>
      </c>
      <c r="I13" s="16"/>
      <c r="J13" s="16"/>
      <c r="K13" s="16"/>
      <c r="L13" s="12"/>
    </row>
    <row r="14" spans="1:12" x14ac:dyDescent="0.25">
      <c r="A14" s="31">
        <v>3740</v>
      </c>
      <c r="B14" s="16">
        <v>6304.8457130640509</v>
      </c>
      <c r="C14" s="37">
        <f t="shared" si="0"/>
        <v>-0.68578762381391734</v>
      </c>
      <c r="D14" s="39">
        <f t="shared" si="1"/>
        <v>0.68578762381391734</v>
      </c>
      <c r="E14" s="37"/>
      <c r="F14" s="16"/>
      <c r="G14" s="16"/>
      <c r="H14" s="16">
        <f t="shared" si="2"/>
        <v>6578433.53182304</v>
      </c>
      <c r="I14" s="16"/>
      <c r="J14" s="16"/>
      <c r="K14" s="16"/>
      <c r="L14" s="12"/>
    </row>
    <row r="15" spans="1:12" x14ac:dyDescent="0.25">
      <c r="A15" s="31">
        <v>348.78500000000003</v>
      </c>
      <c r="B15" s="16">
        <v>258.15457109868339</v>
      </c>
      <c r="C15" s="37">
        <f t="shared" si="0"/>
        <v>0.25984611981970734</v>
      </c>
      <c r="D15" s="39">
        <f t="shared" si="1"/>
        <v>0.25984611981970734</v>
      </c>
      <c r="E15" s="37"/>
      <c r="F15" s="16"/>
      <c r="G15" s="16"/>
      <c r="H15" s="16">
        <f t="shared" si="2"/>
        <v>8213.8746428366103</v>
      </c>
      <c r="I15" s="16"/>
      <c r="J15" s="16"/>
      <c r="K15" s="16"/>
      <c r="L15" s="12"/>
    </row>
    <row r="16" spans="1:12" x14ac:dyDescent="0.25">
      <c r="A16" s="31">
        <v>3264</v>
      </c>
      <c r="B16" s="16">
        <v>4740.4530993218714</v>
      </c>
      <c r="C16" s="37">
        <f t="shared" si="0"/>
        <v>-0.45234469954714196</v>
      </c>
      <c r="D16" s="39">
        <f t="shared" si="1"/>
        <v>0.45234469954714196</v>
      </c>
      <c r="E16" s="37"/>
      <c r="F16" s="16"/>
      <c r="G16" s="16"/>
      <c r="H16" s="16">
        <f t="shared" si="2"/>
        <v>2179913.7544971597</v>
      </c>
      <c r="I16" s="16"/>
      <c r="J16" s="16"/>
      <c r="K16" s="16"/>
      <c r="L16" s="12"/>
    </row>
    <row r="17" spans="1:12" x14ac:dyDescent="0.25">
      <c r="A17" s="31">
        <v>1005</v>
      </c>
      <c r="B17" s="16">
        <v>774.73204971615667</v>
      </c>
      <c r="C17" s="37">
        <f t="shared" si="0"/>
        <v>0.2291223385908889</v>
      </c>
      <c r="D17" s="39">
        <f t="shared" si="1"/>
        <v>0.2291223385908889</v>
      </c>
      <c r="E17" s="37"/>
      <c r="F17" s="16"/>
      <c r="G17" s="16"/>
      <c r="H17" s="16">
        <f t="shared" si="2"/>
        <v>53023.328927922543</v>
      </c>
      <c r="I17" s="16"/>
      <c r="J17" s="16"/>
      <c r="K17" s="16"/>
      <c r="L17" s="12"/>
    </row>
    <row r="18" spans="1:12" x14ac:dyDescent="0.25">
      <c r="A18" s="31">
        <v>302.86500000000001</v>
      </c>
      <c r="B18" s="16">
        <v>208.09392696715508</v>
      </c>
      <c r="C18" s="37">
        <f t="shared" si="0"/>
        <v>0.31291523626977341</v>
      </c>
      <c r="D18" s="39">
        <f t="shared" si="1"/>
        <v>0.31291523626977341</v>
      </c>
      <c r="E18" s="37"/>
      <c r="F18" s="16"/>
      <c r="G18" s="16"/>
      <c r="H18" s="16">
        <f t="shared" si="2"/>
        <v>8981.5562837968264</v>
      </c>
      <c r="I18" s="16"/>
      <c r="J18" s="16"/>
      <c r="K18" s="16"/>
      <c r="L18" s="12"/>
    </row>
    <row r="19" spans="1:12" x14ac:dyDescent="0.25">
      <c r="A19" s="31">
        <v>2105</v>
      </c>
      <c r="B19" s="16">
        <v>1582.3850223614609</v>
      </c>
      <c r="C19" s="37">
        <f t="shared" si="0"/>
        <v>0.24827314852187132</v>
      </c>
      <c r="D19" s="39">
        <f t="shared" si="1"/>
        <v>0.24827314852187132</v>
      </c>
      <c r="E19" s="37"/>
      <c r="F19" s="16"/>
      <c r="G19" s="16"/>
      <c r="H19" s="16">
        <f t="shared" si="2"/>
        <v>273126.41485213075</v>
      </c>
      <c r="I19" s="16"/>
      <c r="J19" s="16"/>
      <c r="K19" s="16"/>
      <c r="L19" s="12"/>
    </row>
    <row r="20" spans="1:12" x14ac:dyDescent="0.25">
      <c r="A20" s="31">
        <v>2975</v>
      </c>
      <c r="B20" s="16">
        <v>5184.6862882009837</v>
      </c>
      <c r="C20" s="37">
        <f t="shared" si="0"/>
        <v>-0.74275169351293568</v>
      </c>
      <c r="D20" s="39">
        <f t="shared" si="1"/>
        <v>0.74275169351293568</v>
      </c>
      <c r="E20" s="37"/>
      <c r="F20" s="16"/>
      <c r="G20" s="16"/>
      <c r="H20" s="16">
        <f t="shared" si="2"/>
        <v>4882713.492263441</v>
      </c>
      <c r="I20" s="16"/>
      <c r="J20" s="16"/>
      <c r="K20" s="16"/>
      <c r="L20" s="12"/>
    </row>
    <row r="21" spans="1:12" x14ac:dyDescent="0.25">
      <c r="A21" s="31">
        <v>1898</v>
      </c>
      <c r="B21" s="16">
        <v>1889.8264209781958</v>
      </c>
      <c r="C21" s="37">
        <f t="shared" si="0"/>
        <v>4.3064167659664088E-3</v>
      </c>
      <c r="D21" s="39">
        <f t="shared" si="1"/>
        <v>4.3064167659664088E-3</v>
      </c>
      <c r="E21" s="37"/>
      <c r="F21" s="16"/>
      <c r="G21" s="16"/>
      <c r="H21" s="16">
        <f t="shared" si="2"/>
        <v>66.80739402567842</v>
      </c>
      <c r="I21" s="16"/>
      <c r="J21" s="16"/>
      <c r="K21" s="16"/>
      <c r="L21" s="12"/>
    </row>
    <row r="22" spans="1:12" x14ac:dyDescent="0.25">
      <c r="A22" s="31">
        <v>2511</v>
      </c>
      <c r="B22" s="16">
        <v>2134.7529813266219</v>
      </c>
      <c r="C22" s="37">
        <f t="shared" si="0"/>
        <v>0.14983951360946957</v>
      </c>
      <c r="D22" s="39">
        <f t="shared" si="1"/>
        <v>0.14983951360946957</v>
      </c>
      <c r="E22" s="37"/>
      <c r="F22" s="16"/>
      <c r="G22" s="16"/>
      <c r="H22" s="16">
        <f t="shared" si="2"/>
        <v>141561.81906060531</v>
      </c>
      <c r="I22" s="16"/>
      <c r="J22" s="16"/>
      <c r="K22" s="16"/>
      <c r="L22" s="12"/>
    </row>
    <row r="23" spans="1:12" x14ac:dyDescent="0.25">
      <c r="A23" s="31">
        <v>5503</v>
      </c>
      <c r="B23" s="16">
        <v>6076.9398772203213</v>
      </c>
      <c r="C23" s="37">
        <f t="shared" si="0"/>
        <v>-0.10429581632206456</v>
      </c>
      <c r="D23" s="39">
        <f t="shared" si="1"/>
        <v>0.10429581632206456</v>
      </c>
      <c r="E23" s="37"/>
      <c r="F23" s="16"/>
      <c r="G23" s="16"/>
      <c r="H23" s="16">
        <f t="shared" si="2"/>
        <v>329406.98266367742</v>
      </c>
      <c r="I23" s="16"/>
      <c r="J23" s="16"/>
      <c r="K23" s="16"/>
      <c r="L23" s="12"/>
    </row>
    <row r="24" spans="1:12" x14ac:dyDescent="0.25">
      <c r="A24" s="31">
        <v>2271</v>
      </c>
      <c r="B24" s="16">
        <v>2353.8795176642261</v>
      </c>
      <c r="C24" s="37">
        <f t="shared" si="0"/>
        <v>-3.6494723762318854E-2</v>
      </c>
      <c r="D24" s="39">
        <f t="shared" si="1"/>
        <v>3.6494723762318854E-2</v>
      </c>
      <c r="E24" s="37"/>
      <c r="F24" s="16"/>
      <c r="G24" s="16"/>
      <c r="H24" s="16">
        <f t="shared" si="2"/>
        <v>6869.0144482547685</v>
      </c>
      <c r="I24" s="16"/>
      <c r="J24" s="16"/>
      <c r="K24" s="16"/>
      <c r="L24" s="12"/>
    </row>
    <row r="25" spans="1:12" x14ac:dyDescent="0.25">
      <c r="A25" s="31">
        <v>3303</v>
      </c>
      <c r="B25" s="16">
        <v>4008.0885820875524</v>
      </c>
      <c r="C25" s="37">
        <f t="shared" si="0"/>
        <v>-0.21346914383516571</v>
      </c>
      <c r="D25" s="39">
        <f t="shared" si="1"/>
        <v>0.21346914383516571</v>
      </c>
      <c r="E25" s="37"/>
      <c r="F25" s="16"/>
      <c r="G25" s="16"/>
      <c r="H25" s="16">
        <f t="shared" si="2"/>
        <v>497149.90859023505</v>
      </c>
      <c r="I25" s="16"/>
      <c r="J25" s="16"/>
      <c r="K25" s="16"/>
      <c r="L25" s="12"/>
    </row>
    <row r="26" spans="1:12" x14ac:dyDescent="0.25">
      <c r="A26" s="31">
        <v>1761</v>
      </c>
      <c r="B26" s="16">
        <v>1516.9509277090719</v>
      </c>
      <c r="C26" s="37">
        <f t="shared" si="0"/>
        <v>0.13858550385629079</v>
      </c>
      <c r="D26" s="39">
        <f t="shared" si="1"/>
        <v>0.13858550385629079</v>
      </c>
      <c r="E26" s="37"/>
      <c r="F26" s="16"/>
      <c r="G26" s="16"/>
      <c r="H26" s="16">
        <f t="shared" si="2"/>
        <v>59559.949686062624</v>
      </c>
      <c r="I26" s="16"/>
      <c r="J26" s="16"/>
      <c r="K26" s="16"/>
      <c r="L26" s="12"/>
    </row>
    <row r="27" spans="1:12" x14ac:dyDescent="0.25">
      <c r="A27" s="31">
        <v>3109</v>
      </c>
      <c r="B27" s="16">
        <v>3386.5837324060362</v>
      </c>
      <c r="C27" s="37">
        <f t="shared" si="0"/>
        <v>-8.9283928081709943E-2</v>
      </c>
      <c r="D27" s="39">
        <f t="shared" si="1"/>
        <v>8.9283928081709943E-2</v>
      </c>
      <c r="E27" s="37"/>
      <c r="F27" s="16"/>
      <c r="G27" s="16"/>
      <c r="H27" s="16">
        <f t="shared" si="2"/>
        <v>77052.728496465934</v>
      </c>
      <c r="I27" s="16"/>
      <c r="J27" s="16"/>
      <c r="K27" s="16"/>
      <c r="L27" s="12"/>
    </row>
    <row r="28" spans="1:12" x14ac:dyDescent="0.25">
      <c r="A28" s="31">
        <v>132.51</v>
      </c>
      <c r="B28" s="16">
        <v>98.807098375898676</v>
      </c>
      <c r="C28" s="37">
        <f t="shared" si="0"/>
        <v>0.25434232604408208</v>
      </c>
      <c r="D28" s="39">
        <f t="shared" si="1"/>
        <v>0.25434232604408208</v>
      </c>
      <c r="E28" s="37"/>
      <c r="F28" s="16"/>
      <c r="G28" s="16"/>
      <c r="H28" s="16">
        <f t="shared" si="2"/>
        <v>1135.8855778838511</v>
      </c>
      <c r="I28" s="16"/>
      <c r="J28" s="16"/>
      <c r="K28" s="16"/>
      <c r="L28" s="12"/>
    </row>
    <row r="29" spans="1:12" x14ac:dyDescent="0.25">
      <c r="A29" s="31">
        <v>138.29</v>
      </c>
      <c r="B29" s="16">
        <v>92.284252376953262</v>
      </c>
      <c r="C29" s="37">
        <f t="shared" si="0"/>
        <v>0.33267588128604186</v>
      </c>
      <c r="D29" s="39">
        <f t="shared" si="1"/>
        <v>0.33267588128604186</v>
      </c>
      <c r="E29" s="37"/>
      <c r="F29" s="16"/>
      <c r="G29" s="16"/>
      <c r="H29" s="16">
        <f t="shared" si="2"/>
        <v>2116.5288143554699</v>
      </c>
      <c r="I29" s="16"/>
      <c r="J29" s="16"/>
      <c r="K29" s="16"/>
      <c r="L29" s="12"/>
    </row>
    <row r="30" spans="1:12" x14ac:dyDescent="0.25">
      <c r="A30" s="31">
        <v>2908</v>
      </c>
      <c r="B30" s="16">
        <v>3085.9170265011116</v>
      </c>
      <c r="C30" s="37">
        <f t="shared" si="0"/>
        <v>-6.118192108016219E-2</v>
      </c>
      <c r="D30" s="39">
        <f t="shared" si="1"/>
        <v>6.118192108016219E-2</v>
      </c>
      <c r="E30" s="37"/>
      <c r="F30" s="16"/>
      <c r="G30" s="16"/>
      <c r="H30" s="16">
        <f t="shared" si="2"/>
        <v>31654.468318997264</v>
      </c>
      <c r="I30" s="16"/>
      <c r="J30" s="16"/>
      <c r="K30" s="16"/>
      <c r="L30" s="12"/>
    </row>
    <row r="31" spans="1:12" x14ac:dyDescent="0.25">
      <c r="A31" s="31">
        <v>2851</v>
      </c>
      <c r="B31" s="16">
        <v>3427.4892450943671</v>
      </c>
      <c r="C31" s="37">
        <f t="shared" si="0"/>
        <v>-0.20220597863709824</v>
      </c>
      <c r="D31" s="39">
        <f t="shared" si="1"/>
        <v>0.20220597863709824</v>
      </c>
      <c r="E31" s="37"/>
      <c r="F31" s="16"/>
      <c r="G31" s="16"/>
      <c r="H31" s="16">
        <f t="shared" si="2"/>
        <v>332339.84970947326</v>
      </c>
      <c r="I31" s="16"/>
      <c r="J31" s="16"/>
      <c r="K31" s="16"/>
      <c r="L31" s="12"/>
    </row>
    <row r="32" spans="1:12" x14ac:dyDescent="0.25">
      <c r="A32" s="31">
        <v>2195</v>
      </c>
      <c r="B32" s="16">
        <v>3044.2466032864918</v>
      </c>
      <c r="C32" s="37">
        <f t="shared" si="0"/>
        <v>-0.38690050263621495</v>
      </c>
      <c r="D32" s="39">
        <f t="shared" si="1"/>
        <v>0.38690050263621495</v>
      </c>
      <c r="E32" s="37"/>
      <c r="F32" s="16"/>
      <c r="G32" s="16"/>
      <c r="H32" s="16">
        <f t="shared" si="2"/>
        <v>721219.79319364391</v>
      </c>
      <c r="I32" s="16"/>
      <c r="J32" s="16"/>
      <c r="K32" s="16"/>
      <c r="L32" s="12"/>
    </row>
    <row r="33" spans="1:12" x14ac:dyDescent="0.25">
      <c r="A33" s="31">
        <v>1965.7</v>
      </c>
      <c r="B33" s="16">
        <v>1936.0170589157253</v>
      </c>
      <c r="C33" s="37">
        <f t="shared" si="0"/>
        <v>1.5100443142023053E-2</v>
      </c>
      <c r="D33" s="39">
        <f t="shared" si="1"/>
        <v>1.5100443142023053E-2</v>
      </c>
      <c r="E33" s="37"/>
      <c r="F33" s="16"/>
      <c r="G33" s="16"/>
      <c r="H33" s="16">
        <f t="shared" si="2"/>
        <v>881.07699141252385</v>
      </c>
      <c r="I33" s="16"/>
      <c r="J33" s="16"/>
      <c r="K33" s="16"/>
      <c r="L33" s="12"/>
    </row>
    <row r="34" spans="1:12" x14ac:dyDescent="0.25">
      <c r="A34" s="31">
        <v>2723</v>
      </c>
      <c r="B34" s="16">
        <v>3009.1443498997542</v>
      </c>
      <c r="C34" s="37">
        <f t="shared" si="0"/>
        <v>-0.10508422691874923</v>
      </c>
      <c r="D34" s="39">
        <f t="shared" si="1"/>
        <v>0.10508422691874923</v>
      </c>
      <c r="E34" s="37"/>
      <c r="F34" s="16"/>
      <c r="G34" s="16"/>
      <c r="H34" s="16">
        <f t="shared" si="2"/>
        <v>81878.588979552937</v>
      </c>
      <c r="I34" s="16"/>
      <c r="J34" s="16"/>
      <c r="K34" s="16"/>
      <c r="L34" s="12"/>
    </row>
    <row r="35" spans="1:12" x14ac:dyDescent="0.25">
      <c r="A35" s="31">
        <v>1574</v>
      </c>
      <c r="B35" s="16">
        <v>1085.7191603365768</v>
      </c>
      <c r="C35" s="37">
        <f t="shared" si="0"/>
        <v>0.31021654362352175</v>
      </c>
      <c r="D35" s="39">
        <f t="shared" si="1"/>
        <v>0.31021654362352175</v>
      </c>
      <c r="E35" s="37"/>
      <c r="F35" s="16"/>
      <c r="G35" s="16"/>
      <c r="H35" s="16">
        <f t="shared" si="2"/>
        <v>238418.17838241759</v>
      </c>
      <c r="I35" s="16"/>
      <c r="J35" s="16"/>
      <c r="K35" s="16"/>
      <c r="L35" s="12"/>
    </row>
    <row r="36" spans="1:12" x14ac:dyDescent="0.25">
      <c r="A36" s="31">
        <v>2919</v>
      </c>
      <c r="B36" s="16">
        <v>3591.9263162196389</v>
      </c>
      <c r="C36" s="37">
        <f t="shared" si="0"/>
        <v>-0.23053316759836892</v>
      </c>
      <c r="D36" s="39">
        <f t="shared" si="1"/>
        <v>0.23053316759836892</v>
      </c>
      <c r="E36" s="37"/>
      <c r="F36" s="16"/>
      <c r="G36" s="16"/>
      <c r="H36" s="16">
        <f t="shared" si="2"/>
        <v>452829.82706093346</v>
      </c>
      <c r="I36" s="16"/>
      <c r="J36" s="16"/>
      <c r="K36" s="16"/>
      <c r="L36" s="12"/>
    </row>
    <row r="37" spans="1:12" x14ac:dyDescent="0.25">
      <c r="A37" s="31">
        <v>139.83000000000001</v>
      </c>
      <c r="B37" s="16">
        <v>108.17878618170434</v>
      </c>
      <c r="C37" s="37">
        <f t="shared" si="0"/>
        <v>0.22635495829432647</v>
      </c>
      <c r="D37" s="39">
        <f t="shared" si="1"/>
        <v>0.22635495829432647</v>
      </c>
      <c r="E37" s="37"/>
      <c r="F37" s="16"/>
      <c r="G37" s="16"/>
      <c r="H37" s="16">
        <f t="shared" si="2"/>
        <v>1001.7993361714709</v>
      </c>
      <c r="I37" s="16"/>
      <c r="J37" s="16"/>
      <c r="K37" s="16"/>
      <c r="L37" s="12"/>
    </row>
    <row r="38" spans="1:12" x14ac:dyDescent="0.25">
      <c r="A38" s="31">
        <v>2706</v>
      </c>
      <c r="B38" s="16">
        <v>3315.449437174062</v>
      </c>
      <c r="C38" s="37">
        <f t="shared" si="0"/>
        <v>-0.22522152149817518</v>
      </c>
      <c r="D38" s="39">
        <f t="shared" si="1"/>
        <v>0.22522152149817518</v>
      </c>
      <c r="E38" s="37"/>
      <c r="F38" s="16"/>
      <c r="G38" s="16"/>
      <c r="H38" s="16">
        <f t="shared" si="2"/>
        <v>371428.61647178099</v>
      </c>
      <c r="I38" s="16"/>
      <c r="J38" s="16"/>
      <c r="K38" s="16"/>
      <c r="L38" s="12"/>
    </row>
    <row r="39" spans="1:12" x14ac:dyDescent="0.25">
      <c r="A39" s="31">
        <v>2316</v>
      </c>
      <c r="B39" s="16">
        <v>2982.2693153863038</v>
      </c>
      <c r="C39" s="37">
        <f t="shared" si="0"/>
        <v>-0.28768105154849039</v>
      </c>
      <c r="D39" s="39">
        <f t="shared" si="1"/>
        <v>0.28768105154849039</v>
      </c>
      <c r="E39" s="37"/>
      <c r="F39" s="16"/>
      <c r="G39" s="16"/>
      <c r="H39" s="16">
        <f t="shared" si="2"/>
        <v>443914.80062533397</v>
      </c>
      <c r="I39" s="16"/>
      <c r="J39" s="16"/>
      <c r="K39" s="16"/>
      <c r="L39" s="12"/>
    </row>
    <row r="40" spans="1:12" x14ac:dyDescent="0.25">
      <c r="A40" s="31">
        <v>2155</v>
      </c>
      <c r="B40" s="16">
        <v>1867.0782017698616</v>
      </c>
      <c r="C40" s="37">
        <f t="shared" si="0"/>
        <v>0.1336064028910155</v>
      </c>
      <c r="D40" s="39">
        <f t="shared" si="1"/>
        <v>0.1336064028910155</v>
      </c>
      <c r="E40" s="37"/>
      <c r="F40" s="16"/>
      <c r="G40" s="16"/>
      <c r="H40" s="16">
        <f t="shared" si="2"/>
        <v>82898.961896076522</v>
      </c>
      <c r="I40" s="16"/>
      <c r="J40" s="16"/>
      <c r="K40" s="16"/>
      <c r="L40" s="12"/>
    </row>
    <row r="41" spans="1:12" x14ac:dyDescent="0.25">
      <c r="A41" s="31">
        <v>5921</v>
      </c>
      <c r="B41" s="16">
        <v>8638.4011340071993</v>
      </c>
      <c r="C41" s="37">
        <f t="shared" si="0"/>
        <v>-0.45894293768066191</v>
      </c>
      <c r="D41" s="39">
        <f t="shared" si="1"/>
        <v>0.45894293768066191</v>
      </c>
      <c r="E41" s="37"/>
      <c r="F41" s="16"/>
      <c r="G41" s="16"/>
      <c r="H41" s="16">
        <f t="shared" si="2"/>
        <v>7384268.9231036128</v>
      </c>
      <c r="I41" s="16"/>
      <c r="J41" s="16"/>
      <c r="K41" s="16"/>
      <c r="L41" s="12"/>
    </row>
    <row r="42" spans="1:12" x14ac:dyDescent="0.25">
      <c r="A42" s="31">
        <v>2820</v>
      </c>
      <c r="B42" s="16">
        <v>3329.0413115387423</v>
      </c>
      <c r="C42" s="37">
        <f t="shared" si="0"/>
        <v>-0.18051110338253273</v>
      </c>
      <c r="D42" s="39">
        <f t="shared" si="1"/>
        <v>0.18051110338253273</v>
      </c>
      <c r="E42" s="37"/>
      <c r="F42" s="16"/>
      <c r="G42" s="16"/>
      <c r="H42" s="16">
        <f t="shared" si="2"/>
        <v>259123.0568530829</v>
      </c>
      <c r="I42" s="16"/>
      <c r="J42" s="16"/>
      <c r="K42" s="16"/>
      <c r="L42" s="12"/>
    </row>
    <row r="43" spans="1:12" x14ac:dyDescent="0.25">
      <c r="A43" s="31">
        <v>2809</v>
      </c>
      <c r="B43" s="16">
        <v>3509.8422749436068</v>
      </c>
      <c r="C43" s="37">
        <f t="shared" si="0"/>
        <v>-0.24949885188451645</v>
      </c>
      <c r="D43" s="39">
        <f t="shared" si="1"/>
        <v>0.24949885188451645</v>
      </c>
      <c r="E43" s="37"/>
      <c r="F43" s="16"/>
      <c r="G43" s="16"/>
      <c r="H43" s="16">
        <f t="shared" si="2"/>
        <v>491179.8943481301</v>
      </c>
      <c r="I43" s="16"/>
      <c r="J43" s="16"/>
      <c r="K43" s="16"/>
      <c r="L43" s="12"/>
    </row>
    <row r="44" spans="1:12" x14ac:dyDescent="0.25">
      <c r="A44" s="31">
        <v>3710</v>
      </c>
      <c r="B44" s="16">
        <v>11476.481372634013</v>
      </c>
      <c r="C44" s="37">
        <f t="shared" si="0"/>
        <v>-2.0933912055617285</v>
      </c>
      <c r="D44" s="39">
        <f t="shared" si="1"/>
        <v>2.0933912055617285</v>
      </c>
      <c r="E44" s="37"/>
      <c r="F44" s="16"/>
      <c r="G44" s="16"/>
      <c r="H44" s="16">
        <f t="shared" si="2"/>
        <v>60318232.911471099</v>
      </c>
      <c r="I44" s="16"/>
      <c r="J44" s="16"/>
      <c r="K44" s="16"/>
      <c r="L44" s="12"/>
    </row>
    <row r="45" spans="1:12" x14ac:dyDescent="0.25">
      <c r="A45" s="31"/>
      <c r="B45" s="16"/>
      <c r="C45" s="16"/>
      <c r="D45" s="16"/>
      <c r="E45" s="16"/>
      <c r="F45" s="46"/>
      <c r="G45" s="46"/>
      <c r="H45" s="46" t="s">
        <v>79</v>
      </c>
      <c r="I45" s="16"/>
      <c r="J45" s="16"/>
      <c r="K45" s="16"/>
      <c r="L45" s="12"/>
    </row>
    <row r="46" spans="1:12" x14ac:dyDescent="0.25">
      <c r="A46" s="47"/>
      <c r="B46" s="46"/>
      <c r="C46" s="46" t="s">
        <v>1</v>
      </c>
      <c r="D46" s="48">
        <f>MAX(C4:C44)</f>
        <v>0.33267588128604186</v>
      </c>
      <c r="E46" s="48">
        <f>MAX(D4:D44)</f>
        <v>2.0933912055617285</v>
      </c>
      <c r="F46" s="46"/>
      <c r="G46" s="46"/>
      <c r="H46" s="46">
        <f>AVERAGE(H4:H44)</f>
        <v>2220035.5645445492</v>
      </c>
      <c r="I46" s="46"/>
      <c r="J46" s="46"/>
      <c r="K46" s="46"/>
      <c r="L46" s="49"/>
    </row>
    <row r="47" spans="1:12" x14ac:dyDescent="0.25">
      <c r="A47" t="s">
        <v>3</v>
      </c>
      <c r="B47">
        <f>_xlfn.STDEV.S(B4:B44)</f>
        <v>2292.8814946059479</v>
      </c>
      <c r="C47" t="s">
        <v>2</v>
      </c>
      <c r="D47" s="50">
        <f>MIN(C4:C44)</f>
        <v>-2.0933912055617285</v>
      </c>
      <c r="E47" s="50">
        <f>MIN(D4:D44)</f>
        <v>4.3064167659664088E-3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49"/>
  <sheetViews>
    <sheetView topLeftCell="A23" workbookViewId="0">
      <selection activeCell="V5" sqref="V5:V45"/>
    </sheetView>
  </sheetViews>
  <sheetFormatPr defaultRowHeight="15" x14ac:dyDescent="0.25"/>
  <cols>
    <col min="1" max="1" width="9" bestFit="1" customWidth="1"/>
    <col min="2" max="2" width="8.42578125" bestFit="1" customWidth="1"/>
    <col min="3" max="3" width="7" bestFit="1" customWidth="1"/>
    <col min="4" max="4" width="8.28515625" bestFit="1" customWidth="1"/>
    <col min="5" max="5" width="7.28515625" bestFit="1" customWidth="1"/>
    <col min="6" max="6" width="7.28515625" customWidth="1"/>
    <col min="7" max="7" width="8.85546875" bestFit="1" customWidth="1"/>
    <col min="9" max="9" width="9.140625" customWidth="1"/>
    <col min="10" max="10" width="11.5703125" style="8" customWidth="1"/>
    <col min="11" max="12" width="9.42578125" style="8" customWidth="1"/>
    <col min="13" max="15" width="5.42578125" style="8" customWidth="1"/>
    <col min="16" max="17" width="8.7109375" style="8" customWidth="1"/>
    <col min="18" max="19" width="7.5703125" style="8" customWidth="1"/>
    <col min="20" max="20" width="11.5703125" style="8" customWidth="1"/>
    <col min="21" max="21" width="8" style="8" customWidth="1"/>
    <col min="22" max="22" width="11.5703125" style="8" customWidth="1"/>
  </cols>
  <sheetData>
    <row r="1" spans="1:22" ht="18" x14ac:dyDescent="0.25">
      <c r="G1" s="12"/>
      <c r="J1" s="7" t="s">
        <v>13</v>
      </c>
      <c r="K1" s="10"/>
      <c r="L1" s="10"/>
    </row>
    <row r="2" spans="1:22" ht="30" x14ac:dyDescent="0.25">
      <c r="A2" s="10" t="s">
        <v>12</v>
      </c>
      <c r="B2" s="10" t="s">
        <v>13</v>
      </c>
      <c r="C2" s="10" t="s">
        <v>14</v>
      </c>
      <c r="D2" s="11" t="s">
        <v>16</v>
      </c>
      <c r="E2" s="11" t="s">
        <v>17</v>
      </c>
      <c r="F2" s="11" t="s">
        <v>0</v>
      </c>
      <c r="G2" s="13" t="s">
        <v>4</v>
      </c>
      <c r="J2" s="9" t="s">
        <v>11</v>
      </c>
      <c r="K2" s="9"/>
      <c r="L2" s="9" t="s">
        <v>48</v>
      </c>
      <c r="M2" s="9" t="s">
        <v>5</v>
      </c>
      <c r="N2" s="9"/>
      <c r="O2" s="56" t="s">
        <v>7</v>
      </c>
      <c r="P2" s="57"/>
      <c r="Q2" s="57"/>
      <c r="R2" s="58"/>
      <c r="S2" s="9"/>
      <c r="T2" s="9" t="s">
        <v>10</v>
      </c>
      <c r="U2" s="9"/>
      <c r="V2" s="9" t="s">
        <v>9</v>
      </c>
    </row>
    <row r="3" spans="1:22" ht="18" x14ac:dyDescent="0.25">
      <c r="A3" s="10"/>
      <c r="B3" s="10"/>
      <c r="C3" s="10"/>
      <c r="D3" s="11"/>
      <c r="E3" s="11"/>
      <c r="F3" s="11"/>
      <c r="G3" s="13"/>
      <c r="I3" s="21" t="s">
        <v>32</v>
      </c>
      <c r="J3" s="7" t="s">
        <v>13</v>
      </c>
      <c r="K3" s="22"/>
      <c r="L3" s="22"/>
      <c r="M3" s="22"/>
      <c r="N3" s="22"/>
      <c r="O3" s="11" t="s">
        <v>37</v>
      </c>
      <c r="P3" s="22" t="s">
        <v>36</v>
      </c>
      <c r="Q3" s="22"/>
      <c r="R3" s="22" t="s">
        <v>39</v>
      </c>
      <c r="S3" s="22"/>
      <c r="U3" s="22"/>
      <c r="V3" s="22"/>
    </row>
    <row r="5" spans="1:22" x14ac:dyDescent="0.25">
      <c r="A5">
        <v>567</v>
      </c>
      <c r="B5">
        <v>1.143</v>
      </c>
      <c r="C5">
        <v>82</v>
      </c>
      <c r="D5">
        <v>0.79251015466892083</v>
      </c>
      <c r="E5">
        <v>32.299999999999997</v>
      </c>
      <c r="F5">
        <v>0.86385836385836379</v>
      </c>
      <c r="G5">
        <v>231</v>
      </c>
      <c r="I5">
        <f>185.483208*(D5^1.87784)*(F5^-1.20204)</f>
        <v>142.90599413298847</v>
      </c>
      <c r="J5" s="8">
        <f>(0.497069+((8.62963*10^-4)*(G5+460))+((1.82594*(10^-3)*I5))+((3.18099*(10^-6))*(I5^2)))</f>
        <v>1.4192767734751746</v>
      </c>
      <c r="L5" s="8">
        <f>(1+(5.53*10^-7)*(C5*(G5-60))+(0.000181*(C5/F5))+(0.000449*((G5-60)/F5))+(0.000206*(C5*D5/F5)))</f>
        <v>1.1293112243395824</v>
      </c>
      <c r="N5" s="8">
        <f>(D5*(1+(5.912*10^-5)*520*(LOG(14.7/114.7))))</f>
        <v>0.77077177073404546</v>
      </c>
      <c r="O5" s="8">
        <f>(D5*(1+(5.912*10^-5)*60*(LOG(14.7/114.7))))</f>
        <v>0.79000187959951218</v>
      </c>
      <c r="P5" s="8" t="str">
        <f>(IF(E5&lt;=30,"x","y"))</f>
        <v>y</v>
      </c>
      <c r="R5" s="8">
        <f>(0.98496+(0.0001*((C5^0.755)*(D5^0.25)*(F5^-1.25)+(0.45*G5))^1.5))</f>
        <v>1.1427043080452188</v>
      </c>
      <c r="T5" s="22">
        <f>(-30.48183907+((0.159852142*(E5^0.937471))+(0.000867363*(G5^1.009529))+(0.000117911*(C5^1.169718))-(0.07916831*(D5^0.970416))+(30.27284249*(F5^0.695646))))</f>
        <v>1.1838499632442527</v>
      </c>
      <c r="V5" s="8">
        <f>(1.003330294+(0.000157176*((C5^0.755)*(D5^0.25)*(F5^-1.5)+(0.45*G5))^1.41992552))</f>
        <v>1.1727454710302816</v>
      </c>
    </row>
    <row r="6" spans="1:22" x14ac:dyDescent="0.25">
      <c r="A6">
        <v>2954</v>
      </c>
      <c r="B6">
        <v>1.5629999999999999</v>
      </c>
      <c r="C6">
        <v>968</v>
      </c>
      <c r="D6">
        <v>0.81312337750111341</v>
      </c>
      <c r="E6">
        <v>36</v>
      </c>
      <c r="F6">
        <v>0.84477611940298503</v>
      </c>
      <c r="G6">
        <v>195</v>
      </c>
      <c r="I6">
        <f t="shared" ref="I6:I45" si="0">185.483208*(D6^1.87784)*(F6^-1.20204)</f>
        <v>154.04665574492586</v>
      </c>
      <c r="J6" s="8">
        <f t="shared" ref="J6:J45" si="1">(0.497069+((8.62963*10^-4)*(G6+460))+((1.82594*(10^-3)*I6))+((3.18099*(10^-6))*(I6^2)))</f>
        <v>1.4190757920842172</v>
      </c>
      <c r="L6" s="8">
        <f t="shared" ref="L6:L45" si="2">(1+(5.53*10^-7)*(C6*(G6-60))+(0.000181*(C6/F6))+(0.000449*((G6-60)/F6))+(0.000206*(C6*D6/F6)))</f>
        <v>1.5433568974711964</v>
      </c>
      <c r="P6" s="8" t="str">
        <f t="shared" ref="P6:P45" si="3">(IF(E6&lt;=30,"x","y"))</f>
        <v>y</v>
      </c>
      <c r="R6" s="8">
        <f t="shared" ref="R6:R45" si="4">(0.98496+(0.0001*((C6^0.755)*(D6^0.25)*(F6^-1.25)+(0.45*G6))^1.5))</f>
        <v>1.5002812551610325</v>
      </c>
      <c r="T6" s="22">
        <f t="shared" ref="T6:T45" si="5">(-30.48183907+((0.159852142*(E6^0.937471))+(0.000867363*(G6^1.009529))+(0.000117911*(C6^1.169718))-(0.07916831*(D6^0.970416))+(30.27284249*(F6^0.695646))))</f>
        <v>1.5183067183770191</v>
      </c>
      <c r="V6" s="8">
        <f t="shared" ref="V6:V45" si="6">(1.003330294+(0.000157176*((C6^0.755)*(D6^0.25)*(F6^-1.5)+(0.45*G6))^1.41992552))</f>
        <v>1.5388460434497273</v>
      </c>
    </row>
    <row r="7" spans="1:22" x14ac:dyDescent="0.25">
      <c r="A7">
        <v>2209</v>
      </c>
      <c r="B7">
        <v>1.2889999999999999</v>
      </c>
      <c r="C7">
        <v>417</v>
      </c>
      <c r="D7">
        <v>0.87278635389092063</v>
      </c>
      <c r="E7">
        <v>37.799999999999997</v>
      </c>
      <c r="F7">
        <v>0.83579444772593026</v>
      </c>
      <c r="G7">
        <v>197</v>
      </c>
      <c r="I7">
        <f t="shared" si="0"/>
        <v>178.22914243562195</v>
      </c>
      <c r="J7" s="8">
        <f t="shared" si="1"/>
        <v>1.4905175538482531</v>
      </c>
      <c r="L7" s="8">
        <f t="shared" si="2"/>
        <v>1.2852002593170959</v>
      </c>
      <c r="P7" s="8" t="str">
        <f t="shared" si="3"/>
        <v>y</v>
      </c>
      <c r="R7" s="8">
        <f t="shared" si="4"/>
        <v>1.2756417036613803</v>
      </c>
      <c r="T7" s="22">
        <f t="shared" si="5"/>
        <v>1.3016645952980852</v>
      </c>
      <c r="V7" s="8">
        <f t="shared" si="6"/>
        <v>1.3128481835006038</v>
      </c>
    </row>
    <row r="8" spans="1:22" x14ac:dyDescent="0.25">
      <c r="A8">
        <v>2740</v>
      </c>
      <c r="B8">
        <v>1.512</v>
      </c>
      <c r="C8">
        <v>875</v>
      </c>
      <c r="D8">
        <v>0.73606734271110319</v>
      </c>
      <c r="E8">
        <v>38</v>
      </c>
      <c r="F8">
        <v>0.83480825958702065</v>
      </c>
      <c r="G8">
        <v>186</v>
      </c>
      <c r="I8">
        <f t="shared" si="0"/>
        <v>129.6143028794512</v>
      </c>
      <c r="J8" s="8">
        <f t="shared" si="1"/>
        <v>1.344651248753286</v>
      </c>
      <c r="L8" s="8">
        <f t="shared" si="2"/>
        <v>1.4773814018004463</v>
      </c>
      <c r="P8" s="8" t="str">
        <f t="shared" si="3"/>
        <v>y</v>
      </c>
      <c r="R8" s="8">
        <f t="shared" si="4"/>
        <v>1.4456802043037253</v>
      </c>
      <c r="T8" s="22">
        <f t="shared" si="5"/>
        <v>1.4929015808871355</v>
      </c>
      <c r="V8" s="8">
        <f t="shared" si="6"/>
        <v>1.4861785948169022</v>
      </c>
    </row>
    <row r="9" spans="1:22" x14ac:dyDescent="0.25">
      <c r="A9">
        <v>1622</v>
      </c>
      <c r="B9">
        <v>1.2889999999999999</v>
      </c>
      <c r="C9">
        <v>346</v>
      </c>
      <c r="D9">
        <v>0.82289666841100806</v>
      </c>
      <c r="E9">
        <v>30.9</v>
      </c>
      <c r="F9">
        <v>0.87130541871921174</v>
      </c>
      <c r="G9">
        <v>163</v>
      </c>
      <c r="I9">
        <f t="shared" si="0"/>
        <v>151.79385085439472</v>
      </c>
      <c r="J9" s="8">
        <f t="shared" si="1"/>
        <v>1.3851557906284149</v>
      </c>
      <c r="L9" s="8">
        <f t="shared" si="2"/>
        <v>1.2119776878450632</v>
      </c>
      <c r="P9" s="8" t="str">
        <f t="shared" si="3"/>
        <v>y</v>
      </c>
      <c r="R9" s="8">
        <f t="shared" si="4"/>
        <v>1.2004033587664247</v>
      </c>
      <c r="T9" s="22">
        <f t="shared" si="5"/>
        <v>1.2032035810096069</v>
      </c>
      <c r="V9" s="8">
        <f t="shared" si="6"/>
        <v>1.2344119369465152</v>
      </c>
    </row>
    <row r="10" spans="1:22" x14ac:dyDescent="0.25">
      <c r="A10">
        <v>1994.7</v>
      </c>
      <c r="B10">
        <v>1.1399999999999999</v>
      </c>
      <c r="C10">
        <v>263</v>
      </c>
      <c r="D10">
        <v>0.87041031859609297</v>
      </c>
      <c r="E10">
        <v>27.4</v>
      </c>
      <c r="F10">
        <v>0.89049716803020762</v>
      </c>
      <c r="G10">
        <v>159</v>
      </c>
      <c r="I10">
        <f t="shared" si="0"/>
        <v>164.30836389111005</v>
      </c>
      <c r="J10" s="8">
        <f t="shared" si="1"/>
        <v>1.417138256483137</v>
      </c>
      <c r="L10" s="8">
        <f t="shared" si="2"/>
        <v>1.1707280881327127</v>
      </c>
      <c r="P10" s="8" t="str">
        <f t="shared" si="3"/>
        <v>x</v>
      </c>
      <c r="R10" s="8">
        <f t="shared" si="4"/>
        <v>1.1623375445555801</v>
      </c>
      <c r="T10" s="22">
        <f t="shared" si="5"/>
        <v>1.1609316982466709</v>
      </c>
      <c r="V10" s="8">
        <f t="shared" si="6"/>
        <v>1.1943432569428398</v>
      </c>
    </row>
    <row r="11" spans="1:22" x14ac:dyDescent="0.25">
      <c r="A11">
        <v>1109</v>
      </c>
      <c r="B11">
        <v>1.081</v>
      </c>
      <c r="C11">
        <v>173</v>
      </c>
      <c r="D11">
        <v>0.78106484554532651</v>
      </c>
      <c r="E11">
        <v>23</v>
      </c>
      <c r="F11">
        <v>0.91585760517799353</v>
      </c>
      <c r="G11">
        <v>156.19999999999999</v>
      </c>
      <c r="I11">
        <f t="shared" si="0"/>
        <v>129.62012915672159</v>
      </c>
      <c r="J11" s="8">
        <f t="shared" si="1"/>
        <v>1.3189503942632126</v>
      </c>
      <c r="L11" s="8">
        <f t="shared" si="2"/>
        <v>1.1209482277305765</v>
      </c>
      <c r="P11" s="8" t="str">
        <f t="shared" si="3"/>
        <v>x</v>
      </c>
      <c r="R11" s="8">
        <f t="shared" si="4"/>
        <v>1.1191313213576861</v>
      </c>
      <c r="T11" s="22">
        <f t="shared" si="5"/>
        <v>1.1462896406952012</v>
      </c>
      <c r="V11" s="8">
        <f t="shared" si="6"/>
        <v>1.1488223440065768</v>
      </c>
    </row>
    <row r="12" spans="1:22" x14ac:dyDescent="0.25">
      <c r="A12">
        <v>2302</v>
      </c>
      <c r="B12">
        <v>1.1639999999999999</v>
      </c>
      <c r="C12">
        <v>290</v>
      </c>
      <c r="D12">
        <v>0.86025505566035221</v>
      </c>
      <c r="E12">
        <v>28</v>
      </c>
      <c r="F12">
        <v>0.88714733542319746</v>
      </c>
      <c r="G12">
        <v>166</v>
      </c>
      <c r="I12">
        <f t="shared" si="0"/>
        <v>161.45674346928828</v>
      </c>
      <c r="J12" s="8">
        <f t="shared" si="1"/>
        <v>1.4150171022047537</v>
      </c>
      <c r="L12" s="8">
        <f t="shared" si="2"/>
        <v>1.1877438426537905</v>
      </c>
      <c r="P12" s="8" t="str">
        <f t="shared" si="3"/>
        <v>x</v>
      </c>
      <c r="R12" s="8">
        <f t="shared" si="4"/>
        <v>1.1789937193994209</v>
      </c>
      <c r="T12" s="22">
        <f t="shared" si="5"/>
        <v>1.177748832417663</v>
      </c>
      <c r="V12" s="8">
        <f t="shared" si="6"/>
        <v>1.2114972861751108</v>
      </c>
    </row>
    <row r="13" spans="1:22" x14ac:dyDescent="0.25">
      <c r="A13">
        <v>2333</v>
      </c>
      <c r="B13">
        <v>1.2310000000000001</v>
      </c>
      <c r="C13">
        <v>441</v>
      </c>
      <c r="D13">
        <v>0.85783163803122864</v>
      </c>
      <c r="E13">
        <v>34.6</v>
      </c>
      <c r="F13">
        <v>0.85189644792293806</v>
      </c>
      <c r="G13">
        <v>168</v>
      </c>
      <c r="I13">
        <f t="shared" si="0"/>
        <v>168.62507823216231</v>
      </c>
      <c r="J13" s="8">
        <f t="shared" si="1"/>
        <v>1.4373586355080665</v>
      </c>
      <c r="L13" s="8">
        <f t="shared" si="2"/>
        <v>1.2684376301017948</v>
      </c>
      <c r="P13" s="8" t="str">
        <f t="shared" si="3"/>
        <v>y</v>
      </c>
      <c r="R13" s="8">
        <f t="shared" si="4"/>
        <v>1.2515414462305721</v>
      </c>
      <c r="T13" s="22">
        <f t="shared" si="5"/>
        <v>1.2593222890249436</v>
      </c>
      <c r="V13" s="8">
        <f t="shared" si="6"/>
        <v>1.2880695170506014</v>
      </c>
    </row>
    <row r="14" spans="1:22" x14ac:dyDescent="0.25">
      <c r="A14">
        <v>2860</v>
      </c>
      <c r="B14">
        <v>1.5229999999999999</v>
      </c>
      <c r="C14">
        <v>1069</v>
      </c>
      <c r="D14">
        <v>0.80113981460308914</v>
      </c>
      <c r="E14">
        <v>43.7</v>
      </c>
      <c r="F14">
        <v>0.80764840182648412</v>
      </c>
      <c r="G14">
        <v>171</v>
      </c>
      <c r="I14">
        <f t="shared" si="0"/>
        <v>158.127237100863</v>
      </c>
      <c r="J14" s="8">
        <f t="shared" si="1"/>
        <v>1.4098676839926572</v>
      </c>
      <c r="L14" s="8">
        <f t="shared" si="2"/>
        <v>1.5853374064268722</v>
      </c>
      <c r="P14" s="8" t="str">
        <f t="shared" si="3"/>
        <v>y</v>
      </c>
      <c r="R14" s="8">
        <f t="shared" si="4"/>
        <v>1.5471176257235619</v>
      </c>
      <c r="T14" s="22">
        <f t="shared" si="5"/>
        <v>1.6301075996094809</v>
      </c>
      <c r="V14" s="8">
        <f t="shared" si="6"/>
        <v>1.5937279547508028</v>
      </c>
    </row>
    <row r="15" spans="1:22" x14ac:dyDescent="0.25">
      <c r="A15">
        <v>3740</v>
      </c>
      <c r="B15">
        <v>1.0189999999999999</v>
      </c>
      <c r="C15">
        <v>1958</v>
      </c>
      <c r="D15">
        <v>0.77205273955895881</v>
      </c>
      <c r="E15">
        <v>43.6</v>
      </c>
      <c r="F15">
        <v>0.80810965162764137</v>
      </c>
      <c r="G15">
        <v>180</v>
      </c>
      <c r="I15">
        <f t="shared" si="0"/>
        <v>147.41714284937447</v>
      </c>
      <c r="J15" s="8">
        <f t="shared" si="1"/>
        <v>1.3876688608489287</v>
      </c>
      <c r="L15" s="8">
        <f t="shared" si="2"/>
        <v>2.0205099532302069</v>
      </c>
      <c r="P15" s="8" t="str">
        <f t="shared" si="3"/>
        <v>y</v>
      </c>
      <c r="R15" s="8">
        <f t="shared" si="4"/>
        <v>1.9555656265360839</v>
      </c>
      <c r="T15" s="22">
        <f t="shared" si="5"/>
        <v>2.0631390585325562</v>
      </c>
      <c r="V15" s="8">
        <f t="shared" si="6"/>
        <v>1.9980815852995164</v>
      </c>
    </row>
    <row r="16" spans="1:22" x14ac:dyDescent="0.25">
      <c r="A16">
        <v>348.78500000000003</v>
      </c>
      <c r="B16">
        <v>1.0509999999999999</v>
      </c>
      <c r="C16">
        <v>40</v>
      </c>
      <c r="D16">
        <v>0.92745604866019027</v>
      </c>
      <c r="E16">
        <v>26.1</v>
      </c>
      <c r="F16">
        <v>0.89784263959390864</v>
      </c>
      <c r="G16">
        <v>152.69999999999999</v>
      </c>
      <c r="I16">
        <f t="shared" si="0"/>
        <v>183.29132882135701</v>
      </c>
      <c r="J16" s="8">
        <f t="shared" si="1"/>
        <v>1.4673530204852716</v>
      </c>
      <c r="L16" s="8">
        <f t="shared" si="2"/>
        <v>1.0649842000688006</v>
      </c>
      <c r="P16" s="8" t="str">
        <f t="shared" si="3"/>
        <v>x</v>
      </c>
      <c r="R16" s="8">
        <f t="shared" si="4"/>
        <v>1.0659779924315664</v>
      </c>
      <c r="T16" s="22">
        <f t="shared" si="5"/>
        <v>1.0811490914912731</v>
      </c>
      <c r="V16" s="8">
        <f t="shared" si="6"/>
        <v>1.0931173483432159</v>
      </c>
    </row>
    <row r="17" spans="1:22" x14ac:dyDescent="0.25">
      <c r="A17">
        <v>3264</v>
      </c>
      <c r="B17">
        <v>1.91</v>
      </c>
      <c r="C17">
        <v>1428</v>
      </c>
      <c r="D17">
        <v>0.84230141404901993</v>
      </c>
      <c r="E17">
        <v>43</v>
      </c>
      <c r="F17">
        <v>0.81088825214899718</v>
      </c>
      <c r="G17">
        <v>198</v>
      </c>
      <c r="I17">
        <f t="shared" si="0"/>
        <v>172.8928582029904</v>
      </c>
      <c r="J17" s="8">
        <f t="shared" si="1"/>
        <v>1.4756766030561477</v>
      </c>
      <c r="L17" s="8">
        <f t="shared" si="2"/>
        <v>1.8096994828354145</v>
      </c>
      <c r="P17" s="8" t="str">
        <f t="shared" si="3"/>
        <v>y</v>
      </c>
      <c r="R17" s="8">
        <f t="shared" si="4"/>
        <v>1.7522062157062528</v>
      </c>
      <c r="T17" s="22">
        <f t="shared" si="5"/>
        <v>1.8076385621688331</v>
      </c>
      <c r="V17" s="8">
        <f t="shared" si="6"/>
        <v>1.7958220291250209</v>
      </c>
    </row>
    <row r="18" spans="1:22" x14ac:dyDescent="0.25">
      <c r="A18">
        <v>1005</v>
      </c>
      <c r="B18">
        <v>1.105</v>
      </c>
      <c r="C18">
        <v>129.30000000000001</v>
      </c>
      <c r="D18">
        <v>0.8756363821172134</v>
      </c>
      <c r="E18">
        <v>26.7</v>
      </c>
      <c r="F18">
        <f t="shared" ref="F18:F33" si="7">141.5/(E18+131.5)</f>
        <v>0.89443742098609358</v>
      </c>
      <c r="G18">
        <v>149.6</v>
      </c>
      <c r="I18">
        <f t="shared" si="0"/>
        <v>165.28627966926192</v>
      </c>
      <c r="J18" s="8">
        <f t="shared" si="1"/>
        <v>1.4118373031631559</v>
      </c>
      <c r="L18" s="8">
        <f t="shared" si="2"/>
        <v>1.1036264021121087</v>
      </c>
      <c r="P18" s="8" t="str">
        <f t="shared" si="3"/>
        <v>x</v>
      </c>
      <c r="R18" s="8">
        <f t="shared" si="4"/>
        <v>1.1019244764740534</v>
      </c>
      <c r="T18" s="22">
        <f t="shared" si="5"/>
        <v>1.1073970162637714</v>
      </c>
      <c r="V18" s="8">
        <f t="shared" si="6"/>
        <v>1.1314113150939953</v>
      </c>
    </row>
    <row r="19" spans="1:22" x14ac:dyDescent="0.25">
      <c r="A19">
        <v>302.86500000000001</v>
      </c>
      <c r="B19">
        <v>1.0489999999999999</v>
      </c>
      <c r="C19">
        <v>30</v>
      </c>
      <c r="D19">
        <v>0.95809382507979579</v>
      </c>
      <c r="E19">
        <v>23.7</v>
      </c>
      <c r="F19">
        <f t="shared" si="7"/>
        <v>0.91172680412371143</v>
      </c>
      <c r="G19">
        <v>147.75</v>
      </c>
      <c r="I19">
        <f t="shared" si="0"/>
        <v>191.26525463764955</v>
      </c>
      <c r="J19" s="8">
        <f t="shared" si="1"/>
        <v>1.4871418833452288</v>
      </c>
      <c r="L19" s="8">
        <f t="shared" si="2"/>
        <v>1.057120221114924</v>
      </c>
      <c r="P19" s="8" t="str">
        <f t="shared" si="3"/>
        <v>x</v>
      </c>
      <c r="R19" s="8">
        <f t="shared" si="4"/>
        <v>1.0578151885291862</v>
      </c>
      <c r="T19" s="22">
        <f t="shared" si="5"/>
        <v>1.0789875466722094</v>
      </c>
      <c r="V19" s="8">
        <f t="shared" si="6"/>
        <v>1.0843540103354308</v>
      </c>
    </row>
    <row r="20" spans="1:22" x14ac:dyDescent="0.25">
      <c r="A20">
        <v>2105</v>
      </c>
      <c r="B20">
        <v>1.349</v>
      </c>
      <c r="C20">
        <v>243</v>
      </c>
      <c r="D20">
        <v>0.80757023172148901</v>
      </c>
      <c r="E20">
        <v>25.6</v>
      </c>
      <c r="F20">
        <f t="shared" si="7"/>
        <v>0.90070019096117127</v>
      </c>
      <c r="G20">
        <v>165</v>
      </c>
      <c r="I20">
        <f t="shared" si="0"/>
        <v>140.7992712570165</v>
      </c>
      <c r="J20" s="8">
        <f t="shared" si="1"/>
        <v>1.3565732251705676</v>
      </c>
      <c r="L20" s="8">
        <f t="shared" si="2"/>
        <v>1.1601665539301038</v>
      </c>
      <c r="P20" s="8" t="str">
        <f t="shared" si="3"/>
        <v>x</v>
      </c>
      <c r="R20" s="8">
        <f t="shared" si="4"/>
        <v>1.1552359796824256</v>
      </c>
      <c r="T20" s="22">
        <f t="shared" si="5"/>
        <v>1.1666793066735721</v>
      </c>
      <c r="V20" s="8">
        <f t="shared" si="6"/>
        <v>1.1864905859337314</v>
      </c>
    </row>
    <row r="21" spans="1:22" x14ac:dyDescent="0.25">
      <c r="A21">
        <v>2975</v>
      </c>
      <c r="B21">
        <v>1.7390000000000001</v>
      </c>
      <c r="C21">
        <v>1262</v>
      </c>
      <c r="D21">
        <v>0.65002619805475581</v>
      </c>
      <c r="E21">
        <v>41.9</v>
      </c>
      <c r="F21">
        <f t="shared" si="7"/>
        <v>0.81603229527104959</v>
      </c>
      <c r="G21">
        <v>171</v>
      </c>
      <c r="I21">
        <f t="shared" si="0"/>
        <v>105.47510986172756</v>
      </c>
      <c r="J21" s="8">
        <f t="shared" si="1"/>
        <v>1.2695783850348275</v>
      </c>
      <c r="L21" s="8">
        <f t="shared" si="2"/>
        <v>1.6255436675964936</v>
      </c>
      <c r="P21" s="8" t="str">
        <f t="shared" si="3"/>
        <v>y</v>
      </c>
      <c r="R21" s="8">
        <f t="shared" si="4"/>
        <v>1.5871284276531685</v>
      </c>
      <c r="T21" s="22">
        <f t="shared" si="5"/>
        <v>1.7048964021182016</v>
      </c>
      <c r="V21" s="8">
        <f t="shared" si="6"/>
        <v>1.6321527292343252</v>
      </c>
    </row>
    <row r="22" spans="1:22" x14ac:dyDescent="0.25">
      <c r="A22">
        <v>1898</v>
      </c>
      <c r="B22">
        <v>1.2549999999999999</v>
      </c>
      <c r="C22">
        <v>525</v>
      </c>
      <c r="D22">
        <v>0.91923240349209867</v>
      </c>
      <c r="E22">
        <v>39.5</v>
      </c>
      <c r="F22">
        <f t="shared" si="7"/>
        <v>0.82748538011695905</v>
      </c>
      <c r="G22">
        <v>148</v>
      </c>
      <c r="I22">
        <f t="shared" si="0"/>
        <v>198.82847641260858</v>
      </c>
      <c r="J22" s="8">
        <f t="shared" si="1"/>
        <v>1.5105526960997788</v>
      </c>
      <c r="L22" s="8">
        <f t="shared" si="2"/>
        <v>1.308275026422909</v>
      </c>
      <c r="P22" s="8" t="str">
        <f t="shared" si="3"/>
        <v>y</v>
      </c>
      <c r="R22" s="8">
        <f t="shared" si="4"/>
        <v>1.2827874766513556</v>
      </c>
      <c r="T22" s="22">
        <f t="shared" si="5"/>
        <v>1.3129790296372619</v>
      </c>
      <c r="V22" s="8">
        <f t="shared" si="6"/>
        <v>1.3231102925175962</v>
      </c>
    </row>
    <row r="23" spans="1:22" x14ac:dyDescent="0.25">
      <c r="A23">
        <v>2511</v>
      </c>
      <c r="B23">
        <v>1.278</v>
      </c>
      <c r="C23">
        <v>562</v>
      </c>
      <c r="D23">
        <v>0.92803077843845605</v>
      </c>
      <c r="E23">
        <v>37.9</v>
      </c>
      <c r="F23">
        <f t="shared" si="7"/>
        <v>0.83530106257378978</v>
      </c>
      <c r="G23">
        <v>160</v>
      </c>
      <c r="I23">
        <f t="shared" si="0"/>
        <v>200.14269238170874</v>
      </c>
      <c r="J23" s="8">
        <f t="shared" si="1"/>
        <v>1.5249758337116797</v>
      </c>
      <c r="L23" s="8">
        <f t="shared" si="2"/>
        <v>1.3352347787297898</v>
      </c>
      <c r="P23" s="8" t="str">
        <f t="shared" si="3"/>
        <v>y</v>
      </c>
      <c r="R23" s="8">
        <f t="shared" si="4"/>
        <v>1.3077916678470667</v>
      </c>
      <c r="T23" s="22">
        <f t="shared" si="5"/>
        <v>1.3215187836185542</v>
      </c>
      <c r="V23" s="8">
        <f t="shared" si="6"/>
        <v>1.3475051234704072</v>
      </c>
    </row>
    <row r="24" spans="1:22" x14ac:dyDescent="0.25">
      <c r="A24">
        <v>5503</v>
      </c>
      <c r="B24">
        <v>1.7304999999999999</v>
      </c>
      <c r="C24">
        <v>1314.9</v>
      </c>
      <c r="D24">
        <v>0.73741363954113825</v>
      </c>
      <c r="E24">
        <v>35.9</v>
      </c>
      <c r="F24">
        <f t="shared" si="7"/>
        <v>0.84528076463560331</v>
      </c>
      <c r="G24">
        <v>204</v>
      </c>
      <c r="I24">
        <f t="shared" si="0"/>
        <v>128.12535141341741</v>
      </c>
      <c r="J24" s="8">
        <f t="shared" si="1"/>
        <v>1.3562451041503345</v>
      </c>
      <c r="L24" s="8">
        <f t="shared" si="2"/>
        <v>1.6990617459292574</v>
      </c>
      <c r="P24" s="8" t="str">
        <f t="shared" si="3"/>
        <v>y</v>
      </c>
      <c r="R24" s="8">
        <f t="shared" si="4"/>
        <v>1.6413948354862704</v>
      </c>
      <c r="T24" s="22">
        <f t="shared" si="5"/>
        <v>1.6896094717873353</v>
      </c>
      <c r="V24" s="8">
        <f t="shared" si="6"/>
        <v>1.6779161886653005</v>
      </c>
    </row>
    <row r="25" spans="1:22" x14ac:dyDescent="0.25">
      <c r="A25">
        <v>2271</v>
      </c>
      <c r="B25">
        <v>1.224</v>
      </c>
      <c r="C25">
        <v>465.5</v>
      </c>
      <c r="D25">
        <v>0.72661769747663696</v>
      </c>
      <c r="E25">
        <v>38.200000000000003</v>
      </c>
      <c r="F25">
        <f t="shared" si="7"/>
        <v>0.83382439599292879</v>
      </c>
      <c r="G25">
        <v>191</v>
      </c>
      <c r="I25">
        <f t="shared" si="0"/>
        <v>126.68666235600951</v>
      </c>
      <c r="J25" s="8">
        <f t="shared" si="1"/>
        <v>1.3412334894097666</v>
      </c>
      <c r="L25" s="8">
        <f t="shared" si="2"/>
        <v>1.288874322730688</v>
      </c>
      <c r="P25" s="8" t="str">
        <f t="shared" si="3"/>
        <v>y</v>
      </c>
      <c r="R25" s="8">
        <f t="shared" si="4"/>
        <v>1.2799723253701167</v>
      </c>
      <c r="T25" s="22">
        <f t="shared" si="5"/>
        <v>1.3301632136515664</v>
      </c>
      <c r="V25" s="8">
        <f t="shared" si="6"/>
        <v>1.3177143709745356</v>
      </c>
    </row>
    <row r="26" spans="1:22" x14ac:dyDescent="0.25">
      <c r="A26">
        <v>3303</v>
      </c>
      <c r="B26">
        <v>1.143</v>
      </c>
      <c r="C26">
        <v>752</v>
      </c>
      <c r="D26">
        <v>0.7926951382973586</v>
      </c>
      <c r="E26">
        <v>32</v>
      </c>
      <c r="F26">
        <f t="shared" si="7"/>
        <v>0.86544342507645255</v>
      </c>
      <c r="G26">
        <v>210</v>
      </c>
      <c r="I26">
        <f t="shared" si="0"/>
        <v>142.6539458001688</v>
      </c>
      <c r="J26" s="8">
        <f t="shared" si="1"/>
        <v>1.400465373883627</v>
      </c>
      <c r="L26" s="8">
        <f t="shared" si="2"/>
        <v>1.4393643239904665</v>
      </c>
      <c r="P26" s="8" t="str">
        <f t="shared" si="3"/>
        <v>y</v>
      </c>
      <c r="R26" s="8">
        <f t="shared" si="4"/>
        <v>1.4097545379185994</v>
      </c>
      <c r="T26" s="22">
        <f t="shared" si="5"/>
        <v>1.4156014925962737</v>
      </c>
      <c r="V26" s="8">
        <f t="shared" si="6"/>
        <v>1.4451314520874909</v>
      </c>
    </row>
    <row r="27" spans="1:22" x14ac:dyDescent="0.25">
      <c r="A27">
        <v>1761</v>
      </c>
      <c r="B27">
        <v>1.113</v>
      </c>
      <c r="C27">
        <v>221</v>
      </c>
      <c r="D27">
        <v>0.75293986820479952</v>
      </c>
      <c r="E27">
        <v>25.3</v>
      </c>
      <c r="F27">
        <f t="shared" si="7"/>
        <v>0.90242346938775508</v>
      </c>
      <c r="G27">
        <v>146</v>
      </c>
      <c r="I27">
        <f t="shared" si="0"/>
        <v>123.16254470427353</v>
      </c>
      <c r="J27" s="8">
        <f t="shared" si="1"/>
        <v>1.2931644716889574</v>
      </c>
      <c r="L27" s="8">
        <f t="shared" si="2"/>
        <v>1.1356105001977033</v>
      </c>
      <c r="P27" s="8" t="str">
        <f t="shared" si="3"/>
        <v>x</v>
      </c>
      <c r="R27" s="8">
        <f t="shared" si="4"/>
        <v>1.1298863609905654</v>
      </c>
      <c r="T27" s="22">
        <f t="shared" si="5"/>
        <v>1.146537441621085</v>
      </c>
      <c r="V27" s="8">
        <f t="shared" si="6"/>
        <v>1.1605623366957105</v>
      </c>
    </row>
    <row r="28" spans="1:22" x14ac:dyDescent="0.25">
      <c r="A28">
        <v>3109</v>
      </c>
      <c r="B28">
        <v>1.5669999999999999</v>
      </c>
      <c r="C28">
        <v>964</v>
      </c>
      <c r="D28">
        <v>0.88258029928673554</v>
      </c>
      <c r="E28">
        <v>41.2</v>
      </c>
      <c r="F28">
        <f t="shared" si="7"/>
        <v>0.8193398957730168</v>
      </c>
      <c r="G28">
        <v>190</v>
      </c>
      <c r="I28">
        <f t="shared" si="0"/>
        <v>186.40576103044688</v>
      </c>
      <c r="J28" s="8">
        <f t="shared" si="1"/>
        <v>1.5088908875627836</v>
      </c>
      <c r="L28" s="8">
        <f t="shared" si="2"/>
        <v>1.5674106548884756</v>
      </c>
      <c r="P28" s="8" t="str">
        <f t="shared" si="3"/>
        <v>y</v>
      </c>
      <c r="R28" s="8">
        <f t="shared" si="4"/>
        <v>1.5258439852771066</v>
      </c>
      <c r="T28" s="22">
        <f t="shared" si="5"/>
        <v>1.5602124321788367</v>
      </c>
      <c r="V28" s="8">
        <f t="shared" si="6"/>
        <v>1.5689873630833899</v>
      </c>
    </row>
    <row r="29" spans="1:22" x14ac:dyDescent="0.25">
      <c r="A29">
        <v>132.51</v>
      </c>
      <c r="B29">
        <v>1.034</v>
      </c>
      <c r="C29">
        <v>10</v>
      </c>
      <c r="D29">
        <v>0.8521680369045489</v>
      </c>
      <c r="E29">
        <v>19</v>
      </c>
      <c r="F29">
        <f t="shared" si="7"/>
        <v>0.94019933554817281</v>
      </c>
      <c r="G29">
        <v>135.79</v>
      </c>
      <c r="I29">
        <f t="shared" si="0"/>
        <v>147.92201695390193</v>
      </c>
      <c r="J29" s="8">
        <f t="shared" si="1"/>
        <v>1.3509134509777556</v>
      </c>
      <c r="L29" s="8">
        <f t="shared" si="2"/>
        <v>1.0404055074737208</v>
      </c>
      <c r="P29" s="8" t="str">
        <f t="shared" si="3"/>
        <v>x</v>
      </c>
      <c r="R29" s="8">
        <f t="shared" si="4"/>
        <v>1.0398128610528343</v>
      </c>
      <c r="T29" s="22">
        <f t="shared" si="5"/>
        <v>1.1037240501950123</v>
      </c>
      <c r="V29" s="8">
        <f t="shared" si="6"/>
        <v>1.065018522806283</v>
      </c>
    </row>
    <row r="30" spans="1:22" x14ac:dyDescent="0.25">
      <c r="A30">
        <v>138.29</v>
      </c>
      <c r="B30">
        <v>1.0389999999999999</v>
      </c>
      <c r="C30">
        <v>11</v>
      </c>
      <c r="D30">
        <v>0.90914436110458996</v>
      </c>
      <c r="E30">
        <v>21.8</v>
      </c>
      <c r="F30">
        <f t="shared" si="7"/>
        <v>0.92302674494455306</v>
      </c>
      <c r="G30">
        <v>139.69999999999999</v>
      </c>
      <c r="I30">
        <f t="shared" si="0"/>
        <v>170.78020452727071</v>
      </c>
      <c r="J30" s="8">
        <f t="shared" si="1"/>
        <v>1.4191986848356375</v>
      </c>
      <c r="L30" s="8">
        <f t="shared" si="2"/>
        <v>1.043643284061434</v>
      </c>
      <c r="P30" s="8" t="str">
        <f t="shared" si="3"/>
        <v>x</v>
      </c>
      <c r="R30" s="8">
        <f t="shared" si="4"/>
        <v>1.0428531774362455</v>
      </c>
      <c r="T30" s="22">
        <f t="shared" si="5"/>
        <v>1.0811095939036264</v>
      </c>
      <c r="V30" s="8">
        <f t="shared" si="6"/>
        <v>1.0683013408075528</v>
      </c>
    </row>
    <row r="31" spans="1:22" x14ac:dyDescent="0.25">
      <c r="A31">
        <v>2908</v>
      </c>
      <c r="B31">
        <v>1.2889999999999999</v>
      </c>
      <c r="C31">
        <v>529</v>
      </c>
      <c r="D31">
        <v>0.65</v>
      </c>
      <c r="E31">
        <v>36.700000000000003</v>
      </c>
      <c r="F31">
        <f t="shared" si="7"/>
        <v>0.84126040428061832</v>
      </c>
      <c r="G31">
        <v>207</v>
      </c>
      <c r="I31">
        <f t="shared" si="0"/>
        <v>101.67692888043034</v>
      </c>
      <c r="J31" s="8">
        <f t="shared" si="1"/>
        <v>1.2912069965514694</v>
      </c>
      <c r="L31" s="8">
        <f t="shared" si="2"/>
        <v>1.3194751214734981</v>
      </c>
      <c r="P31" s="8" t="str">
        <f t="shared" si="3"/>
        <v>y</v>
      </c>
      <c r="R31" s="8">
        <f t="shared" si="4"/>
        <v>1.3112622318830007</v>
      </c>
      <c r="T31" s="22">
        <f t="shared" si="5"/>
        <v>1.3620294715909438</v>
      </c>
      <c r="V31" s="8">
        <f t="shared" si="6"/>
        <v>1.3484294638767025</v>
      </c>
    </row>
    <row r="32" spans="1:22" x14ac:dyDescent="0.25">
      <c r="A32">
        <v>2851</v>
      </c>
      <c r="B32">
        <v>1.379</v>
      </c>
      <c r="C32">
        <v>700</v>
      </c>
      <c r="D32">
        <v>0.65001356018585665</v>
      </c>
      <c r="E32">
        <v>40</v>
      </c>
      <c r="F32">
        <f t="shared" si="7"/>
        <v>0.82507288629737607</v>
      </c>
      <c r="G32">
        <v>185</v>
      </c>
      <c r="I32">
        <f t="shared" si="0"/>
        <v>104.0836243688845</v>
      </c>
      <c r="J32" s="8">
        <f t="shared" si="1"/>
        <v>1.2781915278873808</v>
      </c>
      <c r="L32" s="8">
        <f t="shared" si="2"/>
        <v>1.3835784388513379</v>
      </c>
      <c r="P32" s="8" t="str">
        <f t="shared" si="3"/>
        <v>y</v>
      </c>
      <c r="R32" s="8">
        <f t="shared" si="4"/>
        <v>1.3656783549285041</v>
      </c>
      <c r="T32" s="22">
        <f t="shared" si="5"/>
        <v>1.4451984712765444</v>
      </c>
      <c r="V32" s="8">
        <f t="shared" si="6"/>
        <v>1.4065374499562415</v>
      </c>
    </row>
    <row r="33" spans="1:22" x14ac:dyDescent="0.25">
      <c r="A33">
        <v>2195</v>
      </c>
      <c r="B33">
        <v>1.18</v>
      </c>
      <c r="C33">
        <v>616.9</v>
      </c>
      <c r="D33">
        <v>0.67419223639400838</v>
      </c>
      <c r="E33">
        <v>38.200000000000003</v>
      </c>
      <c r="F33">
        <f t="shared" si="7"/>
        <v>0.83382439599292879</v>
      </c>
      <c r="G33">
        <v>168.1</v>
      </c>
      <c r="I33">
        <f t="shared" si="0"/>
        <v>110.06756557536924</v>
      </c>
      <c r="J33" s="8">
        <f t="shared" si="1"/>
        <v>1.2786101081005601</v>
      </c>
      <c r="L33" s="8">
        <f t="shared" si="2"/>
        <v>1.3317518001907269</v>
      </c>
      <c r="P33" s="8" t="str">
        <f t="shared" si="3"/>
        <v>y</v>
      </c>
      <c r="R33" s="8">
        <f t="shared" si="4"/>
        <v>1.3135261423216988</v>
      </c>
      <c r="T33" s="22">
        <f t="shared" si="5"/>
        <v>1.3739031378974715</v>
      </c>
      <c r="V33" s="8">
        <f t="shared" si="6"/>
        <v>1.3531558513494306</v>
      </c>
    </row>
    <row r="34" spans="1:22" x14ac:dyDescent="0.25">
      <c r="A34">
        <v>1965.7</v>
      </c>
      <c r="B34">
        <v>1.17</v>
      </c>
      <c r="C34">
        <v>342</v>
      </c>
      <c r="D34">
        <v>0.82411841711059508</v>
      </c>
      <c r="E34">
        <v>26.8</v>
      </c>
      <c r="F34">
        <v>0.89387239418825004</v>
      </c>
      <c r="G34">
        <v>135</v>
      </c>
      <c r="I34">
        <f t="shared" si="0"/>
        <v>147.60984152650457</v>
      </c>
      <c r="J34" s="8">
        <f t="shared" si="1"/>
        <v>1.349368225518794</v>
      </c>
      <c r="L34" s="8">
        <f t="shared" si="2"/>
        <v>1.1860633353097967</v>
      </c>
      <c r="P34" s="8" t="str">
        <f t="shared" si="3"/>
        <v>x</v>
      </c>
      <c r="R34" s="8">
        <f t="shared" si="4"/>
        <v>1.1696132085277389</v>
      </c>
      <c r="T34" s="22">
        <f t="shared" si="5"/>
        <v>1.1716213475454644</v>
      </c>
      <c r="V34" s="8">
        <f t="shared" si="6"/>
        <v>1.2022824294554073</v>
      </c>
    </row>
    <row r="35" spans="1:22" x14ac:dyDescent="0.25">
      <c r="A35">
        <v>2723</v>
      </c>
      <c r="B35">
        <v>1.446</v>
      </c>
      <c r="C35">
        <v>816</v>
      </c>
      <c r="D35">
        <v>0.88304691053831885</v>
      </c>
      <c r="E35">
        <v>39.700000000000003</v>
      </c>
      <c r="F35">
        <v>0.8265186915887851</v>
      </c>
      <c r="G35">
        <v>180</v>
      </c>
      <c r="I35">
        <f t="shared" si="0"/>
        <v>184.64449348399378</v>
      </c>
      <c r="J35" s="8">
        <f t="shared" si="1"/>
        <v>1.4949664520224428</v>
      </c>
      <c r="L35" s="8">
        <f t="shared" si="2"/>
        <v>1.4776279668885017</v>
      </c>
      <c r="P35" s="8" t="str">
        <f t="shared" si="3"/>
        <v>y</v>
      </c>
      <c r="R35" s="8">
        <f t="shared" si="4"/>
        <v>1.4415012137018879</v>
      </c>
      <c r="T35" s="22">
        <f t="shared" si="5"/>
        <v>1.4684110785756879</v>
      </c>
      <c r="V35" s="8">
        <f t="shared" si="6"/>
        <v>1.4834890281286579</v>
      </c>
    </row>
    <row r="36" spans="1:22" x14ac:dyDescent="0.25">
      <c r="A36">
        <v>1574</v>
      </c>
      <c r="B36">
        <v>1.1060000000000001</v>
      </c>
      <c r="C36">
        <v>150.1</v>
      </c>
      <c r="D36">
        <v>0.89837818770730016</v>
      </c>
      <c r="E36">
        <v>20.6</v>
      </c>
      <c r="F36">
        <f>141.5/(E36+131.5)</f>
        <v>0.93030900723208421</v>
      </c>
      <c r="G36">
        <v>156</v>
      </c>
      <c r="I36">
        <f t="shared" si="0"/>
        <v>165.43208755975846</v>
      </c>
      <c r="J36" s="8">
        <f t="shared" si="1"/>
        <v>1.4177798944468309</v>
      </c>
      <c r="L36" s="8">
        <f t="shared" si="2"/>
        <v>1.1133641266308418</v>
      </c>
      <c r="P36" s="8" t="str">
        <f t="shared" si="3"/>
        <v>x</v>
      </c>
      <c r="R36" s="8">
        <f t="shared" si="4"/>
        <v>1.1116027403572606</v>
      </c>
      <c r="T36" s="22">
        <f t="shared" si="5"/>
        <v>1.144774885725127</v>
      </c>
      <c r="V36" s="8">
        <f t="shared" si="6"/>
        <v>1.1406786578689594</v>
      </c>
    </row>
    <row r="37" spans="1:22" x14ac:dyDescent="0.25">
      <c r="A37">
        <v>2919</v>
      </c>
      <c r="B37">
        <v>1.34</v>
      </c>
      <c r="C37">
        <v>689</v>
      </c>
      <c r="D37">
        <v>0.66528519740074887</v>
      </c>
      <c r="E37">
        <v>36.6</v>
      </c>
      <c r="F37">
        <f>141.5/(E37+131.5)</f>
        <v>0.84176085663295663</v>
      </c>
      <c r="G37">
        <v>176</v>
      </c>
      <c r="I37">
        <f t="shared" si="0"/>
        <v>106.1372479686564</v>
      </c>
      <c r="J37" s="8">
        <f t="shared" si="1"/>
        <v>1.2755479340123661</v>
      </c>
      <c r="L37" s="8">
        <f t="shared" si="2"/>
        <v>1.3664030104865319</v>
      </c>
      <c r="P37" s="8" t="str">
        <f t="shared" si="3"/>
        <v>y</v>
      </c>
      <c r="R37" s="8">
        <f t="shared" si="4"/>
        <v>1.3448406142127896</v>
      </c>
      <c r="T37" s="22">
        <f t="shared" si="5"/>
        <v>1.3969364168439817</v>
      </c>
      <c r="V37" s="8">
        <f t="shared" si="6"/>
        <v>1.3838997299204689</v>
      </c>
    </row>
    <row r="38" spans="1:22" x14ac:dyDescent="0.25">
      <c r="A38">
        <v>139.83000000000001</v>
      </c>
      <c r="B38">
        <v>1.038</v>
      </c>
      <c r="C38">
        <v>11</v>
      </c>
      <c r="D38">
        <v>0.81471004834381855</v>
      </c>
      <c r="E38">
        <v>20.100000000000001</v>
      </c>
      <c r="F38">
        <f>141.5/(E38+131.5)</f>
        <v>0.9333773087071241</v>
      </c>
      <c r="G38">
        <v>137.6</v>
      </c>
      <c r="I38">
        <f t="shared" si="0"/>
        <v>137.14342955957989</v>
      </c>
      <c r="J38" s="8">
        <f t="shared" si="1"/>
        <v>1.3230204412700237</v>
      </c>
      <c r="L38" s="8">
        <f t="shared" si="2"/>
        <v>1.041912445027444</v>
      </c>
      <c r="P38" s="8" t="str">
        <f t="shared" si="3"/>
        <v>x</v>
      </c>
      <c r="R38" s="8">
        <f t="shared" si="4"/>
        <v>1.0413442409333651</v>
      </c>
      <c r="T38" s="22">
        <f t="shared" si="5"/>
        <v>1.098813257138346</v>
      </c>
      <c r="V38" s="8">
        <f t="shared" si="6"/>
        <v>1.0666694942653212</v>
      </c>
    </row>
    <row r="39" spans="1:22" x14ac:dyDescent="0.25">
      <c r="A39">
        <v>2706</v>
      </c>
      <c r="B39">
        <v>1.5469999999999999</v>
      </c>
      <c r="C39">
        <v>981</v>
      </c>
      <c r="D39">
        <v>0.82462795150109558</v>
      </c>
      <c r="E39">
        <v>43.7</v>
      </c>
      <c r="F39">
        <f>141.5/(E39+131.5)</f>
        <v>0.80764840182648412</v>
      </c>
      <c r="G39">
        <v>179</v>
      </c>
      <c r="I39">
        <f t="shared" si="0"/>
        <v>166.94487020579859</v>
      </c>
      <c r="J39" s="8">
        <f t="shared" si="1"/>
        <v>1.4419897403953055</v>
      </c>
      <c r="L39" s="8">
        <f t="shared" si="2"/>
        <v>1.5568968527885174</v>
      </c>
      <c r="P39" s="8" t="str">
        <f t="shared" si="3"/>
        <v>y</v>
      </c>
      <c r="R39" s="8">
        <f t="shared" si="4"/>
        <v>1.5211910813443197</v>
      </c>
      <c r="T39" s="22">
        <f t="shared" si="5"/>
        <v>1.5962887381600908</v>
      </c>
      <c r="V39" s="8">
        <f t="shared" si="6"/>
        <v>1.5670956173844943</v>
      </c>
    </row>
    <row r="40" spans="1:22" x14ac:dyDescent="0.25">
      <c r="A40">
        <v>2316</v>
      </c>
      <c r="B40">
        <v>1.37</v>
      </c>
      <c r="C40">
        <v>620</v>
      </c>
      <c r="D40">
        <v>0.75680139949130487</v>
      </c>
      <c r="E40">
        <v>36.200000000000003</v>
      </c>
      <c r="F40">
        <f>141.5/(E40+131.5)</f>
        <v>0.8437686344663089</v>
      </c>
      <c r="G40">
        <v>176</v>
      </c>
      <c r="I40">
        <f t="shared" si="0"/>
        <v>134.81383746674931</v>
      </c>
      <c r="J40" s="8">
        <f t="shared" si="1"/>
        <v>1.3498892104636866</v>
      </c>
      <c r="L40" s="8">
        <f t="shared" si="2"/>
        <v>1.3490540254021628</v>
      </c>
      <c r="P40" s="8" t="str">
        <f t="shared" si="3"/>
        <v>y</v>
      </c>
      <c r="R40" s="8">
        <f t="shared" si="4"/>
        <v>1.3273914704115239</v>
      </c>
      <c r="T40" s="22">
        <f t="shared" si="5"/>
        <v>1.3578994937461744</v>
      </c>
      <c r="V40" s="8">
        <f t="shared" si="6"/>
        <v>1.3659562991027121</v>
      </c>
    </row>
    <row r="41" spans="1:22" x14ac:dyDescent="0.25">
      <c r="A41">
        <v>2155</v>
      </c>
      <c r="B41">
        <v>1.2190000000000001</v>
      </c>
      <c r="C41">
        <v>324</v>
      </c>
      <c r="D41">
        <v>0.79530577401303026</v>
      </c>
      <c r="E41">
        <v>34.700000000000003</v>
      </c>
      <c r="F41">
        <v>0.85138387484957889</v>
      </c>
      <c r="G41">
        <v>224</v>
      </c>
      <c r="I41">
        <f t="shared" si="0"/>
        <v>146.39143204740495</v>
      </c>
      <c r="J41" s="8">
        <f t="shared" si="1"/>
        <v>1.4228077149580116</v>
      </c>
      <c r="L41" s="8">
        <f t="shared" si="2"/>
        <v>1.2471025534566544</v>
      </c>
      <c r="P41" s="8" t="str">
        <f t="shared" si="3"/>
        <v>y</v>
      </c>
      <c r="R41" s="8">
        <f t="shared" si="4"/>
        <v>1.2501079897757159</v>
      </c>
      <c r="T41" s="22">
        <f t="shared" si="5"/>
        <v>1.2721382123893434</v>
      </c>
      <c r="V41" s="8">
        <f t="shared" si="6"/>
        <v>1.2845175819870771</v>
      </c>
    </row>
    <row r="42" spans="1:22" x14ac:dyDescent="0.25">
      <c r="A42">
        <v>5921</v>
      </c>
      <c r="B42">
        <v>1.7927</v>
      </c>
      <c r="C42">
        <v>1529</v>
      </c>
      <c r="D42">
        <v>0.65</v>
      </c>
      <c r="E42">
        <v>32</v>
      </c>
      <c r="F42">
        <f t="shared" ref="F42:F45" si="8">141.5/(E42+131.5)</f>
        <v>0.86544342507645255</v>
      </c>
      <c r="G42">
        <v>212</v>
      </c>
      <c r="I42">
        <f t="shared" si="0"/>
        <v>98.271464871873107</v>
      </c>
      <c r="J42" s="8">
        <f t="shared" si="1"/>
        <v>1.2871376482457908</v>
      </c>
      <c r="L42" s="8">
        <f t="shared" si="2"/>
        <v>1.7637221282402828</v>
      </c>
      <c r="P42" s="8" t="str">
        <f t="shared" si="3"/>
        <v>y</v>
      </c>
      <c r="R42" s="8">
        <f t="shared" si="4"/>
        <v>1.6915963823629547</v>
      </c>
      <c r="T42" s="22">
        <f t="shared" si="5"/>
        <v>1.78143538447992</v>
      </c>
      <c r="V42" s="8">
        <f t="shared" si="6"/>
        <v>1.7222571301709777</v>
      </c>
    </row>
    <row r="43" spans="1:22" x14ac:dyDescent="0.25">
      <c r="A43">
        <v>2820</v>
      </c>
      <c r="B43">
        <v>1.5649999999999999</v>
      </c>
      <c r="C43">
        <v>1127</v>
      </c>
      <c r="D43">
        <v>0.90465372387492327</v>
      </c>
      <c r="E43">
        <v>45</v>
      </c>
      <c r="F43">
        <f t="shared" si="8"/>
        <v>0.80169971671388107</v>
      </c>
      <c r="G43">
        <v>180</v>
      </c>
      <c r="I43">
        <f t="shared" si="0"/>
        <v>200.43206549739176</v>
      </c>
      <c r="J43" s="8">
        <f t="shared" si="1"/>
        <v>1.5431321979140298</v>
      </c>
      <c r="L43" s="8">
        <f t="shared" si="2"/>
        <v>1.6584142426088841</v>
      </c>
      <c r="P43" s="8" t="str">
        <f t="shared" si="3"/>
        <v>y</v>
      </c>
      <c r="R43" s="8">
        <f t="shared" si="4"/>
        <v>1.6119034127903493</v>
      </c>
      <c r="T43" s="22">
        <f t="shared" si="5"/>
        <v>1.6764922486928882</v>
      </c>
      <c r="V43" s="8">
        <f t="shared" si="6"/>
        <v>1.6595252786944124</v>
      </c>
    </row>
    <row r="44" spans="1:22" x14ac:dyDescent="0.25">
      <c r="A44">
        <v>2809</v>
      </c>
      <c r="B44">
        <v>1.61</v>
      </c>
      <c r="C44">
        <v>1017</v>
      </c>
      <c r="D44">
        <v>0.81463766337291299</v>
      </c>
      <c r="E44">
        <v>43.5</v>
      </c>
      <c r="F44">
        <f t="shared" si="8"/>
        <v>0.80857142857142861</v>
      </c>
      <c r="G44">
        <v>184</v>
      </c>
      <c r="I44">
        <f t="shared" si="0"/>
        <v>162.94323423136018</v>
      </c>
      <c r="J44" s="8">
        <f t="shared" si="1"/>
        <v>1.4347986084150632</v>
      </c>
      <c r="L44" s="8">
        <f t="shared" si="2"/>
        <v>1.5773258049653118</v>
      </c>
      <c r="P44" s="8" t="str">
        <f t="shared" si="3"/>
        <v>y</v>
      </c>
      <c r="R44" s="8">
        <f t="shared" si="4"/>
        <v>1.5408498746613313</v>
      </c>
      <c r="T44" s="22">
        <f t="shared" si="5"/>
        <v>1.6147652101179659</v>
      </c>
      <c r="V44" s="8">
        <f t="shared" si="6"/>
        <v>1.5864243330388224</v>
      </c>
    </row>
    <row r="45" spans="1:22" x14ac:dyDescent="0.25">
      <c r="A45">
        <v>3710</v>
      </c>
      <c r="B45">
        <v>3.1720000000000002</v>
      </c>
      <c r="C45">
        <v>3455</v>
      </c>
      <c r="D45">
        <v>0.71604703117305368</v>
      </c>
      <c r="E45">
        <v>44.2</v>
      </c>
      <c r="F45">
        <f t="shared" si="8"/>
        <v>0.80535002845759818</v>
      </c>
      <c r="G45">
        <v>216</v>
      </c>
      <c r="I45">
        <f t="shared" si="0"/>
        <v>128.50446358977507</v>
      </c>
      <c r="J45" s="8">
        <f t="shared" si="1"/>
        <v>1.3676023794870413</v>
      </c>
      <c r="L45" s="8">
        <f t="shared" si="2"/>
        <v>2.7943384394302995</v>
      </c>
      <c r="P45" s="8" t="str">
        <f t="shared" si="3"/>
        <v>y</v>
      </c>
      <c r="R45" s="8">
        <f t="shared" si="4"/>
        <v>2.6927078476779238</v>
      </c>
      <c r="T45" s="22">
        <f t="shared" si="5"/>
        <v>2.8977056217700223</v>
      </c>
      <c r="V45" s="8">
        <f t="shared" si="6"/>
        <v>2.7073088980003917</v>
      </c>
    </row>
    <row r="46" spans="1:22" x14ac:dyDescent="0.25">
      <c r="A46" s="1"/>
      <c r="G46" s="12"/>
      <c r="T46" s="22"/>
    </row>
    <row r="47" spans="1:22" x14ac:dyDescent="0.25">
      <c r="A47" s="1"/>
      <c r="C47" s="1"/>
      <c r="G47" s="12"/>
      <c r="T47" s="22"/>
    </row>
    <row r="48" spans="1:22" x14ac:dyDescent="0.25">
      <c r="A48" s="1"/>
      <c r="G48" s="12"/>
      <c r="T48" s="22"/>
    </row>
    <row r="49" spans="1:20" x14ac:dyDescent="0.25">
      <c r="A49" s="1"/>
      <c r="G49" s="12"/>
      <c r="T49" s="22"/>
    </row>
    <row r="50" spans="1:20" x14ac:dyDescent="0.25">
      <c r="A50" s="1"/>
      <c r="G50" s="12"/>
      <c r="T50" s="22"/>
    </row>
    <row r="51" spans="1:20" x14ac:dyDescent="0.25">
      <c r="A51" s="1"/>
      <c r="C51" s="1"/>
      <c r="G51" s="12"/>
      <c r="T51" s="22"/>
    </row>
    <row r="52" spans="1:20" x14ac:dyDescent="0.25">
      <c r="A52" s="1"/>
      <c r="G52" s="12"/>
      <c r="T52" s="22"/>
    </row>
    <row r="53" spans="1:20" x14ac:dyDescent="0.25">
      <c r="A53" s="1"/>
      <c r="G53" s="12"/>
      <c r="T53" s="22"/>
    </row>
    <row r="54" spans="1:20" x14ac:dyDescent="0.25">
      <c r="A54" s="1"/>
      <c r="G54" s="12"/>
      <c r="T54" s="22"/>
    </row>
    <row r="55" spans="1:20" x14ac:dyDescent="0.25">
      <c r="A55" s="1"/>
      <c r="C55" s="1"/>
      <c r="G55" s="12"/>
      <c r="T55" s="22"/>
    </row>
    <row r="56" spans="1:20" x14ac:dyDescent="0.25">
      <c r="A56" s="1"/>
      <c r="G56" s="12"/>
      <c r="T56" s="22"/>
    </row>
    <row r="57" spans="1:20" x14ac:dyDescent="0.25">
      <c r="A57" s="1"/>
      <c r="C57" s="1"/>
      <c r="G57" s="12"/>
      <c r="T57" s="22"/>
    </row>
    <row r="58" spans="1:20" x14ac:dyDescent="0.25">
      <c r="A58" s="1"/>
      <c r="G58" s="12"/>
      <c r="T58" s="22"/>
    </row>
    <row r="59" spans="1:20" x14ac:dyDescent="0.25">
      <c r="A59" s="1"/>
      <c r="G59" s="12"/>
      <c r="T59" s="22"/>
    </row>
    <row r="60" spans="1:20" x14ac:dyDescent="0.25">
      <c r="A60" s="1"/>
      <c r="G60" s="12"/>
      <c r="T60" s="22"/>
    </row>
    <row r="61" spans="1:20" x14ac:dyDescent="0.25">
      <c r="A61" s="1"/>
      <c r="G61" s="12"/>
      <c r="T61" s="22"/>
    </row>
    <row r="62" spans="1:20" x14ac:dyDescent="0.25">
      <c r="A62" s="1"/>
      <c r="C62" s="1"/>
      <c r="G62" s="12"/>
      <c r="T62" s="22"/>
    </row>
    <row r="63" spans="1:20" x14ac:dyDescent="0.25">
      <c r="A63" s="1"/>
      <c r="C63" s="1"/>
      <c r="G63" s="12"/>
      <c r="T63" s="22"/>
    </row>
    <row r="64" spans="1:20" x14ac:dyDescent="0.25">
      <c r="A64" s="1"/>
      <c r="G64" s="12"/>
      <c r="T64" s="22"/>
    </row>
    <row r="65" spans="1:20" x14ac:dyDescent="0.25">
      <c r="A65" s="1"/>
      <c r="G65" s="12"/>
      <c r="T65" s="22"/>
    </row>
    <row r="66" spans="1:20" x14ac:dyDescent="0.25">
      <c r="A66" s="1"/>
      <c r="G66" s="12"/>
      <c r="T66" s="22"/>
    </row>
    <row r="67" spans="1:20" x14ac:dyDescent="0.25">
      <c r="A67" s="1"/>
      <c r="G67" s="12"/>
      <c r="T67" s="22"/>
    </row>
    <row r="68" spans="1:20" x14ac:dyDescent="0.25">
      <c r="A68" s="1"/>
      <c r="G68" s="12"/>
      <c r="T68" s="22"/>
    </row>
    <row r="69" spans="1:20" x14ac:dyDescent="0.25">
      <c r="A69" s="1"/>
      <c r="G69" s="12"/>
      <c r="T69" s="22"/>
    </row>
    <row r="70" spans="1:20" x14ac:dyDescent="0.25">
      <c r="A70" s="1"/>
      <c r="G70" s="12"/>
      <c r="T70" s="22"/>
    </row>
    <row r="71" spans="1:20" x14ac:dyDescent="0.25">
      <c r="A71" s="1"/>
      <c r="C71" s="1"/>
      <c r="G71" s="12"/>
      <c r="T71" s="22"/>
    </row>
    <row r="72" spans="1:20" x14ac:dyDescent="0.25">
      <c r="A72" s="1"/>
      <c r="G72" s="12"/>
      <c r="T72" s="22"/>
    </row>
    <row r="73" spans="1:20" x14ac:dyDescent="0.25">
      <c r="A73" s="1"/>
      <c r="G73" s="12"/>
      <c r="T73" s="22"/>
    </row>
    <row r="74" spans="1:20" x14ac:dyDescent="0.25">
      <c r="A74" s="1"/>
      <c r="G74" s="12"/>
      <c r="T74" s="22"/>
    </row>
    <row r="75" spans="1:20" x14ac:dyDescent="0.25">
      <c r="A75" s="1"/>
      <c r="G75" s="12"/>
      <c r="T75" s="22"/>
    </row>
    <row r="76" spans="1:20" x14ac:dyDescent="0.25">
      <c r="A76" s="1"/>
      <c r="G76" s="12"/>
      <c r="T76" s="22"/>
    </row>
    <row r="77" spans="1:20" x14ac:dyDescent="0.25">
      <c r="A77" s="1"/>
      <c r="G77" s="12"/>
      <c r="T77" s="22"/>
    </row>
    <row r="78" spans="1:20" x14ac:dyDescent="0.25">
      <c r="A78" s="1"/>
      <c r="G78" s="12"/>
      <c r="T78" s="22"/>
    </row>
    <row r="79" spans="1:20" x14ac:dyDescent="0.25">
      <c r="A79" s="1"/>
      <c r="G79" s="12"/>
      <c r="T79" s="22"/>
    </row>
    <row r="80" spans="1:20" x14ac:dyDescent="0.25">
      <c r="A80" s="1"/>
      <c r="G80" s="12"/>
      <c r="T80" s="22"/>
    </row>
    <row r="81" spans="1:20" x14ac:dyDescent="0.25">
      <c r="A81" s="1"/>
      <c r="G81" s="12"/>
      <c r="T81" s="22"/>
    </row>
    <row r="82" spans="1:20" x14ac:dyDescent="0.25">
      <c r="A82" s="1"/>
      <c r="G82" s="12"/>
      <c r="T82" s="22"/>
    </row>
    <row r="83" spans="1:20" x14ac:dyDescent="0.25">
      <c r="A83" s="1"/>
      <c r="G83" s="12"/>
      <c r="T83" s="22"/>
    </row>
    <row r="84" spans="1:20" x14ac:dyDescent="0.25">
      <c r="A84" s="1"/>
      <c r="G84" s="12"/>
      <c r="T84" s="22"/>
    </row>
    <row r="85" spans="1:20" x14ac:dyDescent="0.25">
      <c r="A85" s="1"/>
      <c r="G85" s="12"/>
      <c r="T85" s="22"/>
    </row>
    <row r="86" spans="1:20" x14ac:dyDescent="0.25">
      <c r="A86" s="1"/>
      <c r="G86" s="12"/>
      <c r="T86" s="22"/>
    </row>
    <row r="87" spans="1:20" x14ac:dyDescent="0.25">
      <c r="A87" s="1"/>
      <c r="G87" s="12"/>
      <c r="T87" s="22"/>
    </row>
    <row r="88" spans="1:20" x14ac:dyDescent="0.25">
      <c r="A88" s="1"/>
      <c r="C88" s="1"/>
      <c r="G88" s="12"/>
      <c r="T88" s="22"/>
    </row>
    <row r="89" spans="1:20" x14ac:dyDescent="0.25">
      <c r="A89" s="1"/>
      <c r="G89" s="12"/>
      <c r="T89" s="22"/>
    </row>
    <row r="90" spans="1:20" x14ac:dyDescent="0.25">
      <c r="A90" s="1"/>
      <c r="G90" s="12"/>
      <c r="T90" s="22"/>
    </row>
    <row r="91" spans="1:20" x14ac:dyDescent="0.25">
      <c r="A91" s="1"/>
      <c r="G91" s="12"/>
      <c r="T91" s="22"/>
    </row>
    <row r="92" spans="1:20" x14ac:dyDescent="0.25">
      <c r="A92" s="1"/>
      <c r="G92" s="12"/>
      <c r="T92" s="22"/>
    </row>
    <row r="93" spans="1:20" x14ac:dyDescent="0.25">
      <c r="A93" s="1"/>
      <c r="G93" s="12"/>
      <c r="T93" s="22"/>
    </row>
    <row r="94" spans="1:20" x14ac:dyDescent="0.25">
      <c r="A94" s="1"/>
      <c r="G94" s="12"/>
      <c r="T94" s="22"/>
    </row>
    <row r="95" spans="1:20" x14ac:dyDescent="0.25">
      <c r="A95" s="1"/>
      <c r="G95" s="12"/>
      <c r="T95" s="22"/>
    </row>
    <row r="96" spans="1:20" x14ac:dyDescent="0.25">
      <c r="A96" s="1"/>
      <c r="G96" s="12"/>
      <c r="T96" s="22"/>
    </row>
    <row r="97" spans="1:20" x14ac:dyDescent="0.25">
      <c r="A97" s="1"/>
      <c r="G97" s="12"/>
      <c r="T97" s="22"/>
    </row>
    <row r="98" spans="1:20" x14ac:dyDescent="0.25">
      <c r="A98" s="1"/>
      <c r="G98" s="12"/>
      <c r="T98" s="22"/>
    </row>
    <row r="99" spans="1:20" x14ac:dyDescent="0.25">
      <c r="A99" s="1"/>
      <c r="G99" s="12"/>
      <c r="T99" s="22"/>
    </row>
    <row r="100" spans="1:20" x14ac:dyDescent="0.25">
      <c r="A100" s="1"/>
      <c r="G100" s="12"/>
      <c r="T100" s="22"/>
    </row>
    <row r="101" spans="1:20" x14ac:dyDescent="0.25">
      <c r="A101" s="1"/>
      <c r="G101" s="12"/>
      <c r="T101" s="22"/>
    </row>
    <row r="102" spans="1:20" x14ac:dyDescent="0.25">
      <c r="A102" s="1"/>
      <c r="G102" s="12"/>
      <c r="T102" s="22"/>
    </row>
    <row r="103" spans="1:20" x14ac:dyDescent="0.25">
      <c r="A103" s="1"/>
      <c r="G103" s="12"/>
      <c r="T103" s="22"/>
    </row>
    <row r="104" spans="1:20" x14ac:dyDescent="0.25">
      <c r="A104" s="1"/>
      <c r="G104" s="12"/>
      <c r="T104" s="22"/>
    </row>
    <row r="105" spans="1:20" x14ac:dyDescent="0.25">
      <c r="A105" s="1"/>
      <c r="G105" s="12"/>
      <c r="T105" s="22"/>
    </row>
    <row r="106" spans="1:20" x14ac:dyDescent="0.25">
      <c r="A106" s="1"/>
      <c r="G106" s="12"/>
      <c r="T106" s="22"/>
    </row>
    <row r="107" spans="1:20" x14ac:dyDescent="0.25">
      <c r="A107" s="1"/>
      <c r="G107" s="12"/>
      <c r="T107" s="22"/>
    </row>
    <row r="108" spans="1:20" x14ac:dyDescent="0.25">
      <c r="A108" s="1"/>
      <c r="G108" s="12"/>
      <c r="T108" s="22"/>
    </row>
    <row r="109" spans="1:20" x14ac:dyDescent="0.25">
      <c r="A109" s="1"/>
      <c r="G109" s="12"/>
      <c r="T109" s="22"/>
    </row>
    <row r="110" spans="1:20" x14ac:dyDescent="0.25">
      <c r="A110" s="1"/>
      <c r="G110" s="12"/>
      <c r="T110" s="22"/>
    </row>
    <row r="111" spans="1:20" x14ac:dyDescent="0.25">
      <c r="A111" s="1"/>
      <c r="G111" s="12"/>
      <c r="T111" s="22"/>
    </row>
    <row r="112" spans="1:20" x14ac:dyDescent="0.25">
      <c r="A112" s="1"/>
      <c r="G112" s="12"/>
      <c r="T112" s="22"/>
    </row>
    <row r="113" spans="1:20" x14ac:dyDescent="0.25">
      <c r="A113" s="1"/>
      <c r="G113" s="12"/>
      <c r="T113" s="22"/>
    </row>
    <row r="114" spans="1:20" x14ac:dyDescent="0.25">
      <c r="A114" s="1"/>
      <c r="G114" s="12"/>
      <c r="T114" s="22"/>
    </row>
    <row r="115" spans="1:20" x14ac:dyDescent="0.25">
      <c r="A115" s="1"/>
      <c r="G115" s="12"/>
      <c r="T115" s="22"/>
    </row>
    <row r="116" spans="1:20" x14ac:dyDescent="0.25">
      <c r="G116" s="12"/>
      <c r="T116" s="22"/>
    </row>
    <row r="117" spans="1:20" x14ac:dyDescent="0.25">
      <c r="G117" s="12"/>
      <c r="T117" s="22"/>
    </row>
    <row r="118" spans="1:20" x14ac:dyDescent="0.25">
      <c r="G118" s="12"/>
      <c r="T118" s="22"/>
    </row>
    <row r="119" spans="1:20" x14ac:dyDescent="0.25">
      <c r="G119" s="12"/>
      <c r="T119" s="22"/>
    </row>
    <row r="120" spans="1:20" x14ac:dyDescent="0.25">
      <c r="G120" s="12"/>
      <c r="T120" s="22"/>
    </row>
    <row r="121" spans="1:20" x14ac:dyDescent="0.25">
      <c r="G121" s="12"/>
      <c r="T121" s="22"/>
    </row>
    <row r="122" spans="1:20" x14ac:dyDescent="0.25">
      <c r="G122" s="12"/>
      <c r="T122" s="22"/>
    </row>
    <row r="123" spans="1:20" x14ac:dyDescent="0.25">
      <c r="G123" s="12"/>
      <c r="T123" s="22"/>
    </row>
    <row r="124" spans="1:20" x14ac:dyDescent="0.25">
      <c r="G124" s="12"/>
      <c r="T124" s="22"/>
    </row>
    <row r="125" spans="1:20" x14ac:dyDescent="0.25">
      <c r="G125" s="12"/>
      <c r="T125" s="22"/>
    </row>
    <row r="126" spans="1:20" x14ac:dyDescent="0.25">
      <c r="G126" s="12"/>
      <c r="T126" s="22"/>
    </row>
    <row r="127" spans="1:20" x14ac:dyDescent="0.25">
      <c r="G127" s="12"/>
      <c r="T127" s="22"/>
    </row>
    <row r="128" spans="1:20" x14ac:dyDescent="0.25">
      <c r="G128" s="12"/>
      <c r="T128" s="22"/>
    </row>
    <row r="129" spans="7:20" x14ac:dyDescent="0.25">
      <c r="G129" s="12"/>
      <c r="T129" s="22"/>
    </row>
    <row r="130" spans="7:20" x14ac:dyDescent="0.25">
      <c r="G130" s="12"/>
      <c r="T130" s="22"/>
    </row>
    <row r="131" spans="7:20" x14ac:dyDescent="0.25">
      <c r="G131" s="12"/>
      <c r="T131" s="22"/>
    </row>
    <row r="132" spans="7:20" x14ac:dyDescent="0.25">
      <c r="G132" s="12"/>
      <c r="T132" s="22"/>
    </row>
    <row r="133" spans="7:20" x14ac:dyDescent="0.25">
      <c r="G133" s="12"/>
      <c r="T133" s="22"/>
    </row>
    <row r="134" spans="7:20" x14ac:dyDescent="0.25">
      <c r="G134" s="12"/>
      <c r="T134" s="22"/>
    </row>
    <row r="135" spans="7:20" x14ac:dyDescent="0.25">
      <c r="G135" s="12"/>
      <c r="T135" s="22"/>
    </row>
    <row r="136" spans="7:20" x14ac:dyDescent="0.25">
      <c r="G136" s="12"/>
      <c r="T136" s="22"/>
    </row>
    <row r="137" spans="7:20" x14ac:dyDescent="0.25">
      <c r="G137" s="12"/>
      <c r="T137" s="22"/>
    </row>
    <row r="138" spans="7:20" x14ac:dyDescent="0.25">
      <c r="G138" s="12"/>
      <c r="T138" s="22"/>
    </row>
    <row r="139" spans="7:20" x14ac:dyDescent="0.25">
      <c r="G139" s="12"/>
      <c r="T139" s="22"/>
    </row>
    <row r="140" spans="7:20" x14ac:dyDescent="0.25">
      <c r="G140" s="12"/>
      <c r="T140" s="22"/>
    </row>
    <row r="141" spans="7:20" x14ac:dyDescent="0.25">
      <c r="G141" s="12"/>
      <c r="T141" s="22"/>
    </row>
    <row r="142" spans="7:20" x14ac:dyDescent="0.25">
      <c r="G142" s="12"/>
      <c r="T142" s="22"/>
    </row>
    <row r="143" spans="7:20" x14ac:dyDescent="0.25">
      <c r="G143" s="12"/>
      <c r="T143" s="22"/>
    </row>
    <row r="144" spans="7:20" x14ac:dyDescent="0.25">
      <c r="G144" s="12"/>
      <c r="T144" s="22"/>
    </row>
    <row r="145" spans="7:20" x14ac:dyDescent="0.25">
      <c r="G145" s="12"/>
      <c r="T145" s="22"/>
    </row>
    <row r="146" spans="7:20" x14ac:dyDescent="0.25">
      <c r="G146" s="12"/>
      <c r="T146" s="22"/>
    </row>
    <row r="147" spans="7:20" x14ac:dyDescent="0.25">
      <c r="G147" s="12"/>
      <c r="T147" s="22"/>
    </row>
    <row r="148" spans="7:20" x14ac:dyDescent="0.25">
      <c r="G148" s="12"/>
      <c r="T148" s="22"/>
    </row>
    <row r="149" spans="7:20" x14ac:dyDescent="0.25">
      <c r="G149" s="12"/>
      <c r="T149" s="22"/>
    </row>
    <row r="150" spans="7:20" x14ac:dyDescent="0.25">
      <c r="G150" s="12"/>
      <c r="T150" s="22"/>
    </row>
    <row r="151" spans="7:20" x14ac:dyDescent="0.25">
      <c r="G151" s="12"/>
      <c r="T151" s="22"/>
    </row>
    <row r="152" spans="7:20" x14ac:dyDescent="0.25">
      <c r="G152" s="12"/>
      <c r="T152" s="22"/>
    </row>
    <row r="153" spans="7:20" x14ac:dyDescent="0.25">
      <c r="G153" s="12"/>
      <c r="T153" s="22"/>
    </row>
    <row r="154" spans="7:20" x14ac:dyDescent="0.25">
      <c r="G154" s="12"/>
      <c r="T154" s="22"/>
    </row>
    <row r="155" spans="7:20" x14ac:dyDescent="0.25">
      <c r="G155" s="12"/>
      <c r="T155" s="22"/>
    </row>
    <row r="156" spans="7:20" x14ac:dyDescent="0.25">
      <c r="G156" s="12"/>
      <c r="T156" s="22"/>
    </row>
    <row r="157" spans="7:20" x14ac:dyDescent="0.25">
      <c r="G157" s="12"/>
      <c r="T157" s="22"/>
    </row>
    <row r="158" spans="7:20" x14ac:dyDescent="0.25">
      <c r="G158" s="12"/>
      <c r="T158" s="22"/>
    </row>
    <row r="159" spans="7:20" x14ac:dyDescent="0.25">
      <c r="G159" s="12"/>
      <c r="T159" s="22"/>
    </row>
    <row r="160" spans="7:20" x14ac:dyDescent="0.25">
      <c r="G160" s="12"/>
      <c r="T160" s="22"/>
    </row>
    <row r="161" spans="4:20" x14ac:dyDescent="0.25">
      <c r="G161" s="12"/>
      <c r="T161" s="22"/>
    </row>
    <row r="162" spans="4:20" x14ac:dyDescent="0.25">
      <c r="G162" s="12"/>
      <c r="T162" s="22"/>
    </row>
    <row r="163" spans="4:20" x14ac:dyDescent="0.25">
      <c r="G163" s="12"/>
      <c r="T163" s="22"/>
    </row>
    <row r="164" spans="4:20" x14ac:dyDescent="0.25">
      <c r="G164" s="12"/>
      <c r="T164" s="22"/>
    </row>
    <row r="165" spans="4:20" x14ac:dyDescent="0.25">
      <c r="D165" s="2"/>
      <c r="G165" s="12"/>
      <c r="T165" s="22"/>
    </row>
    <row r="166" spans="4:20" x14ac:dyDescent="0.25">
      <c r="D166" s="2"/>
      <c r="G166" s="12"/>
      <c r="T166" s="22"/>
    </row>
    <row r="167" spans="4:20" x14ac:dyDescent="0.25">
      <c r="D167" s="2"/>
      <c r="G167" s="12"/>
      <c r="T167" s="22"/>
    </row>
    <row r="168" spans="4:20" x14ac:dyDescent="0.25">
      <c r="D168" s="2"/>
      <c r="G168" s="12"/>
      <c r="T168" s="22"/>
    </row>
    <row r="169" spans="4:20" x14ac:dyDescent="0.25">
      <c r="D169" s="2"/>
      <c r="G169" s="12"/>
      <c r="T169" s="22"/>
    </row>
    <row r="170" spans="4:20" x14ac:dyDescent="0.25">
      <c r="D170" s="2"/>
      <c r="G170" s="12"/>
      <c r="T170" s="22"/>
    </row>
    <row r="171" spans="4:20" x14ac:dyDescent="0.25">
      <c r="D171" s="2"/>
      <c r="G171" s="12"/>
      <c r="T171" s="22"/>
    </row>
    <row r="172" spans="4:20" x14ac:dyDescent="0.25">
      <c r="D172" s="2"/>
      <c r="G172" s="12"/>
      <c r="T172" s="22"/>
    </row>
    <row r="173" spans="4:20" x14ac:dyDescent="0.25">
      <c r="D173" s="2"/>
      <c r="G173" s="12"/>
      <c r="T173" s="22"/>
    </row>
    <row r="174" spans="4:20" x14ac:dyDescent="0.25">
      <c r="D174" s="2"/>
      <c r="G174" s="12"/>
      <c r="T174" s="22"/>
    </row>
    <row r="175" spans="4:20" x14ac:dyDescent="0.25">
      <c r="D175" s="2"/>
      <c r="G175" s="12"/>
      <c r="T175" s="22"/>
    </row>
    <row r="176" spans="4:20" x14ac:dyDescent="0.25">
      <c r="D176" s="2"/>
      <c r="G176" s="12"/>
      <c r="T176" s="22"/>
    </row>
    <row r="177" spans="4:20" x14ac:dyDescent="0.25">
      <c r="D177" s="2"/>
      <c r="G177" s="12"/>
      <c r="T177" s="22"/>
    </row>
    <row r="178" spans="4:20" x14ac:dyDescent="0.25">
      <c r="D178" s="2"/>
      <c r="G178" s="12"/>
      <c r="T178" s="22"/>
    </row>
    <row r="179" spans="4:20" x14ac:dyDescent="0.25">
      <c r="D179" s="2"/>
      <c r="G179" s="12"/>
      <c r="T179" s="22"/>
    </row>
    <row r="180" spans="4:20" x14ac:dyDescent="0.25">
      <c r="D180" s="2"/>
      <c r="G180" s="12"/>
      <c r="T180" s="22"/>
    </row>
    <row r="181" spans="4:20" x14ac:dyDescent="0.25">
      <c r="D181" s="2"/>
      <c r="G181" s="12"/>
      <c r="T181" s="22"/>
    </row>
    <row r="182" spans="4:20" x14ac:dyDescent="0.25">
      <c r="D182" s="2"/>
      <c r="G182" s="12"/>
      <c r="T182" s="22"/>
    </row>
    <row r="183" spans="4:20" x14ac:dyDescent="0.25">
      <c r="D183" s="2"/>
      <c r="G183" s="12"/>
      <c r="T183" s="22"/>
    </row>
    <row r="184" spans="4:20" x14ac:dyDescent="0.25">
      <c r="D184" s="2"/>
      <c r="G184" s="12"/>
      <c r="T184" s="22"/>
    </row>
    <row r="185" spans="4:20" x14ac:dyDescent="0.25">
      <c r="D185" s="2"/>
      <c r="G185" s="12"/>
      <c r="T185" s="22"/>
    </row>
    <row r="186" spans="4:20" x14ac:dyDescent="0.25">
      <c r="D186" s="2"/>
      <c r="G186" s="12"/>
      <c r="T186" s="22"/>
    </row>
    <row r="187" spans="4:20" x14ac:dyDescent="0.25">
      <c r="D187" s="2"/>
      <c r="G187" s="12"/>
      <c r="T187" s="22"/>
    </row>
    <row r="188" spans="4:20" x14ac:dyDescent="0.25">
      <c r="D188" s="2"/>
      <c r="G188" s="12"/>
      <c r="T188" s="22"/>
    </row>
    <row r="189" spans="4:20" x14ac:dyDescent="0.25">
      <c r="D189" s="2"/>
      <c r="G189" s="12"/>
      <c r="T189" s="22"/>
    </row>
    <row r="190" spans="4:20" x14ac:dyDescent="0.25">
      <c r="D190" s="2"/>
      <c r="G190" s="12"/>
      <c r="T190" s="22"/>
    </row>
    <row r="191" spans="4:20" x14ac:dyDescent="0.25">
      <c r="D191" s="2"/>
      <c r="G191" s="12"/>
      <c r="T191" s="22"/>
    </row>
    <row r="192" spans="4:20" x14ac:dyDescent="0.25">
      <c r="D192" s="2"/>
      <c r="G192" s="12"/>
      <c r="T192" s="22"/>
    </row>
    <row r="193" spans="2:20" x14ac:dyDescent="0.25">
      <c r="D193" s="2"/>
      <c r="G193" s="12"/>
      <c r="T193" s="22"/>
    </row>
    <row r="194" spans="2:20" x14ac:dyDescent="0.25">
      <c r="D194" s="2"/>
      <c r="G194" s="12"/>
      <c r="T194" s="22"/>
    </row>
    <row r="195" spans="2:20" x14ac:dyDescent="0.25">
      <c r="D195" s="2"/>
      <c r="G195" s="12"/>
      <c r="T195" s="22"/>
    </row>
    <row r="196" spans="2:20" x14ac:dyDescent="0.25">
      <c r="D196" s="2"/>
      <c r="G196" s="12"/>
      <c r="T196" s="22"/>
    </row>
    <row r="197" spans="2:20" x14ac:dyDescent="0.25">
      <c r="D197" s="2"/>
      <c r="G197" s="12"/>
      <c r="T197" s="22"/>
    </row>
    <row r="198" spans="2:20" x14ac:dyDescent="0.25">
      <c r="D198" s="2"/>
      <c r="G198" s="12"/>
      <c r="T198" s="22"/>
    </row>
    <row r="199" spans="2:20" x14ac:dyDescent="0.25">
      <c r="D199" s="2"/>
      <c r="G199" s="12"/>
      <c r="T199" s="22"/>
    </row>
    <row r="200" spans="2:20" x14ac:dyDescent="0.25">
      <c r="D200" s="2"/>
      <c r="G200" s="12"/>
      <c r="T200" s="22"/>
    </row>
    <row r="201" spans="2:20" x14ac:dyDescent="0.25">
      <c r="D201" s="2"/>
      <c r="G201" s="12"/>
      <c r="T201" s="22"/>
    </row>
    <row r="202" spans="2:20" x14ac:dyDescent="0.25">
      <c r="D202" s="2"/>
      <c r="G202" s="12"/>
      <c r="T202" s="22"/>
    </row>
    <row r="203" spans="2:20" x14ac:dyDescent="0.25">
      <c r="D203" s="2"/>
      <c r="G203" s="12"/>
      <c r="T203" s="22"/>
    </row>
    <row r="204" spans="2:20" x14ac:dyDescent="0.25">
      <c r="D204" s="2"/>
      <c r="F204" s="5"/>
      <c r="G204" s="12"/>
      <c r="T204" s="22"/>
    </row>
    <row r="205" spans="2:20" x14ac:dyDescent="0.25">
      <c r="B205" s="2"/>
      <c r="C205" s="3"/>
      <c r="D205" s="2"/>
      <c r="E205" s="2"/>
      <c r="F205" s="2"/>
      <c r="G205" s="14"/>
      <c r="T205" s="22"/>
    </row>
    <row r="206" spans="2:20" x14ac:dyDescent="0.25">
      <c r="B206" s="2"/>
      <c r="C206" s="2"/>
      <c r="D206" s="2"/>
      <c r="E206" s="2"/>
      <c r="F206" s="2"/>
      <c r="G206" s="14"/>
      <c r="T206" s="22"/>
    </row>
    <row r="207" spans="2:20" x14ac:dyDescent="0.25">
      <c r="B207" s="2"/>
      <c r="C207" s="3"/>
      <c r="D207" s="2"/>
      <c r="E207" s="2"/>
      <c r="F207" s="2"/>
      <c r="G207" s="14"/>
      <c r="T207" s="22"/>
    </row>
    <row r="208" spans="2:20" x14ac:dyDescent="0.25">
      <c r="B208" s="2"/>
      <c r="C208" s="2"/>
      <c r="D208" s="2"/>
      <c r="E208" s="2"/>
      <c r="F208" s="2"/>
      <c r="G208" s="14"/>
      <c r="T208" s="22"/>
    </row>
    <row r="209" spans="2:20" x14ac:dyDescent="0.25">
      <c r="B209" s="2"/>
      <c r="C209" s="3"/>
      <c r="D209" s="2"/>
      <c r="E209" s="2"/>
      <c r="F209" s="2"/>
      <c r="G209" s="14"/>
      <c r="T209" s="22"/>
    </row>
    <row r="210" spans="2:20" x14ac:dyDescent="0.25">
      <c r="B210" s="2"/>
      <c r="C210" s="2"/>
      <c r="D210" s="2"/>
      <c r="E210" s="2"/>
      <c r="F210" s="2"/>
      <c r="G210" s="14"/>
      <c r="T210" s="22"/>
    </row>
    <row r="211" spans="2:20" x14ac:dyDescent="0.25">
      <c r="B211" s="2"/>
      <c r="C211" s="3"/>
      <c r="D211" s="2"/>
      <c r="E211" s="2"/>
      <c r="F211" s="2"/>
      <c r="G211" s="14"/>
      <c r="T211" s="22"/>
    </row>
    <row r="212" spans="2:20" x14ac:dyDescent="0.25">
      <c r="B212" s="2"/>
      <c r="C212" s="3"/>
      <c r="D212" s="2"/>
      <c r="E212" s="2"/>
      <c r="F212" s="2"/>
      <c r="G212" s="14"/>
      <c r="T212" s="22"/>
    </row>
    <row r="213" spans="2:20" x14ac:dyDescent="0.25">
      <c r="B213" s="2"/>
      <c r="C213" s="3"/>
      <c r="D213" s="2"/>
      <c r="E213" s="2"/>
      <c r="F213" s="2"/>
      <c r="G213" s="14"/>
      <c r="T213" s="22"/>
    </row>
    <row r="214" spans="2:20" x14ac:dyDescent="0.25">
      <c r="B214" s="2"/>
      <c r="C214" s="3"/>
      <c r="D214" s="2"/>
      <c r="E214" s="2"/>
      <c r="F214" s="2"/>
      <c r="G214" s="14"/>
      <c r="T214" s="22"/>
    </row>
    <row r="215" spans="2:20" x14ac:dyDescent="0.25">
      <c r="B215" s="2"/>
      <c r="C215" s="3"/>
      <c r="D215" s="2"/>
      <c r="E215" s="2"/>
      <c r="F215" s="2"/>
      <c r="G215" s="14"/>
      <c r="T215" s="22"/>
    </row>
    <row r="216" spans="2:20" x14ac:dyDescent="0.25">
      <c r="B216" s="2"/>
      <c r="C216" s="2"/>
      <c r="D216" s="2"/>
      <c r="E216" s="2"/>
      <c r="F216" s="2"/>
      <c r="G216" s="14"/>
      <c r="T216" s="22"/>
    </row>
    <row r="217" spans="2:20" x14ac:dyDescent="0.25">
      <c r="B217" s="2"/>
      <c r="C217" s="2"/>
      <c r="D217" s="2"/>
      <c r="E217" s="2"/>
      <c r="F217" s="2"/>
      <c r="G217" s="14"/>
      <c r="T217" s="22"/>
    </row>
    <row r="218" spans="2:20" x14ac:dyDescent="0.25">
      <c r="B218" s="2"/>
      <c r="C218" s="2"/>
      <c r="D218" s="2"/>
      <c r="E218" s="2"/>
      <c r="F218" s="2"/>
      <c r="G218" s="14"/>
      <c r="T218" s="22"/>
    </row>
    <row r="219" spans="2:20" x14ac:dyDescent="0.25">
      <c r="B219" s="2"/>
      <c r="C219" s="2"/>
      <c r="D219" s="2"/>
      <c r="E219" s="2"/>
      <c r="F219" s="2"/>
      <c r="G219" s="14"/>
      <c r="T219" s="22"/>
    </row>
    <row r="220" spans="2:20" x14ac:dyDescent="0.25">
      <c r="B220" s="2"/>
      <c r="C220" s="2"/>
      <c r="D220" s="2"/>
      <c r="E220" s="2"/>
      <c r="F220" s="2"/>
      <c r="G220" s="14"/>
      <c r="T220" s="22"/>
    </row>
    <row r="221" spans="2:20" x14ac:dyDescent="0.25">
      <c r="B221" s="2"/>
      <c r="C221" s="2"/>
      <c r="D221" s="2"/>
      <c r="E221" s="2"/>
      <c r="F221" s="2"/>
      <c r="G221" s="14"/>
      <c r="T221" s="22"/>
    </row>
    <row r="222" spans="2:20" x14ac:dyDescent="0.25">
      <c r="B222" s="2"/>
      <c r="C222" s="3"/>
      <c r="D222" s="2"/>
      <c r="E222" s="2"/>
      <c r="F222" s="2"/>
      <c r="G222" s="14"/>
      <c r="T222" s="22"/>
    </row>
    <row r="223" spans="2:20" x14ac:dyDescent="0.25">
      <c r="B223" s="2"/>
      <c r="C223" s="2"/>
      <c r="D223" s="2"/>
      <c r="E223" s="2"/>
      <c r="F223" s="2"/>
      <c r="G223" s="14"/>
      <c r="T223" s="22"/>
    </row>
    <row r="224" spans="2:20" x14ac:dyDescent="0.25">
      <c r="B224" s="4"/>
      <c r="C224" s="3"/>
      <c r="D224" s="2"/>
      <c r="E224" s="2"/>
      <c r="F224" s="2"/>
      <c r="G224" s="14"/>
      <c r="T224" s="22"/>
    </row>
    <row r="225" spans="2:20" x14ac:dyDescent="0.25">
      <c r="B225" s="4"/>
      <c r="C225" s="3"/>
      <c r="D225" s="2"/>
      <c r="E225" s="2"/>
      <c r="F225" s="2"/>
      <c r="G225" s="14"/>
      <c r="T225" s="22"/>
    </row>
    <row r="226" spans="2:20" x14ac:dyDescent="0.25">
      <c r="B226" s="4"/>
      <c r="C226" s="2"/>
      <c r="D226" s="2"/>
      <c r="E226" s="2"/>
      <c r="F226" s="2"/>
      <c r="G226" s="14"/>
      <c r="T226" s="22"/>
    </row>
    <row r="227" spans="2:20" x14ac:dyDescent="0.25">
      <c r="B227" s="2"/>
      <c r="C227" s="3"/>
      <c r="D227" s="2"/>
      <c r="E227" s="2"/>
      <c r="F227" s="2"/>
      <c r="G227" s="14"/>
      <c r="T227" s="22"/>
    </row>
    <row r="228" spans="2:20" x14ac:dyDescent="0.25">
      <c r="B228" s="2"/>
      <c r="C228" s="3"/>
      <c r="D228" s="2"/>
      <c r="E228" s="2"/>
      <c r="F228" s="2"/>
      <c r="G228" s="14"/>
      <c r="T228" s="22"/>
    </row>
    <row r="229" spans="2:20" x14ac:dyDescent="0.25">
      <c r="B229" s="2"/>
      <c r="C229" s="3"/>
      <c r="D229" s="2"/>
      <c r="E229" s="2"/>
      <c r="F229" s="2"/>
      <c r="G229" s="14"/>
      <c r="T229" s="22"/>
    </row>
    <row r="230" spans="2:20" x14ac:dyDescent="0.25">
      <c r="B230" s="2"/>
      <c r="C230" s="3"/>
      <c r="D230" s="2"/>
      <c r="E230" s="2"/>
      <c r="F230" s="2"/>
      <c r="G230" s="14"/>
      <c r="T230" s="22"/>
    </row>
    <row r="231" spans="2:20" x14ac:dyDescent="0.25">
      <c r="B231" s="2"/>
      <c r="C231" s="2"/>
      <c r="D231" s="2"/>
      <c r="E231" s="2"/>
      <c r="F231" s="2"/>
      <c r="G231" s="14"/>
      <c r="T231" s="22"/>
    </row>
    <row r="232" spans="2:20" x14ac:dyDescent="0.25">
      <c r="B232" s="2"/>
      <c r="C232" s="2"/>
      <c r="D232" s="2"/>
      <c r="E232" s="2"/>
      <c r="F232" s="2"/>
      <c r="G232" s="14"/>
      <c r="T232" s="22"/>
    </row>
    <row r="233" spans="2:20" x14ac:dyDescent="0.25">
      <c r="B233" s="2"/>
      <c r="C233" s="2"/>
      <c r="D233" s="2"/>
      <c r="E233" s="2"/>
      <c r="F233" s="2"/>
      <c r="G233" s="14"/>
      <c r="T233" s="22"/>
    </row>
    <row r="234" spans="2:20" x14ac:dyDescent="0.25">
      <c r="B234" s="2"/>
      <c r="C234" s="2"/>
      <c r="D234" s="2"/>
      <c r="E234" s="2"/>
      <c r="F234" s="2"/>
      <c r="G234" s="14"/>
      <c r="T234" s="22"/>
    </row>
    <row r="235" spans="2:20" x14ac:dyDescent="0.25">
      <c r="B235" s="2"/>
      <c r="C235" s="2"/>
      <c r="D235" s="2"/>
      <c r="E235" s="2"/>
      <c r="F235" s="2"/>
      <c r="G235" s="14"/>
      <c r="T235" s="22"/>
    </row>
    <row r="236" spans="2:20" x14ac:dyDescent="0.25">
      <c r="B236" s="2"/>
      <c r="C236" s="3"/>
      <c r="D236" s="2"/>
      <c r="E236" s="2"/>
      <c r="F236" s="2"/>
      <c r="G236" s="14"/>
      <c r="T236" s="22"/>
    </row>
    <row r="237" spans="2:20" x14ac:dyDescent="0.25">
      <c r="B237" s="2"/>
      <c r="C237" s="3"/>
      <c r="D237" s="2"/>
      <c r="E237" s="2"/>
      <c r="F237" s="2"/>
      <c r="G237" s="14"/>
      <c r="T237" s="22"/>
    </row>
    <row r="238" spans="2:20" x14ac:dyDescent="0.25">
      <c r="B238" s="2"/>
      <c r="C238" s="2"/>
      <c r="D238" s="2"/>
      <c r="E238" s="2"/>
      <c r="F238" s="2"/>
      <c r="G238" s="14"/>
      <c r="T238" s="22"/>
    </row>
    <row r="239" spans="2:20" x14ac:dyDescent="0.25">
      <c r="B239" s="2"/>
      <c r="C239" s="2"/>
      <c r="D239" s="2"/>
      <c r="E239" s="2"/>
      <c r="F239" s="2"/>
      <c r="G239" s="14"/>
      <c r="T239" s="22"/>
    </row>
    <row r="240" spans="2:20" x14ac:dyDescent="0.25">
      <c r="B240" s="2"/>
      <c r="C240" s="2"/>
      <c r="D240" s="2"/>
      <c r="E240" s="2"/>
      <c r="F240" s="2"/>
      <c r="G240" s="14"/>
      <c r="T240" s="22"/>
    </row>
    <row r="241" spans="2:20" x14ac:dyDescent="0.25">
      <c r="B241" s="2"/>
      <c r="C241" s="3"/>
      <c r="D241" s="2"/>
      <c r="E241" s="2"/>
      <c r="F241" s="2"/>
      <c r="G241" s="14"/>
      <c r="T241" s="22"/>
    </row>
    <row r="242" spans="2:20" x14ac:dyDescent="0.25">
      <c r="B242" s="2"/>
      <c r="C242" s="3"/>
      <c r="D242" s="2"/>
      <c r="E242" s="2"/>
      <c r="F242" s="2"/>
      <c r="G242" s="14"/>
      <c r="T242" s="22"/>
    </row>
    <row r="243" spans="2:20" x14ac:dyDescent="0.25">
      <c r="B243" s="2"/>
      <c r="C243" s="2"/>
      <c r="D243" s="2"/>
      <c r="E243" s="2"/>
      <c r="F243" s="2"/>
      <c r="G243" s="14"/>
      <c r="T243" s="22"/>
    </row>
    <row r="244" spans="2:20" x14ac:dyDescent="0.25">
      <c r="B244" s="2"/>
      <c r="C244" s="2"/>
      <c r="D244" s="2"/>
      <c r="E244" s="2"/>
      <c r="F244" s="2"/>
      <c r="G244" s="14"/>
      <c r="T244" s="22"/>
    </row>
    <row r="245" spans="2:20" x14ac:dyDescent="0.25">
      <c r="B245" s="2"/>
      <c r="C245" s="2"/>
      <c r="D245" s="2"/>
      <c r="E245" s="2"/>
      <c r="F245" s="2"/>
      <c r="G245" s="14"/>
      <c r="T245" s="22"/>
    </row>
    <row r="246" spans="2:20" x14ac:dyDescent="0.25">
      <c r="B246" s="2"/>
      <c r="C246" s="3"/>
      <c r="D246" s="2"/>
      <c r="E246" s="2"/>
      <c r="F246" s="2"/>
      <c r="G246" s="14"/>
      <c r="T246" s="22"/>
    </row>
    <row r="247" spans="2:20" x14ac:dyDescent="0.25">
      <c r="B247" s="2"/>
      <c r="C247" s="3"/>
      <c r="D247" s="2"/>
      <c r="E247" s="2"/>
      <c r="F247" s="2"/>
      <c r="G247" s="14"/>
      <c r="T247" s="22"/>
    </row>
    <row r="248" spans="2:20" x14ac:dyDescent="0.25">
      <c r="B248" s="2"/>
      <c r="C248" s="2"/>
      <c r="D248" s="2"/>
      <c r="E248" s="2"/>
      <c r="F248" s="2"/>
      <c r="G248" s="14"/>
      <c r="T248" s="22"/>
    </row>
    <row r="249" spans="2:20" x14ac:dyDescent="0.25">
      <c r="B249" s="2"/>
      <c r="C249" s="2"/>
      <c r="D249" s="2"/>
      <c r="E249" s="2"/>
      <c r="F249" s="2"/>
      <c r="G249" s="14"/>
      <c r="T249" s="22"/>
    </row>
  </sheetData>
  <mergeCells count="1">
    <mergeCell ref="O2:R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7"/>
  <sheetViews>
    <sheetView zoomScale="60" zoomScaleNormal="60" workbookViewId="0">
      <selection activeCell="C8" sqref="C8"/>
    </sheetView>
  </sheetViews>
  <sheetFormatPr defaultRowHeight="15" x14ac:dyDescent="0.25"/>
  <cols>
    <col min="1" max="1" width="10" bestFit="1" customWidth="1"/>
    <col min="2" max="2" width="14.85546875" bestFit="1" customWidth="1"/>
    <col min="3" max="7" width="14.85546875" customWidth="1"/>
    <col min="8" max="8" width="15.85546875" bestFit="1" customWidth="1"/>
    <col min="12" max="12" width="12.42578125" bestFit="1" customWidth="1"/>
    <col min="13" max="14" width="14.85546875" bestFit="1" customWidth="1"/>
  </cols>
  <sheetData>
    <row r="1" spans="1:12" x14ac:dyDescent="0.2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2" x14ac:dyDescent="0.25">
      <c r="A2" s="31"/>
      <c r="B2" s="16"/>
      <c r="C2" s="34"/>
      <c r="D2" s="34"/>
      <c r="E2" s="34"/>
      <c r="F2" s="34"/>
      <c r="G2" s="34"/>
      <c r="H2" s="34"/>
      <c r="I2" s="16"/>
      <c r="J2" s="16"/>
      <c r="K2" s="16"/>
      <c r="L2" s="12"/>
    </row>
    <row r="3" spans="1:12" x14ac:dyDescent="0.25">
      <c r="A3" s="31" t="s">
        <v>69</v>
      </c>
      <c r="B3" s="16" t="s">
        <v>70</v>
      </c>
      <c r="C3" s="16" t="s">
        <v>61</v>
      </c>
      <c r="D3" s="16" t="s">
        <v>62</v>
      </c>
      <c r="E3" s="16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68</v>
      </c>
      <c r="L3" s="12"/>
    </row>
    <row r="4" spans="1:12" x14ac:dyDescent="0.25">
      <c r="A4" s="31">
        <v>1.143</v>
      </c>
      <c r="B4" s="16">
        <v>1.1447622556926376</v>
      </c>
      <c r="C4" s="37">
        <f>(A4-B4)/A4</f>
        <v>-1.5417810084318011E-3</v>
      </c>
      <c r="D4" s="37">
        <f>ABS(C4)</f>
        <v>1.5417810084318011E-3</v>
      </c>
      <c r="E4" s="37"/>
      <c r="F4" s="38">
        <f>AVERAGE(C4:C44)</f>
        <v>-2.9755234277767578E-2</v>
      </c>
      <c r="G4" s="51">
        <f>AVERAGE(D4:D44)</f>
        <v>6.0020648553941132E-2</v>
      </c>
      <c r="H4" s="16">
        <f>(A4-B4)^2</f>
        <v>3.1055451262334467E-6</v>
      </c>
      <c r="I4" s="16">
        <f>SQRT(H46)</f>
        <v>0.18107563125697046</v>
      </c>
      <c r="J4" s="16">
        <f>CORREL(A4:A44,B4:B44)</f>
        <v>0.8729200514242802</v>
      </c>
      <c r="K4" s="38">
        <f>J4^2</f>
        <v>0.76198941617856797</v>
      </c>
      <c r="L4" s="12"/>
    </row>
    <row r="5" spans="1:12" x14ac:dyDescent="0.25">
      <c r="A5" s="31">
        <v>1.5629999999999999</v>
      </c>
      <c r="B5" s="16">
        <v>1.5239607917257603</v>
      </c>
      <c r="C5" s="37">
        <f t="shared" ref="C5:C44" si="0">(A5-B5)/A5</f>
        <v>2.4977100623313934E-2</v>
      </c>
      <c r="D5" s="37">
        <f t="shared" ref="D5:D44" si="1">ABS(C5)</f>
        <v>2.4977100623313934E-2</v>
      </c>
      <c r="E5" s="37"/>
      <c r="F5" s="16"/>
      <c r="G5" s="42"/>
      <c r="H5" s="16">
        <f t="shared" ref="H5:H44" si="2">(A5-B5)^2</f>
        <v>1.5240597826794637E-3</v>
      </c>
      <c r="I5" s="16"/>
      <c r="J5" s="16"/>
      <c r="K5" s="16"/>
      <c r="L5" s="12"/>
    </row>
    <row r="6" spans="1:12" x14ac:dyDescent="0.25">
      <c r="A6" s="31">
        <v>1.2889999999999999</v>
      </c>
      <c r="B6" s="16">
        <v>1.2870082995209671</v>
      </c>
      <c r="C6" s="37">
        <f t="shared" si="0"/>
        <v>1.5451516516934477E-3</v>
      </c>
      <c r="D6" s="37">
        <f t="shared" si="1"/>
        <v>1.5451516516934477E-3</v>
      </c>
      <c r="E6" s="37"/>
      <c r="F6" s="16"/>
      <c r="G6" s="42"/>
      <c r="H6" s="16">
        <f t="shared" si="2"/>
        <v>3.9668707981797E-6</v>
      </c>
      <c r="I6" s="16"/>
      <c r="J6" s="16"/>
      <c r="K6" s="16"/>
      <c r="L6" s="12"/>
    </row>
    <row r="7" spans="1:12" x14ac:dyDescent="0.25">
      <c r="A7" s="31">
        <v>1.512</v>
      </c>
      <c r="B7" s="16">
        <v>1.4681215066322071</v>
      </c>
      <c r="C7" s="37">
        <f t="shared" si="0"/>
        <v>2.9020167571291618E-2</v>
      </c>
      <c r="D7" s="37">
        <f t="shared" si="1"/>
        <v>2.9020167571291618E-2</v>
      </c>
      <c r="E7" s="37"/>
      <c r="F7" s="16"/>
      <c r="G7" s="42" t="s">
        <v>1</v>
      </c>
      <c r="H7" s="16">
        <f t="shared" si="2"/>
        <v>1.9253221802274477E-3</v>
      </c>
      <c r="I7" s="16"/>
      <c r="J7" s="16"/>
      <c r="K7" s="16"/>
      <c r="L7" s="12"/>
    </row>
    <row r="8" spans="1:12" x14ac:dyDescent="0.25">
      <c r="A8" s="31">
        <v>1.2889999999999999</v>
      </c>
      <c r="B8" s="16">
        <v>1.2067789340098003</v>
      </c>
      <c r="C8" s="37">
        <f t="shared" si="0"/>
        <v>6.3786707517610258E-2</v>
      </c>
      <c r="D8" s="37">
        <f t="shared" si="1"/>
        <v>6.3786707517610258E-2</v>
      </c>
      <c r="E8" s="37"/>
      <c r="F8" s="16"/>
      <c r="G8" s="42">
        <f>MAX(D4:D44)</f>
        <v>0.98407043676216943</v>
      </c>
      <c r="H8" s="16">
        <f t="shared" si="2"/>
        <v>6.7603036925647621E-3</v>
      </c>
      <c r="I8" s="16"/>
      <c r="J8" s="16"/>
      <c r="K8" s="16"/>
      <c r="L8" s="12"/>
    </row>
    <row r="9" spans="1:12" x14ac:dyDescent="0.25">
      <c r="A9" s="31">
        <v>1.1399999999999999</v>
      </c>
      <c r="B9" s="16">
        <v>1.1663578454403434</v>
      </c>
      <c r="C9" s="37">
        <f t="shared" si="0"/>
        <v>-2.3120917052932875E-2</v>
      </c>
      <c r="D9" s="37">
        <f t="shared" si="1"/>
        <v>2.3120917052932875E-2</v>
      </c>
      <c r="E9" s="37"/>
      <c r="F9" s="16"/>
      <c r="G9" s="42" t="s">
        <v>2</v>
      </c>
      <c r="H9" s="16">
        <f t="shared" si="2"/>
        <v>6.9473601625703527E-4</v>
      </c>
      <c r="I9" s="16"/>
      <c r="J9" s="16"/>
      <c r="K9" s="16"/>
      <c r="L9" s="12"/>
    </row>
    <row r="10" spans="1:12" x14ac:dyDescent="0.25">
      <c r="A10" s="31">
        <v>1.081</v>
      </c>
      <c r="B10" s="16">
        <v>1.121023460583167</v>
      </c>
      <c r="C10" s="37">
        <f t="shared" si="0"/>
        <v>-3.7024477875270197E-2</v>
      </c>
      <c r="D10" s="37">
        <f t="shared" si="1"/>
        <v>3.7024477875270197E-2</v>
      </c>
      <c r="E10" s="37"/>
      <c r="F10" s="16"/>
      <c r="G10" s="42">
        <f>MIN(D4:D44)</f>
        <v>1.0109725748066445E-3</v>
      </c>
      <c r="H10" s="16">
        <f t="shared" si="2"/>
        <v>1.601877397052329E-3</v>
      </c>
      <c r="I10" s="16"/>
      <c r="J10" s="16"/>
      <c r="K10" s="16"/>
      <c r="L10" s="12"/>
    </row>
    <row r="11" spans="1:12" x14ac:dyDescent="0.25">
      <c r="A11" s="31">
        <v>1.1639999999999999</v>
      </c>
      <c r="B11" s="16">
        <v>1.1836094605940777</v>
      </c>
      <c r="C11" s="37">
        <f t="shared" si="0"/>
        <v>-1.6846615630650992E-2</v>
      </c>
      <c r="D11" s="37">
        <f t="shared" si="1"/>
        <v>1.6846615630650992E-2</v>
      </c>
      <c r="E11" s="37"/>
      <c r="F11" s="16"/>
      <c r="G11" s="42"/>
      <c r="H11" s="16">
        <f t="shared" si="2"/>
        <v>3.8453094479068829E-4</v>
      </c>
      <c r="I11" s="16"/>
      <c r="J11" s="16"/>
      <c r="K11" s="16"/>
      <c r="L11" s="12"/>
    </row>
    <row r="12" spans="1:12" x14ac:dyDescent="0.25">
      <c r="A12" s="31">
        <v>1.2310000000000001</v>
      </c>
      <c r="B12" s="16">
        <v>1.2615231569731207</v>
      </c>
      <c r="C12" s="37">
        <f t="shared" si="0"/>
        <v>-2.4795415900179186E-2</v>
      </c>
      <c r="D12" s="37">
        <f t="shared" si="1"/>
        <v>2.4795415900179186E-2</v>
      </c>
      <c r="E12" s="37"/>
      <c r="F12" s="16"/>
      <c r="G12" s="16"/>
      <c r="H12" s="16">
        <f t="shared" si="2"/>
        <v>9.3166311160575947E-4</v>
      </c>
      <c r="I12" s="16"/>
      <c r="J12" s="16"/>
      <c r="K12" s="16"/>
      <c r="L12" s="12"/>
    </row>
    <row r="13" spans="1:12" x14ac:dyDescent="0.25">
      <c r="A13" s="31">
        <v>1.5229999999999999</v>
      </c>
      <c r="B13" s="16">
        <v>1.5824784329150541</v>
      </c>
      <c r="C13" s="37">
        <f t="shared" si="0"/>
        <v>-3.9053468755780807E-2</v>
      </c>
      <c r="D13" s="37">
        <f t="shared" si="1"/>
        <v>3.9053468755780807E-2</v>
      </c>
      <c r="E13" s="37"/>
      <c r="F13" s="16"/>
      <c r="G13" s="16"/>
      <c r="H13" s="16">
        <f t="shared" si="2"/>
        <v>3.537683982030599E-3</v>
      </c>
      <c r="I13" s="16"/>
      <c r="J13" s="16"/>
      <c r="K13" s="16"/>
      <c r="L13" s="12"/>
    </row>
    <row r="14" spans="1:12" x14ac:dyDescent="0.25">
      <c r="A14" s="31">
        <v>1.0189999999999999</v>
      </c>
      <c r="B14" s="16">
        <v>2.0217677750606504</v>
      </c>
      <c r="C14" s="37">
        <f t="shared" si="0"/>
        <v>-0.98407043676216943</v>
      </c>
      <c r="D14" s="37">
        <f t="shared" si="1"/>
        <v>0.98407043676216943</v>
      </c>
      <c r="E14" s="37"/>
      <c r="F14" s="16"/>
      <c r="G14" s="16"/>
      <c r="H14" s="16">
        <f t="shared" si="2"/>
        <v>1.0055432107000875</v>
      </c>
      <c r="I14" s="16"/>
      <c r="J14" s="16"/>
      <c r="K14" s="16"/>
      <c r="L14" s="12"/>
    </row>
    <row r="15" spans="1:12" x14ac:dyDescent="0.25">
      <c r="A15" s="31">
        <v>1.0509999999999999</v>
      </c>
      <c r="B15" s="16">
        <v>1.0666736233567486</v>
      </c>
      <c r="C15" s="37">
        <f t="shared" si="0"/>
        <v>-1.4913057427924561E-2</v>
      </c>
      <c r="D15" s="37">
        <f t="shared" si="1"/>
        <v>1.4913057427924561E-2</v>
      </c>
      <c r="E15" s="37"/>
      <c r="F15" s="16"/>
      <c r="G15" s="16"/>
      <c r="H15" s="16">
        <f t="shared" si="2"/>
        <v>2.4566246912921877E-4</v>
      </c>
      <c r="I15" s="16"/>
      <c r="J15" s="16"/>
      <c r="K15" s="16"/>
      <c r="L15" s="12"/>
    </row>
    <row r="16" spans="1:12" x14ac:dyDescent="0.25">
      <c r="A16" s="31">
        <v>1.91</v>
      </c>
      <c r="B16" s="16">
        <v>1.8004362710001287</v>
      </c>
      <c r="C16" s="37">
        <f t="shared" si="0"/>
        <v>5.7363208900456132E-2</v>
      </c>
      <c r="D16" s="37">
        <f t="shared" si="1"/>
        <v>5.7363208900456132E-2</v>
      </c>
      <c r="E16" s="37"/>
      <c r="F16" s="16"/>
      <c r="G16" s="16"/>
      <c r="H16" s="16">
        <f t="shared" si="2"/>
        <v>1.200421071235722E-2</v>
      </c>
      <c r="I16" s="16"/>
      <c r="J16" s="16"/>
      <c r="K16" s="16"/>
      <c r="L16" s="12"/>
    </row>
    <row r="17" spans="1:12" x14ac:dyDescent="0.25">
      <c r="A17" s="31">
        <v>1.105</v>
      </c>
      <c r="B17" s="16">
        <v>1.1038828753048386</v>
      </c>
      <c r="C17" s="37">
        <f t="shared" si="0"/>
        <v>1.0109725748066445E-3</v>
      </c>
      <c r="D17" s="37">
        <f t="shared" si="1"/>
        <v>1.0109725748066445E-3</v>
      </c>
      <c r="E17" s="37"/>
      <c r="F17" s="16"/>
      <c r="G17" s="16"/>
      <c r="H17" s="16">
        <f t="shared" si="2"/>
        <v>1.2479675845393219E-6</v>
      </c>
      <c r="I17" s="16"/>
      <c r="J17" s="16"/>
      <c r="K17" s="16"/>
      <c r="L17" s="12"/>
    </row>
    <row r="18" spans="1:12" x14ac:dyDescent="0.25">
      <c r="A18" s="31">
        <v>1.0489999999999999</v>
      </c>
      <c r="B18" s="16">
        <v>1.0582724390375953</v>
      </c>
      <c r="C18" s="37">
        <f t="shared" si="0"/>
        <v>-8.8393127145808739E-3</v>
      </c>
      <c r="D18" s="37">
        <f t="shared" si="1"/>
        <v>8.8393127145808739E-3</v>
      </c>
      <c r="E18" s="37"/>
      <c r="F18" s="16"/>
      <c r="G18" s="16"/>
      <c r="H18" s="16">
        <f t="shared" si="2"/>
        <v>8.5978125705921945E-5</v>
      </c>
      <c r="I18" s="16"/>
      <c r="J18" s="16"/>
      <c r="K18" s="16"/>
      <c r="L18" s="12"/>
    </row>
    <row r="19" spans="1:12" x14ac:dyDescent="0.25">
      <c r="A19" s="31">
        <v>1.349</v>
      </c>
      <c r="B19" s="16">
        <v>1.1584891631663532</v>
      </c>
      <c r="C19" s="37">
        <f t="shared" si="0"/>
        <v>0.14122374857942682</v>
      </c>
      <c r="D19" s="37">
        <f t="shared" si="1"/>
        <v>0.14122374857942682</v>
      </c>
      <c r="E19" s="37"/>
      <c r="F19" s="16"/>
      <c r="G19" s="16"/>
      <c r="H19" s="16">
        <f t="shared" si="2"/>
        <v>3.6294378951056389E-2</v>
      </c>
      <c r="I19" s="16"/>
      <c r="J19" s="16"/>
      <c r="K19" s="16"/>
      <c r="L19" s="12"/>
    </row>
    <row r="20" spans="1:12" x14ac:dyDescent="0.25">
      <c r="A20" s="31">
        <v>1.7390000000000001</v>
      </c>
      <c r="B20" s="16">
        <v>1.6236335806709183</v>
      </c>
      <c r="C20" s="37">
        <f t="shared" si="0"/>
        <v>6.6340666664221823E-2</v>
      </c>
      <c r="D20" s="37">
        <f t="shared" si="1"/>
        <v>6.6340666664221823E-2</v>
      </c>
      <c r="E20" s="37"/>
      <c r="F20" s="16"/>
      <c r="G20" s="16"/>
      <c r="H20" s="16">
        <f t="shared" si="2"/>
        <v>1.3309410708813529E-2</v>
      </c>
      <c r="I20" s="16"/>
      <c r="J20" s="16"/>
      <c r="K20" s="16"/>
      <c r="L20" s="12"/>
    </row>
    <row r="21" spans="1:12" x14ac:dyDescent="0.25">
      <c r="A21" s="31">
        <v>1.2549999999999999</v>
      </c>
      <c r="B21" s="16">
        <v>1.2975972913269174</v>
      </c>
      <c r="C21" s="37">
        <f t="shared" si="0"/>
        <v>-3.3942064802324687E-2</v>
      </c>
      <c r="D21" s="37">
        <f t="shared" si="1"/>
        <v>3.3942064802324687E-2</v>
      </c>
      <c r="E21" s="37"/>
      <c r="F21" s="16"/>
      <c r="G21" s="16"/>
      <c r="H21" s="16">
        <f t="shared" si="2"/>
        <v>1.8145292283902787E-3</v>
      </c>
      <c r="I21" s="16"/>
      <c r="J21" s="16"/>
      <c r="K21" s="16"/>
      <c r="L21" s="12"/>
    </row>
    <row r="22" spans="1:12" x14ac:dyDescent="0.25">
      <c r="A22" s="31">
        <v>1.278</v>
      </c>
      <c r="B22" s="16">
        <v>1.3228451523245752</v>
      </c>
      <c r="C22" s="37">
        <f t="shared" si="0"/>
        <v>-3.5090103540356181E-2</v>
      </c>
      <c r="D22" s="37">
        <f t="shared" si="1"/>
        <v>3.5090103540356181E-2</v>
      </c>
      <c r="E22" s="37"/>
      <c r="F22" s="16"/>
      <c r="G22" s="16"/>
      <c r="H22" s="16">
        <f t="shared" si="2"/>
        <v>2.0110876870143525E-3</v>
      </c>
      <c r="I22" s="16"/>
      <c r="J22" s="16"/>
      <c r="K22" s="16"/>
      <c r="L22" s="12"/>
    </row>
    <row r="23" spans="1:12" x14ac:dyDescent="0.25">
      <c r="A23" s="31">
        <v>1.7304999999999999</v>
      </c>
      <c r="B23" s="16">
        <v>1.6728336913922615</v>
      </c>
      <c r="C23" s="37">
        <f t="shared" si="0"/>
        <v>3.3323495294850319E-2</v>
      </c>
      <c r="D23" s="37">
        <f t="shared" si="1"/>
        <v>3.3323495294850319E-2</v>
      </c>
      <c r="E23" s="37"/>
      <c r="F23" s="16"/>
      <c r="G23" s="16"/>
      <c r="H23" s="16">
        <f t="shared" si="2"/>
        <v>3.3254031484429318E-3</v>
      </c>
      <c r="I23" s="16"/>
      <c r="J23" s="16"/>
      <c r="K23" s="16"/>
      <c r="L23" s="12"/>
    </row>
    <row r="24" spans="1:12" x14ac:dyDescent="0.25">
      <c r="A24" s="31">
        <v>1.224</v>
      </c>
      <c r="B24" s="16">
        <v>1.2920270627553174</v>
      </c>
      <c r="C24" s="37">
        <f t="shared" si="0"/>
        <v>-5.5577665649769153E-2</v>
      </c>
      <c r="D24" s="37">
        <f t="shared" si="1"/>
        <v>5.5577665649769153E-2</v>
      </c>
      <c r="E24" s="37"/>
      <c r="F24" s="16"/>
      <c r="G24" s="16"/>
      <c r="H24" s="16">
        <f t="shared" si="2"/>
        <v>4.6276812671158978E-3</v>
      </c>
      <c r="I24" s="16"/>
      <c r="J24" s="16"/>
      <c r="K24" s="16"/>
      <c r="L24" s="12"/>
    </row>
    <row r="25" spans="1:12" x14ac:dyDescent="0.25">
      <c r="A25" s="31">
        <v>1.143</v>
      </c>
      <c r="B25" s="16">
        <v>1.4248383557864246</v>
      </c>
      <c r="C25" s="37">
        <f t="shared" si="0"/>
        <v>-0.24657773909573452</v>
      </c>
      <c r="D25" s="37">
        <f t="shared" si="1"/>
        <v>0.24657773909573452</v>
      </c>
      <c r="E25" s="37"/>
      <c r="F25" s="16"/>
      <c r="G25" s="16"/>
      <c r="H25" s="16">
        <f t="shared" si="2"/>
        <v>7.9432858792395242E-2</v>
      </c>
      <c r="I25" s="16"/>
      <c r="J25" s="16"/>
      <c r="K25" s="16"/>
      <c r="L25" s="12"/>
    </row>
    <row r="26" spans="1:12" x14ac:dyDescent="0.25">
      <c r="A26" s="31">
        <v>1.113</v>
      </c>
      <c r="B26" s="16">
        <v>1.1326475431382517</v>
      </c>
      <c r="C26" s="37">
        <f t="shared" si="0"/>
        <v>-1.7652779099956585E-2</v>
      </c>
      <c r="D26" s="37">
        <f t="shared" si="1"/>
        <v>1.7652779099956585E-2</v>
      </c>
      <c r="E26" s="37"/>
      <c r="F26" s="16"/>
      <c r="G26" s="16"/>
      <c r="H26" s="16">
        <f t="shared" si="2"/>
        <v>3.8602595136946055E-4</v>
      </c>
      <c r="I26" s="16"/>
      <c r="J26" s="16"/>
      <c r="K26" s="16"/>
      <c r="L26" s="12"/>
    </row>
    <row r="27" spans="1:12" x14ac:dyDescent="0.25">
      <c r="A27" s="31">
        <v>1.5669999999999999</v>
      </c>
      <c r="B27" s="16">
        <v>1.5560590856198706</v>
      </c>
      <c r="C27" s="37">
        <f t="shared" si="0"/>
        <v>6.9820768220353168E-3</v>
      </c>
      <c r="D27" s="37">
        <f t="shared" si="1"/>
        <v>6.9820768220353168E-3</v>
      </c>
      <c r="E27" s="37"/>
      <c r="F27" s="16"/>
      <c r="G27" s="16"/>
      <c r="H27" s="16">
        <f t="shared" si="2"/>
        <v>1.19703607473321E-4</v>
      </c>
      <c r="I27" s="16"/>
      <c r="J27" s="16"/>
      <c r="K27" s="16"/>
      <c r="L27" s="12"/>
    </row>
    <row r="28" spans="1:12" x14ac:dyDescent="0.25">
      <c r="A28" s="31">
        <v>1.034</v>
      </c>
      <c r="B28" s="16">
        <v>1.0399255111743939</v>
      </c>
      <c r="C28" s="37">
        <f t="shared" si="0"/>
        <v>-5.7306684471894413E-3</v>
      </c>
      <c r="D28" s="37">
        <f t="shared" si="1"/>
        <v>5.7306684471894413E-3</v>
      </c>
      <c r="E28" s="37"/>
      <c r="F28" s="16"/>
      <c r="G28" s="16"/>
      <c r="H28" s="16">
        <f t="shared" si="2"/>
        <v>3.5111682677866768E-5</v>
      </c>
      <c r="I28" s="16"/>
      <c r="J28" s="16"/>
      <c r="K28" s="16"/>
      <c r="L28" s="12"/>
    </row>
    <row r="29" spans="1:12" x14ac:dyDescent="0.25">
      <c r="A29" s="31">
        <v>1.0389999999999999</v>
      </c>
      <c r="B29" s="16">
        <v>1.0430200863208552</v>
      </c>
      <c r="C29" s="37">
        <f t="shared" si="0"/>
        <v>-3.869187989273595E-3</v>
      </c>
      <c r="D29" s="37">
        <f t="shared" si="1"/>
        <v>3.869187989273595E-3</v>
      </c>
      <c r="E29" s="37"/>
      <c r="F29" s="16"/>
      <c r="G29" s="16"/>
      <c r="H29" s="16">
        <f t="shared" si="2"/>
        <v>1.616109402712762E-5</v>
      </c>
      <c r="I29" s="16"/>
      <c r="J29" s="16"/>
      <c r="K29" s="16"/>
      <c r="L29" s="12"/>
    </row>
    <row r="30" spans="1:12" x14ac:dyDescent="0.25">
      <c r="A30" s="31">
        <v>1.2889999999999999</v>
      </c>
      <c r="B30" s="16">
        <v>1.323803847393016</v>
      </c>
      <c r="C30" s="37">
        <f t="shared" si="0"/>
        <v>-2.7000657403426005E-2</v>
      </c>
      <c r="D30" s="37">
        <f t="shared" si="1"/>
        <v>2.7000657403426005E-2</v>
      </c>
      <c r="E30" s="37"/>
      <c r="F30" s="16"/>
      <c r="G30" s="16"/>
      <c r="H30" s="16">
        <f t="shared" si="2"/>
        <v>1.2113077933563548E-3</v>
      </c>
      <c r="I30" s="16"/>
      <c r="J30" s="16"/>
      <c r="K30" s="16"/>
      <c r="L30" s="12"/>
    </row>
    <row r="31" spans="1:12" x14ac:dyDescent="0.25">
      <c r="A31" s="31">
        <v>1.379</v>
      </c>
      <c r="B31" s="16">
        <v>1.3843482030586638</v>
      </c>
      <c r="C31" s="37">
        <f t="shared" si="0"/>
        <v>-3.8783198394951356E-3</v>
      </c>
      <c r="D31" s="37">
        <f t="shared" si="1"/>
        <v>3.8783198394951356E-3</v>
      </c>
      <c r="E31" s="37"/>
      <c r="F31" s="16"/>
      <c r="G31" s="16"/>
      <c r="H31" s="16">
        <f t="shared" si="2"/>
        <v>2.8603275956700738E-5</v>
      </c>
      <c r="I31" s="16"/>
      <c r="J31" s="16"/>
      <c r="K31" s="16"/>
      <c r="L31" s="12"/>
    </row>
    <row r="32" spans="1:12" x14ac:dyDescent="0.25">
      <c r="A32" s="31">
        <v>1.18</v>
      </c>
      <c r="B32" s="16">
        <v>1.328708154641226</v>
      </c>
      <c r="C32" s="37">
        <f t="shared" si="0"/>
        <v>-0.12602385986544587</v>
      </c>
      <c r="D32" s="37">
        <f t="shared" si="1"/>
        <v>0.12602385986544587</v>
      </c>
      <c r="E32" s="37"/>
      <c r="F32" s="16"/>
      <c r="G32" s="16"/>
      <c r="H32" s="16">
        <f t="shared" si="2"/>
        <v>2.2114115256798818E-2</v>
      </c>
      <c r="I32" s="16"/>
      <c r="J32" s="16"/>
      <c r="K32" s="16"/>
      <c r="L32" s="12"/>
    </row>
    <row r="33" spans="1:12" x14ac:dyDescent="0.25">
      <c r="A33" s="31">
        <v>1.17</v>
      </c>
      <c r="B33" s="16">
        <v>1.1743317746692363</v>
      </c>
      <c r="C33" s="37">
        <f t="shared" si="0"/>
        <v>-3.7023715121678627E-3</v>
      </c>
      <c r="D33" s="37">
        <f t="shared" si="1"/>
        <v>3.7023715121678627E-3</v>
      </c>
      <c r="E33" s="37"/>
      <c r="F33" s="16"/>
      <c r="G33" s="16"/>
      <c r="H33" s="16">
        <f t="shared" si="2"/>
        <v>1.8764271785038114E-5</v>
      </c>
      <c r="I33" s="16"/>
      <c r="J33" s="16"/>
      <c r="K33" s="16"/>
      <c r="L33" s="12"/>
    </row>
    <row r="34" spans="1:12" x14ac:dyDescent="0.25">
      <c r="A34" s="31">
        <v>1.446</v>
      </c>
      <c r="B34" s="16">
        <v>1.4652788703513679</v>
      </c>
      <c r="C34" s="37">
        <f t="shared" si="0"/>
        <v>-1.3332552110212998E-2</v>
      </c>
      <c r="D34" s="37">
        <f t="shared" si="1"/>
        <v>1.3332552110212998E-2</v>
      </c>
      <c r="E34" s="37"/>
      <c r="F34" s="16"/>
      <c r="G34" s="16"/>
      <c r="H34" s="16">
        <f t="shared" si="2"/>
        <v>3.7167484202485588E-4</v>
      </c>
      <c r="I34" s="16"/>
      <c r="J34" s="16"/>
      <c r="K34" s="16"/>
      <c r="L34" s="12"/>
    </row>
    <row r="35" spans="1:12" x14ac:dyDescent="0.25">
      <c r="A35" s="31">
        <v>1.1060000000000001</v>
      </c>
      <c r="B35" s="16">
        <v>1.1129909636144428</v>
      </c>
      <c r="C35" s="37">
        <f t="shared" si="0"/>
        <v>-6.3209435935286931E-3</v>
      </c>
      <c r="D35" s="37">
        <f t="shared" si="1"/>
        <v>6.3209435935286931E-3</v>
      </c>
      <c r="E35" s="37"/>
      <c r="F35" s="16"/>
      <c r="G35" s="16"/>
      <c r="H35" s="16">
        <f t="shared" si="2"/>
        <v>4.887357225846224E-5</v>
      </c>
      <c r="I35" s="16"/>
      <c r="J35" s="16"/>
      <c r="K35" s="16"/>
      <c r="L35" s="12"/>
    </row>
    <row r="36" spans="1:12" x14ac:dyDescent="0.25">
      <c r="A36" s="31">
        <v>1.34</v>
      </c>
      <c r="B36" s="16">
        <v>1.3606985481046734</v>
      </c>
      <c r="C36" s="37">
        <f t="shared" si="0"/>
        <v>-1.5446677690054707E-2</v>
      </c>
      <c r="D36" s="37">
        <f t="shared" si="1"/>
        <v>1.5446677690054707E-2</v>
      </c>
      <c r="E36" s="37"/>
      <c r="F36" s="16"/>
      <c r="G36" s="16"/>
      <c r="H36" s="16">
        <f t="shared" si="2"/>
        <v>4.2842989364147503E-4</v>
      </c>
      <c r="I36" s="16"/>
      <c r="J36" s="16"/>
      <c r="K36" s="16"/>
      <c r="L36" s="12"/>
    </row>
    <row r="37" spans="1:12" x14ac:dyDescent="0.25">
      <c r="A37" s="31">
        <v>1.038</v>
      </c>
      <c r="B37" s="16">
        <v>1.0414806820628428</v>
      </c>
      <c r="C37" s="37">
        <f t="shared" si="0"/>
        <v>-3.3532582493668583E-3</v>
      </c>
      <c r="D37" s="37">
        <f t="shared" si="1"/>
        <v>3.3532582493668583E-3</v>
      </c>
      <c r="E37" s="37"/>
      <c r="F37" s="16"/>
      <c r="G37" s="16"/>
      <c r="H37" s="16">
        <f t="shared" si="2"/>
        <v>1.2115147622595604E-5</v>
      </c>
      <c r="I37" s="16"/>
      <c r="J37" s="16"/>
      <c r="K37" s="16"/>
      <c r="L37" s="12"/>
    </row>
    <row r="38" spans="1:12" x14ac:dyDescent="0.25">
      <c r="A38" s="31">
        <v>1.5469999999999999</v>
      </c>
      <c r="B38" s="16">
        <v>1.554041622070977</v>
      </c>
      <c r="C38" s="37">
        <f t="shared" si="0"/>
        <v>-4.5517919010840515E-3</v>
      </c>
      <c r="D38" s="37">
        <f t="shared" si="1"/>
        <v>4.5517919010840515E-3</v>
      </c>
      <c r="E38" s="37"/>
      <c r="F38" s="16"/>
      <c r="G38" s="16"/>
      <c r="H38" s="16">
        <f t="shared" si="2"/>
        <v>4.9584441390470796E-5</v>
      </c>
      <c r="I38" s="16"/>
      <c r="J38" s="16"/>
      <c r="K38" s="16"/>
      <c r="L38" s="12"/>
    </row>
    <row r="39" spans="1:12" x14ac:dyDescent="0.25">
      <c r="A39" s="31">
        <v>1.37</v>
      </c>
      <c r="B39" s="16">
        <v>1.3420090992300984</v>
      </c>
      <c r="C39" s="37">
        <f t="shared" si="0"/>
        <v>2.0431314430585209E-2</v>
      </c>
      <c r="D39" s="37">
        <f t="shared" si="1"/>
        <v>2.0431314430585209E-2</v>
      </c>
      <c r="E39" s="37"/>
      <c r="F39" s="16"/>
      <c r="G39" s="16"/>
      <c r="H39" s="16">
        <f t="shared" si="2"/>
        <v>7.834905259104857E-4</v>
      </c>
      <c r="I39" s="16"/>
      <c r="J39" s="16"/>
      <c r="K39" s="16"/>
      <c r="L39" s="12"/>
    </row>
    <row r="40" spans="1:12" x14ac:dyDescent="0.25">
      <c r="A40" s="31">
        <v>1.2190000000000001</v>
      </c>
      <c r="B40" s="16">
        <v>1.2578799457329257</v>
      </c>
      <c r="C40" s="37">
        <f t="shared" si="0"/>
        <v>-3.1894951380578865E-2</v>
      </c>
      <c r="D40" s="37">
        <f t="shared" si="1"/>
        <v>3.1894951380578865E-2</v>
      </c>
      <c r="E40" s="37"/>
      <c r="F40" s="16"/>
      <c r="G40" s="16"/>
      <c r="H40" s="16">
        <f t="shared" si="2"/>
        <v>1.5116501801952424E-3</v>
      </c>
      <c r="I40" s="16"/>
      <c r="J40" s="16"/>
      <c r="K40" s="16"/>
      <c r="L40" s="12"/>
    </row>
    <row r="41" spans="1:12" x14ac:dyDescent="0.25">
      <c r="A41" s="31">
        <v>1.7927</v>
      </c>
      <c r="B41" s="16">
        <v>1.7206845923498744</v>
      </c>
      <c r="C41" s="37">
        <f t="shared" si="0"/>
        <v>4.0171477464230262E-2</v>
      </c>
      <c r="D41" s="37">
        <f t="shared" si="1"/>
        <v>4.0171477464230262E-2</v>
      </c>
      <c r="E41" s="37"/>
      <c r="F41" s="16"/>
      <c r="G41" s="16"/>
      <c r="H41" s="16">
        <f t="shared" si="2"/>
        <v>5.186218939013768E-3</v>
      </c>
      <c r="I41" s="16"/>
      <c r="J41" s="16"/>
      <c r="K41" s="16"/>
      <c r="L41" s="12"/>
    </row>
    <row r="42" spans="1:12" x14ac:dyDescent="0.25">
      <c r="A42" s="31">
        <v>1.5649999999999999</v>
      </c>
      <c r="B42" s="16">
        <v>1.6530383281071037</v>
      </c>
      <c r="C42" s="37">
        <f t="shared" si="0"/>
        <v>-5.6254522752142988E-2</v>
      </c>
      <c r="D42" s="37">
        <f t="shared" si="1"/>
        <v>5.6254522752142988E-2</v>
      </c>
      <c r="E42" s="37"/>
      <c r="F42" s="16"/>
      <c r="G42" s="16"/>
      <c r="H42" s="16">
        <f t="shared" si="2"/>
        <v>7.7507472158940575E-3</v>
      </c>
      <c r="I42" s="16"/>
      <c r="J42" s="16"/>
      <c r="K42" s="16"/>
      <c r="L42" s="12"/>
    </row>
    <row r="43" spans="1:12" x14ac:dyDescent="0.25">
      <c r="A43" s="31">
        <v>1.61</v>
      </c>
      <c r="B43" s="16">
        <v>1.5746726128200963</v>
      </c>
      <c r="C43" s="37">
        <f t="shared" si="0"/>
        <v>2.1942476509257017E-2</v>
      </c>
      <c r="D43" s="37">
        <f t="shared" si="1"/>
        <v>2.1942476509257017E-2</v>
      </c>
      <c r="E43" s="37"/>
      <c r="F43" s="16"/>
      <c r="G43" s="16"/>
      <c r="H43" s="16">
        <f t="shared" si="2"/>
        <v>1.2480242849588314E-3</v>
      </c>
      <c r="I43" s="16"/>
      <c r="J43" s="16"/>
      <c r="K43" s="16"/>
      <c r="L43" s="12"/>
    </row>
    <row r="44" spans="1:12" x14ac:dyDescent="0.25">
      <c r="A44" s="31">
        <v>3.1720000000000002</v>
      </c>
      <c r="B44" s="16">
        <v>2.815713258200724</v>
      </c>
      <c r="C44" s="37">
        <f t="shared" si="0"/>
        <v>0.11232242805777935</v>
      </c>
      <c r="D44" s="37">
        <f t="shared" si="1"/>
        <v>0.11232242805777935</v>
      </c>
      <c r="E44" s="37"/>
      <c r="F44" s="16"/>
      <c r="G44" s="16"/>
      <c r="H44" s="16">
        <f t="shared" si="2"/>
        <v>0.12694024238194404</v>
      </c>
      <c r="I44" s="16"/>
      <c r="J44" s="16"/>
      <c r="K44" s="16"/>
      <c r="L44" s="12"/>
    </row>
    <row r="45" spans="1:12" x14ac:dyDescent="0.25">
      <c r="A45" s="31"/>
      <c r="B45" s="16"/>
      <c r="C45" s="16"/>
      <c r="D45" s="16"/>
      <c r="E45" s="16"/>
      <c r="F45" s="46"/>
      <c r="G45" s="46"/>
      <c r="H45" s="46" t="s">
        <v>79</v>
      </c>
      <c r="I45" s="16"/>
      <c r="J45" s="16"/>
      <c r="K45" s="16"/>
      <c r="L45" s="12"/>
    </row>
    <row r="46" spans="1:12" x14ac:dyDescent="0.25">
      <c r="A46" s="47"/>
      <c r="B46" s="46"/>
      <c r="C46" s="46" t="s">
        <v>1</v>
      </c>
      <c r="D46" s="48">
        <f>MAX(C4:C44)</f>
        <v>0.14122374857942682</v>
      </c>
      <c r="E46" s="48">
        <f>MAX(D4:D44)</f>
        <v>0.98407043676216943</v>
      </c>
      <c r="F46" s="46"/>
      <c r="G46" s="46"/>
      <c r="H46" s="46">
        <f>AVERAGE(H4:H44)</f>
        <v>3.2788384235110338E-2</v>
      </c>
      <c r="I46" s="46"/>
      <c r="J46" s="46"/>
      <c r="K46" s="46"/>
      <c r="L46" s="49"/>
    </row>
    <row r="47" spans="1:12" x14ac:dyDescent="0.25">
      <c r="A47" t="s">
        <v>3</v>
      </c>
      <c r="B47">
        <f>_xlfn.STDEV.S(B4:B44)</f>
        <v>0.32819943967677367</v>
      </c>
      <c r="C47" t="s">
        <v>2</v>
      </c>
      <c r="D47" s="50">
        <f>MIN(C4:C44)</f>
        <v>-0.98407043676216943</v>
      </c>
      <c r="E47" s="50">
        <f>MIN(D4:D44)</f>
        <v>1.0109725748066445E-3</v>
      </c>
    </row>
  </sheetData>
  <mergeCells count="1">
    <mergeCell ref="A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zoomScale="80" zoomScaleNormal="80" workbookViewId="0">
      <selection activeCell="F2" sqref="F2"/>
    </sheetView>
  </sheetViews>
  <sheetFormatPr defaultRowHeight="15" x14ac:dyDescent="0.25"/>
  <cols>
    <col min="2" max="3" width="13" bestFit="1" customWidth="1"/>
    <col min="4" max="4" width="15.85546875" bestFit="1" customWidth="1"/>
    <col min="5" max="7" width="13" bestFit="1" customWidth="1"/>
  </cols>
  <sheetData>
    <row r="1" spans="1:8" x14ac:dyDescent="0.25">
      <c r="A1" s="87" t="s">
        <v>49</v>
      </c>
      <c r="B1" s="87" t="s">
        <v>11</v>
      </c>
      <c r="C1" s="87" t="s">
        <v>48</v>
      </c>
      <c r="D1" s="87" t="s">
        <v>57</v>
      </c>
      <c r="E1" s="87" t="s">
        <v>54</v>
      </c>
      <c r="F1" s="87" t="s">
        <v>55</v>
      </c>
      <c r="G1" s="87" t="s">
        <v>56</v>
      </c>
      <c r="H1" t="s">
        <v>58</v>
      </c>
    </row>
    <row r="2" spans="1:8" x14ac:dyDescent="0.25">
      <c r="A2">
        <v>1.143</v>
      </c>
      <c r="B2">
        <v>1.4192767734751746</v>
      </c>
      <c r="C2">
        <v>1.1293112243395824</v>
      </c>
      <c r="D2">
        <v>1.1144340195127298</v>
      </c>
      <c r="E2">
        <v>1.1447622556926376</v>
      </c>
      <c r="F2">
        <v>1.1838499632442527</v>
      </c>
      <c r="G2">
        <v>1.1727454710302816</v>
      </c>
    </row>
    <row r="3" spans="1:8" x14ac:dyDescent="0.25">
      <c r="A3">
        <v>1.5629999999999999</v>
      </c>
      <c r="B3">
        <v>1.4190757920842172</v>
      </c>
      <c r="C3">
        <v>1.5433568974711964</v>
      </c>
      <c r="D3">
        <v>1.5102511986498959</v>
      </c>
      <c r="E3">
        <v>1.5239607917257603</v>
      </c>
      <c r="F3">
        <v>1.5183067183770191</v>
      </c>
      <c r="G3">
        <v>1.5388460434497273</v>
      </c>
    </row>
    <row r="4" spans="1:8" x14ac:dyDescent="0.25">
      <c r="A4">
        <v>1.2889999999999999</v>
      </c>
      <c r="B4">
        <v>1.4905175538482531</v>
      </c>
      <c r="C4">
        <v>1.2852002593170959</v>
      </c>
      <c r="D4">
        <v>1.2568951932869659</v>
      </c>
      <c r="E4">
        <v>1.2870082995209671</v>
      </c>
      <c r="F4">
        <v>1.3016645952980852</v>
      </c>
      <c r="G4">
        <v>1.3128481835006038</v>
      </c>
    </row>
    <row r="5" spans="1:8" x14ac:dyDescent="0.25">
      <c r="A5">
        <v>1.512</v>
      </c>
      <c r="B5">
        <v>1.344651248753286</v>
      </c>
      <c r="C5">
        <v>1.4773814018004463</v>
      </c>
      <c r="D5">
        <v>1.4727714081823922</v>
      </c>
      <c r="E5">
        <v>1.4681215066322071</v>
      </c>
      <c r="F5">
        <v>1.4929015808871355</v>
      </c>
      <c r="G5">
        <v>1.4861785948169022</v>
      </c>
    </row>
    <row r="6" spans="1:8" x14ac:dyDescent="0.25">
      <c r="A6">
        <v>1.2889999999999999</v>
      </c>
      <c r="B6">
        <v>1.3851557906284149</v>
      </c>
      <c r="C6">
        <v>1.2119776878450632</v>
      </c>
      <c r="D6">
        <v>1.2024666698349462</v>
      </c>
      <c r="E6">
        <v>1.2067789340098003</v>
      </c>
      <c r="F6">
        <v>1.2032035810096069</v>
      </c>
      <c r="G6">
        <v>1.2344119369465152</v>
      </c>
    </row>
    <row r="7" spans="1:8" x14ac:dyDescent="0.25">
      <c r="A7">
        <v>1.1399999999999999</v>
      </c>
      <c r="B7">
        <v>1.417138256483137</v>
      </c>
      <c r="C7">
        <v>1.1707280881327127</v>
      </c>
      <c r="D7">
        <v>1.1625939794884266</v>
      </c>
      <c r="E7">
        <v>1.1663578454403434</v>
      </c>
      <c r="F7">
        <v>1.1609316982466709</v>
      </c>
      <c r="G7">
        <v>1.1943432569428398</v>
      </c>
    </row>
    <row r="8" spans="1:8" x14ac:dyDescent="0.25">
      <c r="A8">
        <v>1.081</v>
      </c>
      <c r="B8">
        <v>1.3189503942632126</v>
      </c>
      <c r="C8">
        <v>1.1209482277305765</v>
      </c>
      <c r="D8">
        <v>1.1215954809513273</v>
      </c>
      <c r="E8">
        <v>1.121023460583167</v>
      </c>
      <c r="F8">
        <v>1.1462896406952012</v>
      </c>
      <c r="G8">
        <v>1.1488223440065768</v>
      </c>
    </row>
    <row r="9" spans="1:8" x14ac:dyDescent="0.25">
      <c r="A9">
        <v>1.1639999999999999</v>
      </c>
      <c r="B9">
        <v>1.4150171022047537</v>
      </c>
      <c r="C9">
        <v>1.1877438426537905</v>
      </c>
      <c r="D9">
        <v>1.1777694343686016</v>
      </c>
      <c r="E9">
        <v>1.1836094605940777</v>
      </c>
      <c r="F9">
        <v>1.177748832417663</v>
      </c>
      <c r="G9">
        <v>1.2114972861751108</v>
      </c>
    </row>
    <row r="10" spans="1:8" x14ac:dyDescent="0.25">
      <c r="A10">
        <v>1.2310000000000001</v>
      </c>
      <c r="B10">
        <v>1.4373586355080665</v>
      </c>
      <c r="C10">
        <v>1.2684376301017948</v>
      </c>
      <c r="D10">
        <v>1.2514396476575496</v>
      </c>
      <c r="E10">
        <v>1.2615231569731207</v>
      </c>
      <c r="F10">
        <v>1.2593222890249436</v>
      </c>
      <c r="G10">
        <v>1.2880695170506014</v>
      </c>
    </row>
    <row r="11" spans="1:8" x14ac:dyDescent="0.25">
      <c r="A11">
        <v>1.5229999999999999</v>
      </c>
      <c r="B11">
        <v>1.4098676839926572</v>
      </c>
      <c r="C11">
        <v>1.5853374064268722</v>
      </c>
      <c r="D11">
        <v>1.5573554527352866</v>
      </c>
      <c r="E11">
        <v>1.5824784329150541</v>
      </c>
      <c r="F11">
        <v>1.6301075996094809</v>
      </c>
      <c r="G11">
        <v>1.5937279547508028</v>
      </c>
    </row>
    <row r="12" spans="1:8" x14ac:dyDescent="0.25">
      <c r="A12">
        <v>1.0189999999999999</v>
      </c>
      <c r="B12">
        <v>1.3876688608489287</v>
      </c>
      <c r="C12">
        <v>2.0205099532302069</v>
      </c>
      <c r="D12">
        <v>1.9713700239190286</v>
      </c>
      <c r="E12">
        <v>2.0217677750606504</v>
      </c>
      <c r="F12">
        <v>2.0631390585325562</v>
      </c>
      <c r="G12">
        <v>1.9980815852995164</v>
      </c>
    </row>
    <row r="13" spans="1:8" s="46" customFormat="1" x14ac:dyDescent="0.25">
      <c r="A13" s="46">
        <v>1.0509999999999999</v>
      </c>
      <c r="B13" s="46">
        <v>1.4673530204852716</v>
      </c>
      <c r="C13" s="46">
        <v>1.0649842000688006</v>
      </c>
      <c r="D13" s="46">
        <v>1.0625959042758542</v>
      </c>
      <c r="E13" s="46">
        <v>1.0666736233567486</v>
      </c>
      <c r="F13" s="46">
        <v>1.0811490914912731</v>
      </c>
      <c r="G13" s="46">
        <v>1.0931173483432159</v>
      </c>
    </row>
    <row r="14" spans="1:8" x14ac:dyDescent="0.25">
      <c r="A14">
        <v>1.91</v>
      </c>
      <c r="B14">
        <v>1.4756766030561477</v>
      </c>
      <c r="C14">
        <v>1.8096994828354145</v>
      </c>
      <c r="D14">
        <v>1.7311236292480687</v>
      </c>
      <c r="E14">
        <v>1.8004362710001287</v>
      </c>
      <c r="F14">
        <v>1.8076385621688331</v>
      </c>
      <c r="G14">
        <v>1.7958220291250209</v>
      </c>
    </row>
    <row r="15" spans="1:8" x14ac:dyDescent="0.25">
      <c r="A15">
        <v>1.105</v>
      </c>
      <c r="B15">
        <v>1.4118373031631559</v>
      </c>
      <c r="C15">
        <v>1.1036264021121087</v>
      </c>
      <c r="D15">
        <v>1.1019173035993122</v>
      </c>
      <c r="E15">
        <v>1.1038828753048386</v>
      </c>
      <c r="F15">
        <v>1.1073970162637714</v>
      </c>
      <c r="G15">
        <v>1.1314113150939953</v>
      </c>
    </row>
    <row r="16" spans="1:8" x14ac:dyDescent="0.25">
      <c r="A16">
        <v>1.0489999999999999</v>
      </c>
      <c r="B16">
        <v>1.4871418833452288</v>
      </c>
      <c r="C16">
        <v>1.057120221114924</v>
      </c>
      <c r="D16">
        <v>1.0509464977460163</v>
      </c>
      <c r="E16">
        <v>1.0582724390375953</v>
      </c>
      <c r="F16">
        <v>1.0789875466722094</v>
      </c>
      <c r="G16">
        <v>1.0843540103354308</v>
      </c>
    </row>
    <row r="17" spans="1:7" x14ac:dyDescent="0.25">
      <c r="A17">
        <v>1.349</v>
      </c>
      <c r="B17">
        <v>1.3565732251705676</v>
      </c>
      <c r="C17">
        <v>1.1601665539301038</v>
      </c>
      <c r="D17">
        <v>1.1571808852976408</v>
      </c>
      <c r="E17">
        <v>1.1584891631663532</v>
      </c>
      <c r="F17">
        <v>1.1666793066735721</v>
      </c>
      <c r="G17">
        <v>1.1864905859337314</v>
      </c>
    </row>
    <row r="18" spans="1:7" x14ac:dyDescent="0.25">
      <c r="A18">
        <v>1.7390000000000001</v>
      </c>
      <c r="B18">
        <v>1.2695783850348275</v>
      </c>
      <c r="C18">
        <v>1.6255436675964936</v>
      </c>
      <c r="D18">
        <v>1.6561974327523354</v>
      </c>
      <c r="E18">
        <v>1.6236335806709183</v>
      </c>
      <c r="F18">
        <v>1.7048964021182016</v>
      </c>
      <c r="G18">
        <v>1.6321527292343252</v>
      </c>
    </row>
    <row r="19" spans="1:7" x14ac:dyDescent="0.25">
      <c r="A19">
        <v>1.2549999999999999</v>
      </c>
      <c r="B19">
        <v>1.5105526960997788</v>
      </c>
      <c r="C19">
        <v>1.308275026422909</v>
      </c>
      <c r="D19">
        <v>1.2842399438316447</v>
      </c>
      <c r="E19">
        <v>1.2975972913269174</v>
      </c>
      <c r="F19">
        <v>1.3129790296372619</v>
      </c>
      <c r="G19">
        <v>1.3231102925175962</v>
      </c>
    </row>
    <row r="20" spans="1:7" x14ac:dyDescent="0.25">
      <c r="A20">
        <v>1.278</v>
      </c>
      <c r="B20">
        <v>1.5249758337116797</v>
      </c>
      <c r="C20">
        <v>1.3352347787297898</v>
      </c>
      <c r="D20">
        <v>1.304441337729134</v>
      </c>
      <c r="E20">
        <v>1.3228451523245752</v>
      </c>
      <c r="F20">
        <v>1.3215187836185542</v>
      </c>
      <c r="G20">
        <v>1.3475051234704072</v>
      </c>
    </row>
    <row r="21" spans="1:7" x14ac:dyDescent="0.25">
      <c r="A21">
        <v>1.7304999999999999</v>
      </c>
      <c r="B21">
        <v>1.3562451041503345</v>
      </c>
      <c r="C21">
        <v>1.6990617459292574</v>
      </c>
      <c r="D21">
        <v>1.6790544225359472</v>
      </c>
      <c r="E21">
        <v>1.6728336913922615</v>
      </c>
      <c r="F21">
        <v>1.6896094717873353</v>
      </c>
      <c r="G21">
        <v>1.6779161886653005</v>
      </c>
    </row>
    <row r="22" spans="1:7" x14ac:dyDescent="0.25">
      <c r="A22">
        <v>1.224</v>
      </c>
      <c r="B22">
        <v>1.3412334894097666</v>
      </c>
      <c r="C22">
        <v>1.288874322730688</v>
      </c>
      <c r="D22">
        <v>1.2890859045281684</v>
      </c>
      <c r="E22">
        <v>1.2920270627553174</v>
      </c>
      <c r="F22">
        <v>1.3301632136515664</v>
      </c>
      <c r="G22">
        <v>1.3177143709745356</v>
      </c>
    </row>
    <row r="23" spans="1:7" x14ac:dyDescent="0.25">
      <c r="A23">
        <v>1.143</v>
      </c>
      <c r="B23">
        <v>1.400465373883627</v>
      </c>
      <c r="C23">
        <v>1.4393643239904665</v>
      </c>
      <c r="D23">
        <v>1.4118962221054456</v>
      </c>
      <c r="E23">
        <v>1.4248383557864246</v>
      </c>
      <c r="F23">
        <v>1.4156014925962737</v>
      </c>
      <c r="G23">
        <v>1.4451314520874909</v>
      </c>
    </row>
    <row r="24" spans="1:7" x14ac:dyDescent="0.25">
      <c r="A24">
        <v>1.113</v>
      </c>
      <c r="B24">
        <v>1.2931644716889574</v>
      </c>
      <c r="C24">
        <v>1.1356105001977033</v>
      </c>
      <c r="D24">
        <v>1.1422983368963096</v>
      </c>
      <c r="E24">
        <v>1.1326475431382517</v>
      </c>
      <c r="F24">
        <v>1.146537441621085</v>
      </c>
      <c r="G24">
        <v>1.1605623366957105</v>
      </c>
    </row>
    <row r="25" spans="1:7" x14ac:dyDescent="0.25">
      <c r="A25">
        <v>1.5669999999999999</v>
      </c>
      <c r="B25">
        <v>1.5088908875627836</v>
      </c>
      <c r="C25">
        <v>1.5674106548884756</v>
      </c>
      <c r="D25">
        <v>1.5093077934112065</v>
      </c>
      <c r="E25">
        <v>1.5560590856198706</v>
      </c>
      <c r="F25">
        <v>1.5602124321788367</v>
      </c>
      <c r="G25">
        <v>1.5689873630833899</v>
      </c>
    </row>
    <row r="26" spans="1:7" x14ac:dyDescent="0.25">
      <c r="A26">
        <v>1.034</v>
      </c>
      <c r="B26">
        <v>1.3509134509777556</v>
      </c>
      <c r="C26">
        <v>1.0404055074737208</v>
      </c>
      <c r="D26">
        <v>1.0340426830686684</v>
      </c>
      <c r="E26">
        <v>1.0399255111743939</v>
      </c>
      <c r="F26">
        <v>1.1037240501950123</v>
      </c>
      <c r="G26">
        <v>1.065018522806283</v>
      </c>
    </row>
    <row r="27" spans="1:7" x14ac:dyDescent="0.25">
      <c r="A27">
        <v>1.0389999999999999</v>
      </c>
      <c r="B27">
        <v>1.4191986848356375</v>
      </c>
      <c r="C27">
        <v>1.043643284061434</v>
      </c>
      <c r="D27">
        <v>1.0383212784176519</v>
      </c>
      <c r="E27">
        <v>1.0430200863208552</v>
      </c>
      <c r="F27">
        <v>1.0811095939036264</v>
      </c>
      <c r="G27">
        <v>1.0683013408075528</v>
      </c>
    </row>
    <row r="28" spans="1:7" x14ac:dyDescent="0.25">
      <c r="A28">
        <v>1.2889999999999999</v>
      </c>
      <c r="B28">
        <v>1.2912069965514694</v>
      </c>
      <c r="C28">
        <v>1.3194751214734981</v>
      </c>
      <c r="D28">
        <v>1.332742286729794</v>
      </c>
      <c r="E28">
        <v>1.323803847393016</v>
      </c>
      <c r="F28">
        <v>1.3620294715909438</v>
      </c>
      <c r="G28">
        <v>1.3484294638767025</v>
      </c>
    </row>
    <row r="29" spans="1:7" x14ac:dyDescent="0.25">
      <c r="A29">
        <v>1.379</v>
      </c>
      <c r="B29">
        <v>1.2781915278873808</v>
      </c>
      <c r="C29">
        <v>1.3835784388513379</v>
      </c>
      <c r="D29">
        <v>1.4045603318702766</v>
      </c>
      <c r="E29">
        <v>1.3843482030586638</v>
      </c>
      <c r="F29">
        <v>1.4451984712765444</v>
      </c>
      <c r="G29">
        <v>1.4065374499562415</v>
      </c>
    </row>
    <row r="30" spans="1:7" x14ac:dyDescent="0.25">
      <c r="A30">
        <v>1.18</v>
      </c>
      <c r="B30">
        <v>1.2786101081005601</v>
      </c>
      <c r="C30">
        <v>1.3317518001907269</v>
      </c>
      <c r="D30">
        <v>1.3506131934642618</v>
      </c>
      <c r="E30">
        <v>1.328708154641226</v>
      </c>
      <c r="F30">
        <v>1.3739031378974715</v>
      </c>
      <c r="G30">
        <v>1.3531558513494306</v>
      </c>
    </row>
    <row r="31" spans="1:7" x14ac:dyDescent="0.25">
      <c r="A31">
        <v>1.17</v>
      </c>
      <c r="B31">
        <v>1.349368225518794</v>
      </c>
      <c r="C31">
        <v>1.1860633353097967</v>
      </c>
      <c r="D31">
        <v>1.1872993416650424</v>
      </c>
      <c r="E31">
        <v>1.1743317746692363</v>
      </c>
      <c r="F31">
        <v>1.1716213475454644</v>
      </c>
      <c r="G31">
        <v>1.2022824294554073</v>
      </c>
    </row>
    <row r="32" spans="1:7" x14ac:dyDescent="0.25">
      <c r="A32">
        <v>1.446</v>
      </c>
      <c r="B32">
        <v>1.4949664520224428</v>
      </c>
      <c r="C32">
        <v>1.4776279668885017</v>
      </c>
      <c r="D32">
        <v>1.4347004033957564</v>
      </c>
      <c r="E32">
        <v>1.4652788703513679</v>
      </c>
      <c r="F32">
        <v>1.4684110785756879</v>
      </c>
      <c r="G32">
        <v>1.4834890281286579</v>
      </c>
    </row>
    <row r="33" spans="1:7" x14ac:dyDescent="0.25">
      <c r="A33">
        <v>1.1060000000000001</v>
      </c>
      <c r="B33">
        <v>1.4177798944468309</v>
      </c>
      <c r="C33">
        <v>1.1133641266308418</v>
      </c>
      <c r="D33">
        <v>1.1027159983590971</v>
      </c>
      <c r="E33">
        <v>1.1129909636144428</v>
      </c>
      <c r="F33">
        <v>1.144774885725127</v>
      </c>
      <c r="G33">
        <v>1.1406786578689594</v>
      </c>
    </row>
    <row r="34" spans="1:7" x14ac:dyDescent="0.25">
      <c r="A34">
        <v>1.34</v>
      </c>
      <c r="B34">
        <v>1.2755479340123661</v>
      </c>
      <c r="C34">
        <v>1.3664030104865319</v>
      </c>
      <c r="D34">
        <v>1.3862863717848835</v>
      </c>
      <c r="E34">
        <v>1.3606985481046734</v>
      </c>
      <c r="F34">
        <v>1.3969364168439817</v>
      </c>
      <c r="G34">
        <v>1.3838997299204689</v>
      </c>
    </row>
    <row r="35" spans="1:7" x14ac:dyDescent="0.25">
      <c r="A35">
        <v>1.038</v>
      </c>
      <c r="B35">
        <v>1.3230204412700237</v>
      </c>
      <c r="C35">
        <v>1.041912445027444</v>
      </c>
      <c r="D35">
        <v>1.038380381651181</v>
      </c>
      <c r="E35">
        <v>1.0414806820628428</v>
      </c>
      <c r="F35">
        <v>1.098813257138346</v>
      </c>
      <c r="G35">
        <v>1.0666694942653212</v>
      </c>
    </row>
    <row r="36" spans="1:7" x14ac:dyDescent="0.25">
      <c r="A36">
        <v>1.5469999999999999</v>
      </c>
      <c r="B36">
        <v>1.4419897403953055</v>
      </c>
      <c r="C36">
        <v>1.5568968527885174</v>
      </c>
      <c r="D36">
        <v>1.5194183593443502</v>
      </c>
      <c r="E36">
        <v>1.554041622070977</v>
      </c>
      <c r="F36">
        <v>1.5962887381600908</v>
      </c>
      <c r="G36">
        <v>1.5670956173844943</v>
      </c>
    </row>
    <row r="37" spans="1:7" x14ac:dyDescent="0.25">
      <c r="A37">
        <v>1.37</v>
      </c>
      <c r="B37">
        <v>1.3498892104636866</v>
      </c>
      <c r="C37">
        <v>1.3490540254021628</v>
      </c>
      <c r="D37">
        <v>1.34615448494164</v>
      </c>
      <c r="E37">
        <v>1.3420090992300984</v>
      </c>
      <c r="F37">
        <v>1.3578994937461744</v>
      </c>
      <c r="G37">
        <v>1.3659562991027121</v>
      </c>
    </row>
    <row r="38" spans="1:7" x14ac:dyDescent="0.25">
      <c r="A38">
        <v>1.2190000000000001</v>
      </c>
      <c r="B38">
        <v>1.4228077149580116</v>
      </c>
      <c r="C38">
        <v>1.2471025534566544</v>
      </c>
      <c r="D38">
        <v>1.2271587499609715</v>
      </c>
      <c r="E38">
        <v>1.2578799457329257</v>
      </c>
      <c r="F38">
        <v>1.2721382123893434</v>
      </c>
      <c r="G38">
        <v>1.2845175819870771</v>
      </c>
    </row>
    <row r="39" spans="1:7" x14ac:dyDescent="0.25">
      <c r="A39">
        <v>1.7927</v>
      </c>
      <c r="B39">
        <v>1.2871376482457908</v>
      </c>
      <c r="C39">
        <v>1.7637221282402828</v>
      </c>
      <c r="D39">
        <v>1.7812721727145722</v>
      </c>
      <c r="E39">
        <v>1.7206845923498744</v>
      </c>
      <c r="F39">
        <v>1.78143538447992</v>
      </c>
      <c r="G39">
        <v>1.7222571301709777</v>
      </c>
    </row>
    <row r="40" spans="1:7" x14ac:dyDescent="0.25">
      <c r="A40">
        <v>1.5649999999999999</v>
      </c>
      <c r="B40">
        <v>1.5431321979140298</v>
      </c>
      <c r="C40">
        <v>1.6584142426088841</v>
      </c>
      <c r="D40">
        <v>1.5831551127318197</v>
      </c>
      <c r="E40">
        <v>1.6530383281071037</v>
      </c>
      <c r="F40">
        <v>1.6764922486928882</v>
      </c>
      <c r="G40">
        <v>1.6595252786944124</v>
      </c>
    </row>
    <row r="41" spans="1:7" x14ac:dyDescent="0.25">
      <c r="A41">
        <v>1.61</v>
      </c>
      <c r="B41">
        <v>1.4347986084150632</v>
      </c>
      <c r="C41">
        <v>1.5773258049653118</v>
      </c>
      <c r="D41">
        <v>1.5389732623178802</v>
      </c>
      <c r="E41">
        <v>1.5746726128200963</v>
      </c>
      <c r="F41">
        <v>1.6147652101179659</v>
      </c>
      <c r="G41">
        <v>1.5864243330388224</v>
      </c>
    </row>
    <row r="42" spans="1:7" x14ac:dyDescent="0.25">
      <c r="A42">
        <v>3.1720000000000002</v>
      </c>
      <c r="B42">
        <v>1.3676023794870413</v>
      </c>
      <c r="C42">
        <v>2.7943384394302995</v>
      </c>
      <c r="D42">
        <v>2.6751229198956232</v>
      </c>
      <c r="E42">
        <v>2.815713258200724</v>
      </c>
      <c r="F42">
        <v>2.8977056217700223</v>
      </c>
      <c r="G42">
        <v>2.7073088980003917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49"/>
  <sheetViews>
    <sheetView topLeftCell="L23" workbookViewId="0">
      <selection activeCell="S5" sqref="S5:S45"/>
    </sheetView>
  </sheetViews>
  <sheetFormatPr defaultRowHeight="15" x14ac:dyDescent="0.25"/>
  <cols>
    <col min="1" max="1" width="9" bestFit="1" customWidth="1"/>
    <col min="2" max="2" width="8.42578125" bestFit="1" customWidth="1"/>
    <col min="3" max="3" width="7" bestFit="1" customWidth="1"/>
    <col min="4" max="4" width="8.28515625" bestFit="1" customWidth="1"/>
    <col min="5" max="5" width="7.28515625" bestFit="1" customWidth="1"/>
    <col min="6" max="6" width="7.28515625" customWidth="1"/>
    <col min="7" max="7" width="8.85546875" bestFit="1" customWidth="1"/>
    <col min="8" max="8" width="8.85546875" customWidth="1"/>
    <col min="9" max="9" width="9.140625" customWidth="1"/>
    <col min="10" max="10" width="10.5703125" style="8" customWidth="1"/>
    <col min="11" max="13" width="5.42578125" style="8" customWidth="1"/>
    <col min="14" max="14" width="7.28515625" style="8" customWidth="1"/>
    <col min="15" max="15" width="8.28515625" style="8" customWidth="1"/>
    <col min="16" max="16" width="11.42578125" style="8" customWidth="1"/>
    <col min="17" max="18" width="7.28515625" style="8" customWidth="1"/>
    <col min="19" max="19" width="11" style="8" customWidth="1"/>
    <col min="20" max="20" width="7.5703125" style="8" customWidth="1"/>
    <col min="21" max="21" width="11.5703125" style="8" customWidth="1"/>
    <col min="22" max="22" width="9.140625" customWidth="1"/>
  </cols>
  <sheetData>
    <row r="1" spans="1:24" ht="18" x14ac:dyDescent="0.25">
      <c r="B1" s="16"/>
      <c r="C1" s="16"/>
      <c r="D1" s="16"/>
      <c r="E1" s="16"/>
      <c r="F1" s="16"/>
      <c r="G1" s="12"/>
      <c r="H1" s="16"/>
      <c r="I1" s="16"/>
      <c r="J1" s="10" t="s">
        <v>14</v>
      </c>
      <c r="K1" s="10"/>
      <c r="L1" s="10"/>
      <c r="M1" s="10"/>
      <c r="N1" s="10"/>
      <c r="O1" s="10"/>
      <c r="P1" s="10"/>
      <c r="Q1" s="10"/>
      <c r="R1" s="10"/>
      <c r="S1" s="22"/>
      <c r="T1" s="22"/>
      <c r="U1" s="22"/>
      <c r="V1" s="16"/>
      <c r="W1" s="16"/>
      <c r="X1" s="16"/>
    </row>
    <row r="2" spans="1:24" ht="30" x14ac:dyDescent="0.25">
      <c r="A2" s="10" t="s">
        <v>12</v>
      </c>
      <c r="B2" s="10" t="s">
        <v>13</v>
      </c>
      <c r="C2" s="10" t="s">
        <v>14</v>
      </c>
      <c r="D2" s="11" t="s">
        <v>16</v>
      </c>
      <c r="E2" s="11" t="s">
        <v>17</v>
      </c>
      <c r="F2" s="11" t="s">
        <v>0</v>
      </c>
      <c r="G2" s="13" t="s">
        <v>4</v>
      </c>
      <c r="H2" s="11"/>
      <c r="I2" s="65" t="s">
        <v>5</v>
      </c>
      <c r="J2" s="65"/>
      <c r="K2" s="22"/>
      <c r="L2" s="65" t="s">
        <v>7</v>
      </c>
      <c r="M2" s="65"/>
      <c r="N2" s="65"/>
      <c r="O2" s="65"/>
      <c r="P2" s="65"/>
      <c r="Q2" s="65"/>
      <c r="R2" s="65"/>
      <c r="S2" s="65"/>
      <c r="T2" s="22"/>
      <c r="U2" s="22" t="s">
        <v>9</v>
      </c>
      <c r="V2" s="16"/>
      <c r="W2" s="16"/>
      <c r="X2" s="16"/>
    </row>
    <row r="3" spans="1:24" ht="18" customHeight="1" x14ac:dyDescent="0.25">
      <c r="A3" s="10"/>
      <c r="B3" s="10"/>
      <c r="C3" s="10"/>
      <c r="D3" s="11"/>
      <c r="E3" s="11"/>
      <c r="F3" s="11"/>
      <c r="G3" s="13"/>
      <c r="H3" s="11"/>
      <c r="I3" s="81" t="s">
        <v>40</v>
      </c>
      <c r="J3" s="83" t="s">
        <v>14</v>
      </c>
      <c r="K3" s="22"/>
      <c r="L3" s="65" t="s">
        <v>41</v>
      </c>
      <c r="M3" s="65"/>
      <c r="N3" s="65"/>
      <c r="O3" s="65" t="s">
        <v>42</v>
      </c>
      <c r="P3" s="65"/>
      <c r="Q3" s="65"/>
      <c r="R3" s="65" t="s">
        <v>39</v>
      </c>
      <c r="S3" s="65"/>
      <c r="T3" s="22"/>
      <c r="U3" s="22"/>
      <c r="V3" s="16"/>
      <c r="W3" s="16"/>
      <c r="X3" s="16"/>
    </row>
    <row r="4" spans="1:24" ht="18.75" thickBot="1" x14ac:dyDescent="0.3">
      <c r="A4" s="10"/>
      <c r="B4" s="24"/>
      <c r="C4" s="24"/>
      <c r="D4" s="25"/>
      <c r="E4" s="25"/>
      <c r="F4" s="25"/>
      <c r="G4" s="26"/>
      <c r="H4" s="25"/>
      <c r="I4" s="82"/>
      <c r="J4" s="84"/>
      <c r="K4" s="28"/>
      <c r="L4" s="28" t="s">
        <v>40</v>
      </c>
      <c r="M4" s="10" t="s">
        <v>14</v>
      </c>
      <c r="N4" s="28"/>
      <c r="O4" s="25" t="s">
        <v>37</v>
      </c>
      <c r="P4" s="33" t="s">
        <v>47</v>
      </c>
      <c r="Q4" s="28"/>
      <c r="R4" s="28"/>
      <c r="S4" s="28"/>
      <c r="T4" s="28"/>
      <c r="U4" s="28"/>
      <c r="V4" s="27"/>
      <c r="W4" s="27"/>
      <c r="X4" s="27"/>
    </row>
    <row r="5" spans="1:24" x14ac:dyDescent="0.25">
      <c r="A5">
        <v>567</v>
      </c>
      <c r="B5">
        <v>1.143</v>
      </c>
      <c r="C5">
        <v>82</v>
      </c>
      <c r="D5">
        <v>0.79251015466892083</v>
      </c>
      <c r="E5">
        <v>32.299999999999997</v>
      </c>
      <c r="F5">
        <v>0.86385836385836379</v>
      </c>
      <c r="G5">
        <v>231</v>
      </c>
      <c r="H5" s="16"/>
      <c r="I5">
        <f>((7.916*10^-4)*(E5^1.541)-((4.561*10^-5)*(G5^1.3911)))</f>
        <v>7.9038365087824525E-2</v>
      </c>
      <c r="J5" s="8">
        <f>(((A5/112.727)+12.34)*(D5^0.8439)*(10^I5))^1.73184</f>
        <v>136.90075797304539</v>
      </c>
      <c r="L5" s="8">
        <f>2.8869-(14.1811-3.3093*(LOG(A5)))^0.5</f>
        <v>0.6355298431386931</v>
      </c>
      <c r="M5" s="8">
        <f>D5*((10^L5)*((E5^0.989)/(G5^0.172)))^1.2255</f>
        <v>102.0500519551085</v>
      </c>
      <c r="O5" s="8">
        <f>D5*(1+((5.912*10^-5*E5)*60*LOG(14.7/114.7)))</f>
        <v>0.71149286992702021</v>
      </c>
      <c r="P5" s="8">
        <f>IF(E5&lt;=30,(0.0362*(O5*(A5^1.0937)*EXP(25.724*(E5/(G5+460))))),(0.0178*(O5*(A5^1.187)*EXP(23.91*(E5/(G5+460))))))</f>
        <v>71.858954362502303</v>
      </c>
      <c r="S5" s="8">
        <f>(0.05958*(D5^0.7912)*(A5^1.0014)*(10^3.1405)*(E5)*(G5+459.67))</f>
        <v>874186941.43752229</v>
      </c>
      <c r="U5" s="8">
        <f>D5*(((A5/17.53468968)+1.4)*(10^((0.053651478*E5)-(0.00091*(G5)))))^0.74539252</f>
        <v>148.95909177132165</v>
      </c>
    </row>
    <row r="6" spans="1:24" x14ac:dyDescent="0.25">
      <c r="A6">
        <v>2954</v>
      </c>
      <c r="B6">
        <v>1.5629999999999999</v>
      </c>
      <c r="C6">
        <v>968</v>
      </c>
      <c r="D6">
        <v>0.81312337750111341</v>
      </c>
      <c r="E6">
        <v>36</v>
      </c>
      <c r="F6">
        <v>0.84477611940298503</v>
      </c>
      <c r="G6">
        <v>195</v>
      </c>
      <c r="H6" s="16"/>
      <c r="I6">
        <f>((7.916*10^-4)*(E6^1.541)-((4.561*10^-5)*(G6^1.3911)))</f>
        <v>0.12810659360574927</v>
      </c>
      <c r="J6" s="8">
        <f t="shared" ref="J6:J45" si="0">(((A6/112.727)+12.34)*(D6^0.8439)*(10^I6))^1.73184</f>
        <v>687.37667110603365</v>
      </c>
      <c r="L6" s="8">
        <f t="shared" ref="L6:L45" si="1">2.8869-(14.1811-3.3093*(LOG(A6)))^0.5</f>
        <v>1.2448066524057309</v>
      </c>
      <c r="M6" s="8">
        <f t="shared" ref="M6:M45" si="2">D6*((10^L6)*((E6^0.989)/(G6^0.172)))^1.2255</f>
        <v>690.60344918388273</v>
      </c>
      <c r="O6" s="8">
        <f t="shared" ref="O6:O45" si="3">D6*(1+((5.912*10^-5*E6)*60*LOG(14.7/114.7)))</f>
        <v>0.72047682271760671</v>
      </c>
      <c r="P6" s="8">
        <f t="shared" ref="P6:P45" si="4">IF(E6&lt;=30,(0.0362*(O6*(A6^1.0937)*EXP(25.724*(E6/(G6+460))))),(0.0178*(O6*(A6^1.187)*EXP(23.91*(E6/(G6+460))))))</f>
        <v>628.26069841641674</v>
      </c>
      <c r="S6" s="8">
        <f t="shared" ref="S6:S45" si="5">(0.05958*(D6^0.7912)*(A6^1.0014)*(10^3.1405)*(E6)*(G6+459.67))</f>
        <v>4921645019.811779</v>
      </c>
      <c r="U6" s="8">
        <f>D6*(((A6/17.53468968)+1.4)*(10^((0.053651478*E6)-(0.00091*(G6)))))^0.74539252</f>
        <v>758.37166491931032</v>
      </c>
    </row>
    <row r="7" spans="1:24" x14ac:dyDescent="0.25">
      <c r="A7">
        <v>2209</v>
      </c>
      <c r="B7">
        <v>1.2889999999999999</v>
      </c>
      <c r="C7">
        <v>417</v>
      </c>
      <c r="D7">
        <v>0.87278635389092063</v>
      </c>
      <c r="E7">
        <v>37.799999999999997</v>
      </c>
      <c r="F7">
        <v>0.83579444772593026</v>
      </c>
      <c r="G7">
        <v>197</v>
      </c>
      <c r="H7" s="16"/>
      <c r="I7">
        <f t="shared" ref="I7:I45" si="6">((7.916*10^-4)*(E7^1.541)-((4.561*10^-5)*(G7^1.3911)))</f>
        <v>0.14257105422021762</v>
      </c>
      <c r="J7" s="8">
        <f t="shared" si="0"/>
        <v>583.07009135113162</v>
      </c>
      <c r="L7" s="8">
        <f t="shared" si="1"/>
        <v>1.1222036755671925</v>
      </c>
      <c r="M7" s="8">
        <f t="shared" si="2"/>
        <v>555.23651075989665</v>
      </c>
      <c r="O7" s="8">
        <f t="shared" si="3"/>
        <v>0.76836962755293192</v>
      </c>
      <c r="P7" s="8">
        <f t="shared" si="4"/>
        <v>504.64390637189138</v>
      </c>
      <c r="S7" s="8">
        <f t="shared" si="5"/>
        <v>4097919591.7632546</v>
      </c>
      <c r="U7" s="8">
        <f t="shared" ref="U7:U45" si="7">D7*(((A7/17.53468968)+1.4)*(10^((0.053651478*E7)-(0.00091*(G7)))))^0.74539252</f>
        <v>772.82388504108735</v>
      </c>
    </row>
    <row r="8" spans="1:24" x14ac:dyDescent="0.25">
      <c r="A8">
        <v>2740</v>
      </c>
      <c r="B8">
        <v>1.512</v>
      </c>
      <c r="C8">
        <v>875</v>
      </c>
      <c r="D8">
        <v>0.73606734271110319</v>
      </c>
      <c r="E8">
        <v>38</v>
      </c>
      <c r="F8">
        <v>0.83480825958702065</v>
      </c>
      <c r="G8">
        <v>186</v>
      </c>
      <c r="H8" s="16"/>
      <c r="I8">
        <f t="shared" si="6"/>
        <v>0.1497638495880193</v>
      </c>
      <c r="J8" s="8">
        <f t="shared" si="0"/>
        <v>593.63748624184086</v>
      </c>
      <c r="L8" s="8">
        <f t="shared" si="1"/>
        <v>1.2122203104896472</v>
      </c>
      <c r="M8" s="8">
        <f t="shared" si="2"/>
        <v>614.9509965404402</v>
      </c>
      <c r="O8" s="8">
        <f t="shared" si="3"/>
        <v>0.64754121410373</v>
      </c>
      <c r="P8" s="8">
        <f t="shared" si="4"/>
        <v>566.39544363030291</v>
      </c>
      <c r="S8" s="8">
        <f t="shared" si="5"/>
        <v>4392009618.2414675</v>
      </c>
      <c r="U8" s="8">
        <f t="shared" si="7"/>
        <v>791.76195898535775</v>
      </c>
    </row>
    <row r="9" spans="1:24" x14ac:dyDescent="0.25">
      <c r="A9">
        <v>1622</v>
      </c>
      <c r="B9">
        <v>1.2889999999999999</v>
      </c>
      <c r="C9">
        <v>346</v>
      </c>
      <c r="D9">
        <v>0.82289666841100806</v>
      </c>
      <c r="E9">
        <v>30.9</v>
      </c>
      <c r="F9">
        <v>0.87130541871921174</v>
      </c>
      <c r="G9">
        <v>163</v>
      </c>
      <c r="H9" s="16"/>
      <c r="I9">
        <f t="shared" si="6"/>
        <v>0.10200155503633462</v>
      </c>
      <c r="J9" s="8">
        <f t="shared" si="0"/>
        <v>334.36907382024032</v>
      </c>
      <c r="L9" s="8">
        <f t="shared" si="1"/>
        <v>1.0006129798177026</v>
      </c>
      <c r="M9" s="8">
        <f t="shared" si="2"/>
        <v>302.80083307636801</v>
      </c>
      <c r="O9" s="8">
        <f t="shared" si="3"/>
        <v>0.74241923648818842</v>
      </c>
      <c r="P9" s="8">
        <f t="shared" si="4"/>
        <v>279.53211069335964</v>
      </c>
      <c r="S9" s="8">
        <f t="shared" si="5"/>
        <v>2225271706.1778646</v>
      </c>
      <c r="U9" s="8">
        <f t="shared" si="7"/>
        <v>324.29039866417952</v>
      </c>
    </row>
    <row r="10" spans="1:24" x14ac:dyDescent="0.25">
      <c r="A10">
        <v>1994.7</v>
      </c>
      <c r="B10">
        <v>1.1399999999999999</v>
      </c>
      <c r="C10">
        <v>263</v>
      </c>
      <c r="D10">
        <v>0.87041031859609297</v>
      </c>
      <c r="E10">
        <v>27.4</v>
      </c>
      <c r="F10">
        <v>0.89049716803020762</v>
      </c>
      <c r="G10">
        <v>159</v>
      </c>
      <c r="H10" s="16"/>
      <c r="I10">
        <f t="shared" si="6"/>
        <v>7.7387671689672671E-2</v>
      </c>
      <c r="J10" s="8">
        <f t="shared" si="0"/>
        <v>402.66459776459789</v>
      </c>
      <c r="L10" s="8">
        <f t="shared" si="1"/>
        <v>1.0811272847558622</v>
      </c>
      <c r="M10" s="8">
        <f t="shared" si="2"/>
        <v>349.30398669764099</v>
      </c>
      <c r="O10" s="8">
        <f t="shared" si="3"/>
        <v>0.79492805428648983</v>
      </c>
      <c r="P10" s="8">
        <f t="shared" si="4"/>
        <v>365.2844799434331</v>
      </c>
      <c r="S10" s="8">
        <f t="shared" si="5"/>
        <v>2521257414.168118</v>
      </c>
      <c r="U10" s="8">
        <f t="shared" si="7"/>
        <v>291.14493927117553</v>
      </c>
    </row>
    <row r="11" spans="1:24" x14ac:dyDescent="0.25">
      <c r="A11">
        <v>1109</v>
      </c>
      <c r="B11">
        <v>1.081</v>
      </c>
      <c r="C11">
        <v>173</v>
      </c>
      <c r="D11">
        <v>0.78106484554532651</v>
      </c>
      <c r="E11">
        <v>23</v>
      </c>
      <c r="F11">
        <v>0.91585760517799353</v>
      </c>
      <c r="G11">
        <v>156.19999999999999</v>
      </c>
      <c r="H11" s="16"/>
      <c r="I11">
        <f t="shared" si="6"/>
        <v>4.7927572331038948E-2</v>
      </c>
      <c r="J11" s="8">
        <f t="shared" si="0"/>
        <v>180.7527166307971</v>
      </c>
      <c r="L11" s="8">
        <f t="shared" si="1"/>
        <v>0.86094145295897384</v>
      </c>
      <c r="M11" s="8">
        <f t="shared" si="2"/>
        <v>136.71440711589347</v>
      </c>
      <c r="O11" s="8">
        <f t="shared" si="3"/>
        <v>0.72420767372612038</v>
      </c>
      <c r="P11" s="8">
        <f t="shared" si="4"/>
        <v>146.48950347017364</v>
      </c>
      <c r="S11" s="8">
        <f t="shared" si="5"/>
        <v>1074251234.237781</v>
      </c>
      <c r="U11" s="8">
        <f t="shared" si="7"/>
        <v>113.78956729303827</v>
      </c>
    </row>
    <row r="12" spans="1:24" x14ac:dyDescent="0.25">
      <c r="A12">
        <v>2302</v>
      </c>
      <c r="B12">
        <v>1.1639999999999999</v>
      </c>
      <c r="C12">
        <v>290</v>
      </c>
      <c r="D12">
        <v>0.86025505566035221</v>
      </c>
      <c r="E12">
        <v>28</v>
      </c>
      <c r="F12">
        <v>0.88714733542319746</v>
      </c>
      <c r="G12">
        <v>166</v>
      </c>
      <c r="H12" s="16"/>
      <c r="I12">
        <f t="shared" si="6"/>
        <v>7.8549570895883852E-2</v>
      </c>
      <c r="J12" s="8">
        <f t="shared" si="0"/>
        <v>462.22084302214762</v>
      </c>
      <c r="L12" s="8">
        <f t="shared" si="1"/>
        <v>1.1390771065519483</v>
      </c>
      <c r="M12" s="8">
        <f t="shared" si="2"/>
        <v>413.60166445817401</v>
      </c>
      <c r="O12" s="8">
        <f t="shared" si="3"/>
        <v>0.78401984743173592</v>
      </c>
      <c r="P12" s="8">
        <f t="shared" si="4"/>
        <v>426.44885094602063</v>
      </c>
      <c r="S12" s="8">
        <f t="shared" si="5"/>
        <v>2979841716.9867268</v>
      </c>
      <c r="U12" s="8">
        <f t="shared" si="7"/>
        <v>334.28542064335221</v>
      </c>
    </row>
    <row r="13" spans="1:24" x14ac:dyDescent="0.25">
      <c r="A13">
        <v>2333</v>
      </c>
      <c r="B13">
        <v>1.2310000000000001</v>
      </c>
      <c r="C13">
        <v>441</v>
      </c>
      <c r="D13">
        <v>0.85783163803122864</v>
      </c>
      <c r="E13">
        <v>34.6</v>
      </c>
      <c r="F13">
        <v>0.85189644792293806</v>
      </c>
      <c r="G13">
        <v>168</v>
      </c>
      <c r="H13" s="16"/>
      <c r="I13">
        <f t="shared" si="6"/>
        <v>0.12945952944474992</v>
      </c>
      <c r="J13" s="8">
        <f t="shared" si="0"/>
        <v>572.15534618756374</v>
      </c>
      <c r="L13" s="8">
        <f t="shared" si="1"/>
        <v>1.1445855177925439</v>
      </c>
      <c r="M13" s="8">
        <f t="shared" si="2"/>
        <v>540.02990858086434</v>
      </c>
      <c r="O13" s="8">
        <f t="shared" si="3"/>
        <v>0.76389208611928738</v>
      </c>
      <c r="P13" s="8">
        <f t="shared" si="4"/>
        <v>504.98428894060766</v>
      </c>
      <c r="S13" s="8">
        <f t="shared" si="5"/>
        <v>3735472111.1171179</v>
      </c>
      <c r="U13" s="8">
        <f t="shared" si="7"/>
        <v>616.25983571750237</v>
      </c>
    </row>
    <row r="14" spans="1:24" x14ac:dyDescent="0.25">
      <c r="A14">
        <v>2860</v>
      </c>
      <c r="B14">
        <v>1.5229999999999999</v>
      </c>
      <c r="C14">
        <v>1069</v>
      </c>
      <c r="D14">
        <v>0.80113981460308914</v>
      </c>
      <c r="E14">
        <v>43.7</v>
      </c>
      <c r="F14">
        <v>0.80764840182648412</v>
      </c>
      <c r="G14">
        <v>171</v>
      </c>
      <c r="H14" s="16"/>
      <c r="I14">
        <f t="shared" si="6"/>
        <v>0.20872409669929615</v>
      </c>
      <c r="J14" s="8">
        <f t="shared" si="0"/>
        <v>893.17687673005526</v>
      </c>
      <c r="L14" s="8">
        <f t="shared" si="1"/>
        <v>1.2307152619450754</v>
      </c>
      <c r="M14" s="8">
        <f t="shared" si="2"/>
        <v>850.27819509928008</v>
      </c>
      <c r="O14" s="8">
        <f t="shared" si="3"/>
        <v>0.69033463080205004</v>
      </c>
      <c r="P14" s="8">
        <f t="shared" si="4"/>
        <v>815.32416785703299</v>
      </c>
      <c r="S14" s="8">
        <f t="shared" si="5"/>
        <v>5506847800.1739883</v>
      </c>
      <c r="U14" s="8">
        <f t="shared" si="7"/>
        <v>1539.0978935044841</v>
      </c>
    </row>
    <row r="15" spans="1:24" x14ac:dyDescent="0.25">
      <c r="A15">
        <v>3740</v>
      </c>
      <c r="B15">
        <v>1.0189999999999999</v>
      </c>
      <c r="C15">
        <v>1958</v>
      </c>
      <c r="D15">
        <v>0.77205273955895881</v>
      </c>
      <c r="E15">
        <v>43.6</v>
      </c>
      <c r="F15">
        <v>0.80810965162764137</v>
      </c>
      <c r="G15">
        <v>180</v>
      </c>
      <c r="H15" s="16"/>
      <c r="I15">
        <f t="shared" si="6"/>
        <v>0.20347410639155042</v>
      </c>
      <c r="J15" s="8">
        <f t="shared" si="0"/>
        <v>1147.8373210615573</v>
      </c>
      <c r="L15" s="8">
        <f t="shared" si="1"/>
        <v>1.3515186119279834</v>
      </c>
      <c r="M15" s="8">
        <f t="shared" si="2"/>
        <v>1136.6918653244995</v>
      </c>
      <c r="O15" s="8">
        <f t="shared" si="3"/>
        <v>0.66551492504791954</v>
      </c>
      <c r="P15" s="8">
        <f t="shared" si="4"/>
        <v>1051.9257917534342</v>
      </c>
      <c r="S15" s="8">
        <f t="shared" si="5"/>
        <v>7079830741.889617</v>
      </c>
      <c r="U15" s="8">
        <f t="shared" si="7"/>
        <v>1767.2357615329954</v>
      </c>
    </row>
    <row r="16" spans="1:24" x14ac:dyDescent="0.25">
      <c r="A16">
        <v>348.78500000000003</v>
      </c>
      <c r="B16">
        <v>1.0509999999999999</v>
      </c>
      <c r="C16">
        <v>40</v>
      </c>
      <c r="D16">
        <v>0.92745604866019027</v>
      </c>
      <c r="E16">
        <v>26.1</v>
      </c>
      <c r="F16">
        <v>0.89784263959390864</v>
      </c>
      <c r="G16">
        <v>152.69999999999999</v>
      </c>
      <c r="H16" s="16"/>
      <c r="I16">
        <f t="shared" si="6"/>
        <v>7.0882424661582052E-2</v>
      </c>
      <c r="J16" s="8">
        <f t="shared" si="0"/>
        <v>135.89833932219261</v>
      </c>
      <c r="L16" s="8">
        <f t="shared" si="1"/>
        <v>0.48543930386231171</v>
      </c>
      <c r="M16" s="8">
        <f t="shared" si="2"/>
        <v>65.898029581236145</v>
      </c>
      <c r="O16" s="8">
        <f t="shared" si="3"/>
        <v>0.85084274833050477</v>
      </c>
      <c r="P16" s="8">
        <f t="shared" si="4"/>
        <v>55.622825511514506</v>
      </c>
      <c r="S16" s="8">
        <f t="shared" si="5"/>
        <v>436008325.15591979</v>
      </c>
      <c r="U16" s="8">
        <f t="shared" si="7"/>
        <v>78.980741337675653</v>
      </c>
    </row>
    <row r="17" spans="1:21" x14ac:dyDescent="0.25">
      <c r="A17">
        <v>3264</v>
      </c>
      <c r="B17">
        <v>1.91</v>
      </c>
      <c r="C17">
        <v>1428</v>
      </c>
      <c r="D17">
        <v>0.84230141404901993</v>
      </c>
      <c r="E17">
        <v>43</v>
      </c>
      <c r="F17">
        <v>0.81088825214899718</v>
      </c>
      <c r="G17">
        <v>198</v>
      </c>
      <c r="H17" s="16"/>
      <c r="I17">
        <f t="shared" si="6"/>
        <v>0.18898222768244113</v>
      </c>
      <c r="J17" s="8">
        <f t="shared" si="0"/>
        <v>1039.5179814712701</v>
      </c>
      <c r="L17" s="8">
        <f t="shared" si="1"/>
        <v>1.2890744061587245</v>
      </c>
      <c r="M17" s="8">
        <f t="shared" si="2"/>
        <v>1002.1182389442009</v>
      </c>
      <c r="O17" s="8">
        <f t="shared" si="3"/>
        <v>0.72766929748921827</v>
      </c>
      <c r="P17" s="8">
        <f t="shared" si="4"/>
        <v>915.72255149074158</v>
      </c>
      <c r="S17" s="8">
        <f t="shared" si="5"/>
        <v>6710830907.0952988</v>
      </c>
      <c r="U17" s="8">
        <f t="shared" si="7"/>
        <v>1603.7980926943258</v>
      </c>
    </row>
    <row r="18" spans="1:21" x14ac:dyDescent="0.25">
      <c r="A18">
        <v>1005</v>
      </c>
      <c r="B18">
        <v>1.105</v>
      </c>
      <c r="C18">
        <v>129.30000000000001</v>
      </c>
      <c r="D18">
        <v>0.8756363821172134</v>
      </c>
      <c r="E18">
        <v>26.7</v>
      </c>
      <c r="F18">
        <f t="shared" ref="F18:F33" si="8">141.5/(E18+131.5)</f>
        <v>0.89443742098609358</v>
      </c>
      <c r="G18">
        <v>149.6</v>
      </c>
      <c r="H18" s="16"/>
      <c r="I18">
        <f t="shared" si="6"/>
        <v>7.6583237522135472E-2</v>
      </c>
      <c r="J18" s="8">
        <f t="shared" si="0"/>
        <v>222.48389710117249</v>
      </c>
      <c r="L18" s="8">
        <f t="shared" si="1"/>
        <v>0.82630982924085794</v>
      </c>
      <c r="M18" s="8">
        <f t="shared" si="2"/>
        <v>168.06637329358401</v>
      </c>
      <c r="O18" s="8">
        <f t="shared" si="3"/>
        <v>0.80164086915761212</v>
      </c>
      <c r="P18" s="8">
        <f t="shared" si="4"/>
        <v>171.97808261409065</v>
      </c>
      <c r="S18" s="8">
        <f t="shared" si="5"/>
        <v>1223650065.3101163</v>
      </c>
      <c r="U18" s="8">
        <f t="shared" si="7"/>
        <v>168.66764833773743</v>
      </c>
    </row>
    <row r="19" spans="1:21" x14ac:dyDescent="0.25">
      <c r="A19">
        <v>302.86500000000001</v>
      </c>
      <c r="B19">
        <v>1.0489999999999999</v>
      </c>
      <c r="C19">
        <v>30</v>
      </c>
      <c r="D19">
        <v>0.95809382507979579</v>
      </c>
      <c r="E19">
        <v>23.7</v>
      </c>
      <c r="F19">
        <f t="shared" si="8"/>
        <v>0.91172680412371143</v>
      </c>
      <c r="G19">
        <v>147.75</v>
      </c>
      <c r="H19" s="16"/>
      <c r="I19">
        <f t="shared" si="6"/>
        <v>5.6446989103389474E-2</v>
      </c>
      <c r="J19" s="8">
        <f t="shared" si="0"/>
        <v>128.44733635255355</v>
      </c>
      <c r="L19" s="8">
        <f t="shared" si="1"/>
        <v>0.44356162932680965</v>
      </c>
      <c r="M19" s="8">
        <f t="shared" si="2"/>
        <v>54.188683420100809</v>
      </c>
      <c r="O19" s="8">
        <f t="shared" si="3"/>
        <v>0.8862272889323034</v>
      </c>
      <c r="P19" s="8">
        <f t="shared" si="4"/>
        <v>45.253723144299805</v>
      </c>
      <c r="S19" s="8">
        <f t="shared" si="5"/>
        <v>349824974.43727493</v>
      </c>
      <c r="U19" s="8">
        <f t="shared" si="7"/>
        <v>59.775951277233411</v>
      </c>
    </row>
    <row r="20" spans="1:21" x14ac:dyDescent="0.25">
      <c r="A20">
        <v>2105</v>
      </c>
      <c r="B20">
        <v>1.349</v>
      </c>
      <c r="C20">
        <v>243</v>
      </c>
      <c r="D20">
        <v>0.80757023172148901</v>
      </c>
      <c r="E20">
        <v>25.6</v>
      </c>
      <c r="F20">
        <f t="shared" si="8"/>
        <v>0.90070019096117127</v>
      </c>
      <c r="G20">
        <v>165</v>
      </c>
      <c r="H20" s="16"/>
      <c r="I20">
        <f t="shared" si="6"/>
        <v>6.1675296963715813E-2</v>
      </c>
      <c r="J20" s="8">
        <f t="shared" si="0"/>
        <v>358.3285730648048</v>
      </c>
      <c r="L20" s="8">
        <f t="shared" si="1"/>
        <v>1.1026741665075472</v>
      </c>
      <c r="M20" s="8">
        <f t="shared" si="2"/>
        <v>314.70759263845861</v>
      </c>
      <c r="O20" s="8">
        <f t="shared" si="3"/>
        <v>0.74213817178193198</v>
      </c>
      <c r="P20" s="8">
        <f t="shared" si="4"/>
        <v>332.22379297842321</v>
      </c>
      <c r="S20" s="8">
        <f t="shared" si="5"/>
        <v>2365684483.7097483</v>
      </c>
      <c r="U20" s="8">
        <f t="shared" si="7"/>
        <v>235.90005191461509</v>
      </c>
    </row>
    <row r="21" spans="1:21" x14ac:dyDescent="0.25">
      <c r="A21">
        <v>2975</v>
      </c>
      <c r="B21">
        <v>1.7390000000000001</v>
      </c>
      <c r="C21">
        <v>1262</v>
      </c>
      <c r="D21">
        <v>0.65002619805475581</v>
      </c>
      <c r="E21">
        <v>41.9</v>
      </c>
      <c r="F21">
        <f t="shared" si="8"/>
        <v>0.81603229527104959</v>
      </c>
      <c r="G21">
        <v>171</v>
      </c>
      <c r="H21" s="16"/>
      <c r="I21">
        <f t="shared" si="6"/>
        <v>0.19196756779505192</v>
      </c>
      <c r="J21" s="8">
        <f t="shared" si="0"/>
        <v>644.64845972320711</v>
      </c>
      <c r="L21" s="8">
        <f t="shared" si="1"/>
        <v>1.2479095882021378</v>
      </c>
      <c r="M21" s="8">
        <f t="shared" si="2"/>
        <v>688.200163755105</v>
      </c>
      <c r="O21" s="8">
        <f t="shared" si="3"/>
        <v>0.56382462140284262</v>
      </c>
      <c r="P21" s="8">
        <f t="shared" si="4"/>
        <v>651.80208519598432</v>
      </c>
      <c r="S21" s="8">
        <f t="shared" si="5"/>
        <v>4655404726.5226679</v>
      </c>
      <c r="U21" s="8">
        <f t="shared" si="7"/>
        <v>1089.3302299094844</v>
      </c>
    </row>
    <row r="22" spans="1:21" x14ac:dyDescent="0.25">
      <c r="A22">
        <v>1898</v>
      </c>
      <c r="B22">
        <v>1.2549999999999999</v>
      </c>
      <c r="C22">
        <v>525</v>
      </c>
      <c r="D22">
        <v>0.91923240349209867</v>
      </c>
      <c r="E22">
        <v>39.5</v>
      </c>
      <c r="F22">
        <f t="shared" si="8"/>
        <v>0.82748538011695905</v>
      </c>
      <c r="G22">
        <v>148</v>
      </c>
      <c r="H22" s="16"/>
      <c r="I22">
        <f t="shared" si="6"/>
        <v>0.18083192497672329</v>
      </c>
      <c r="J22" s="8">
        <f t="shared" si="0"/>
        <v>626.52383911603738</v>
      </c>
      <c r="L22" s="8">
        <f t="shared" si="1"/>
        <v>1.0614591330959118</v>
      </c>
      <c r="M22" s="8">
        <f t="shared" si="2"/>
        <v>551.93701476553906</v>
      </c>
      <c r="O22" s="8">
        <f t="shared" si="3"/>
        <v>0.80431316311392853</v>
      </c>
      <c r="P22" s="8">
        <f t="shared" si="4"/>
        <v>526.98708054826147</v>
      </c>
      <c r="S22" s="8">
        <f t="shared" si="5"/>
        <v>3546609154.5074577</v>
      </c>
      <c r="U22" s="8">
        <f t="shared" si="7"/>
        <v>918.92873787680446</v>
      </c>
    </row>
    <row r="23" spans="1:21" x14ac:dyDescent="0.25">
      <c r="A23">
        <v>2511</v>
      </c>
      <c r="B23">
        <v>1.278</v>
      </c>
      <c r="C23">
        <v>562</v>
      </c>
      <c r="D23">
        <v>0.92803077843845605</v>
      </c>
      <c r="E23">
        <v>37.9</v>
      </c>
      <c r="F23">
        <f t="shared" si="8"/>
        <v>0.83530106257378978</v>
      </c>
      <c r="G23">
        <v>160</v>
      </c>
      <c r="H23" s="16"/>
      <c r="I23">
        <f t="shared" si="6"/>
        <v>0.16126795187151638</v>
      </c>
      <c r="J23" s="8">
        <f t="shared" si="0"/>
        <v>790.02972846280181</v>
      </c>
      <c r="L23" s="8">
        <f t="shared" si="1"/>
        <v>1.1751794405572134</v>
      </c>
      <c r="M23" s="8">
        <f t="shared" si="2"/>
        <v>718.60238729785635</v>
      </c>
      <c r="O23" s="8">
        <f t="shared" si="3"/>
        <v>0.8167111069978068</v>
      </c>
      <c r="P23" s="8">
        <f t="shared" si="4"/>
        <v>680.56439670310635</v>
      </c>
      <c r="S23" s="8">
        <f t="shared" si="5"/>
        <v>4627453178.9576855</v>
      </c>
      <c r="U23" s="8">
        <f t="shared" si="7"/>
        <v>965.79535367208439</v>
      </c>
    </row>
    <row r="24" spans="1:21" x14ac:dyDescent="0.25">
      <c r="A24">
        <v>5503</v>
      </c>
      <c r="B24">
        <v>1.7304999999999999</v>
      </c>
      <c r="C24">
        <v>1314.9</v>
      </c>
      <c r="D24">
        <v>0.73741363954113825</v>
      </c>
      <c r="E24">
        <v>35.9</v>
      </c>
      <c r="F24">
        <f t="shared" si="8"/>
        <v>0.84528076463560331</v>
      </c>
      <c r="G24">
        <v>204</v>
      </c>
      <c r="H24" s="16"/>
      <c r="I24">
        <f t="shared" si="6"/>
        <v>0.12272883746062137</v>
      </c>
      <c r="J24" s="8">
        <f t="shared" si="0"/>
        <v>1297.3172980938521</v>
      </c>
      <c r="L24" s="8">
        <f t="shared" si="1"/>
        <v>1.5443896528316663</v>
      </c>
      <c r="M24" s="8">
        <f t="shared" si="2"/>
        <v>1439.884900128211</v>
      </c>
      <c r="O24" s="8">
        <f t="shared" si="3"/>
        <v>0.65362677459244056</v>
      </c>
      <c r="P24" s="8">
        <f t="shared" si="4"/>
        <v>1167.5205418254043</v>
      </c>
      <c r="S24" s="8">
        <f t="shared" si="5"/>
        <v>8586507644.716218</v>
      </c>
      <c r="U24" s="8">
        <f t="shared" si="7"/>
        <v>1065.3482218976505</v>
      </c>
    </row>
    <row r="25" spans="1:21" x14ac:dyDescent="0.25">
      <c r="A25">
        <v>2271</v>
      </c>
      <c r="B25">
        <v>1.224</v>
      </c>
      <c r="C25">
        <v>465.5</v>
      </c>
      <c r="D25">
        <v>0.72661769747663696</v>
      </c>
      <c r="E25">
        <v>38.200000000000003</v>
      </c>
      <c r="F25">
        <f t="shared" si="8"/>
        <v>0.83382439599292879</v>
      </c>
      <c r="G25">
        <v>191</v>
      </c>
      <c r="H25" s="16"/>
      <c r="I25">
        <f t="shared" si="6"/>
        <v>0.14905032155538367</v>
      </c>
      <c r="J25" s="8">
        <f t="shared" si="0"/>
        <v>471.46169676609605</v>
      </c>
      <c r="L25" s="8">
        <f t="shared" si="1"/>
        <v>1.1335116694449483</v>
      </c>
      <c r="M25" s="8">
        <f t="shared" si="2"/>
        <v>486.52624084801204</v>
      </c>
      <c r="O25" s="8">
        <f t="shared" si="3"/>
        <v>0.63876812342048161</v>
      </c>
      <c r="P25" s="8">
        <f t="shared" si="4"/>
        <v>445.56814896471008</v>
      </c>
      <c r="S25" s="8">
        <f t="shared" si="5"/>
        <v>3649268076.6635141</v>
      </c>
      <c r="U25" s="8">
        <f t="shared" si="7"/>
        <v>687.71499403961866</v>
      </c>
    </row>
    <row r="26" spans="1:21" x14ac:dyDescent="0.25">
      <c r="A26">
        <v>3303</v>
      </c>
      <c r="B26">
        <v>1.143</v>
      </c>
      <c r="C26">
        <v>752</v>
      </c>
      <c r="D26">
        <v>0.7926951382973586</v>
      </c>
      <c r="E26">
        <v>32</v>
      </c>
      <c r="F26">
        <f t="shared" si="8"/>
        <v>0.86544342507645255</v>
      </c>
      <c r="G26">
        <v>210</v>
      </c>
      <c r="H26" s="16"/>
      <c r="I26">
        <f t="shared" si="6"/>
        <v>8.7638806851207743E-2</v>
      </c>
      <c r="J26" s="8">
        <f t="shared" si="0"/>
        <v>644.27222791896145</v>
      </c>
      <c r="L26" s="8">
        <f t="shared" si="1"/>
        <v>1.2944252413042758</v>
      </c>
      <c r="M26" s="8">
        <f t="shared" si="2"/>
        <v>661.00407327042581</v>
      </c>
      <c r="O26" s="8">
        <f t="shared" si="3"/>
        <v>0.712411601080567</v>
      </c>
      <c r="P26" s="8">
        <f t="shared" si="4"/>
        <v>597.09962248974557</v>
      </c>
      <c r="S26" s="8">
        <f t="shared" si="5"/>
        <v>4904776110.71313</v>
      </c>
      <c r="U26" s="8">
        <f t="shared" si="7"/>
        <v>542.69981437649517</v>
      </c>
    </row>
    <row r="27" spans="1:21" x14ac:dyDescent="0.25">
      <c r="A27">
        <v>1761</v>
      </c>
      <c r="B27">
        <v>1.113</v>
      </c>
      <c r="C27">
        <v>221</v>
      </c>
      <c r="D27">
        <v>0.75293986820479952</v>
      </c>
      <c r="E27">
        <v>25.3</v>
      </c>
      <c r="F27">
        <f t="shared" si="8"/>
        <v>0.90242346938775508</v>
      </c>
      <c r="G27">
        <v>146</v>
      </c>
      <c r="H27" s="16"/>
      <c r="I27">
        <f t="shared" si="6"/>
        <v>6.8242601982723194E-2</v>
      </c>
      <c r="J27" s="8">
        <f t="shared" si="0"/>
        <v>277.51734580985493</v>
      </c>
      <c r="L27" s="8">
        <f t="shared" si="1"/>
        <v>1.0322009507476713</v>
      </c>
      <c r="M27" s="8">
        <f t="shared" si="2"/>
        <v>243.28577160031216</v>
      </c>
      <c r="O27" s="8">
        <f t="shared" si="3"/>
        <v>0.69264905513053077</v>
      </c>
      <c r="P27" s="8">
        <f t="shared" si="4"/>
        <v>260.32860515065272</v>
      </c>
      <c r="S27" s="8">
        <f t="shared" si="5"/>
        <v>1793714199.8448961</v>
      </c>
      <c r="U27" s="8">
        <f t="shared" si="7"/>
        <v>193.26983505368659</v>
      </c>
    </row>
    <row r="28" spans="1:21" x14ac:dyDescent="0.25">
      <c r="A28">
        <v>3109</v>
      </c>
      <c r="B28">
        <v>1.5669999999999999</v>
      </c>
      <c r="C28">
        <v>964</v>
      </c>
      <c r="D28">
        <v>0.88258029928673554</v>
      </c>
      <c r="E28">
        <v>41.2</v>
      </c>
      <c r="F28">
        <f t="shared" si="8"/>
        <v>0.8193398957730168</v>
      </c>
      <c r="G28">
        <v>190</v>
      </c>
      <c r="H28" s="16"/>
      <c r="I28">
        <f t="shared" si="6"/>
        <v>0.17635799278560366</v>
      </c>
      <c r="J28" s="8">
        <f t="shared" si="0"/>
        <v>998.03937233638521</v>
      </c>
      <c r="L28" s="8">
        <f t="shared" si="1"/>
        <v>1.2673413426669389</v>
      </c>
      <c r="M28" s="8">
        <f t="shared" si="2"/>
        <v>945.8855790055693</v>
      </c>
      <c r="O28" s="8">
        <f t="shared" si="3"/>
        <v>0.76749449134534431</v>
      </c>
      <c r="P28" s="8">
        <f t="shared" si="4"/>
        <v>869.80262139980869</v>
      </c>
      <c r="S28" s="8">
        <f t="shared" si="5"/>
        <v>6277426907.9830246</v>
      </c>
      <c r="U28" s="8">
        <f t="shared" si="7"/>
        <v>1390.7499313368714</v>
      </c>
    </row>
    <row r="29" spans="1:21" x14ac:dyDescent="0.25">
      <c r="A29">
        <v>132.51</v>
      </c>
      <c r="B29">
        <v>1.034</v>
      </c>
      <c r="C29">
        <v>10</v>
      </c>
      <c r="D29">
        <v>0.8521680369045489</v>
      </c>
      <c r="E29">
        <v>19</v>
      </c>
      <c r="F29">
        <f t="shared" si="8"/>
        <v>0.94019933554817281</v>
      </c>
      <c r="G29">
        <v>135.79</v>
      </c>
      <c r="H29" s="16"/>
      <c r="I29">
        <f t="shared" si="6"/>
        <v>3.1695752120653467E-2</v>
      </c>
      <c r="J29" s="8">
        <f t="shared" si="0"/>
        <v>81.615872718551032</v>
      </c>
      <c r="L29" s="8">
        <f t="shared" si="1"/>
        <v>0.21146685200500093</v>
      </c>
      <c r="M29" s="8">
        <f t="shared" si="2"/>
        <v>19.49725618784915</v>
      </c>
      <c r="O29" s="8">
        <f t="shared" si="3"/>
        <v>0.80092331182800536</v>
      </c>
      <c r="P29" s="8">
        <f t="shared" si="4"/>
        <v>13.793551417811454</v>
      </c>
      <c r="S29" s="8">
        <f t="shared" si="5"/>
        <v>109511080.86304337</v>
      </c>
      <c r="U29" s="8">
        <f t="shared" si="7"/>
        <v>20.323115554215327</v>
      </c>
    </row>
    <row r="30" spans="1:21" x14ac:dyDescent="0.25">
      <c r="A30">
        <v>138.29</v>
      </c>
      <c r="B30">
        <v>1.0389999999999999</v>
      </c>
      <c r="C30">
        <v>11</v>
      </c>
      <c r="D30">
        <v>0.90914436110458996</v>
      </c>
      <c r="E30">
        <v>21.8</v>
      </c>
      <c r="F30">
        <f t="shared" si="8"/>
        <v>0.92302674494455306</v>
      </c>
      <c r="G30">
        <v>139.69999999999999</v>
      </c>
      <c r="H30" s="16"/>
      <c r="I30">
        <f t="shared" si="6"/>
        <v>4.7446737500860238E-2</v>
      </c>
      <c r="J30" s="8">
        <f t="shared" si="0"/>
        <v>96.156813521692754</v>
      </c>
      <c r="L30" s="8">
        <f t="shared" si="1"/>
        <v>0.22295910671541197</v>
      </c>
      <c r="M30" s="8">
        <f t="shared" si="2"/>
        <v>25.230580057171583</v>
      </c>
      <c r="O30" s="8">
        <f t="shared" si="3"/>
        <v>0.84641661703722926</v>
      </c>
      <c r="P30" s="8">
        <f t="shared" si="4"/>
        <v>17.131172773532207</v>
      </c>
      <c r="S30" s="8">
        <f t="shared" si="5"/>
        <v>138934527.44213748</v>
      </c>
      <c r="U30" s="8">
        <f t="shared" si="7"/>
        <v>28.649765848604929</v>
      </c>
    </row>
    <row r="31" spans="1:21" x14ac:dyDescent="0.25">
      <c r="A31">
        <v>2908</v>
      </c>
      <c r="B31">
        <v>1.2889999999999999</v>
      </c>
      <c r="C31">
        <v>529</v>
      </c>
      <c r="D31">
        <v>0.65</v>
      </c>
      <c r="E31">
        <v>36.700000000000003</v>
      </c>
      <c r="F31">
        <f t="shared" si="8"/>
        <v>0.84126040428061832</v>
      </c>
      <c r="G31">
        <v>207</v>
      </c>
      <c r="H31" s="16"/>
      <c r="I31">
        <f t="shared" si="6"/>
        <v>0.12801347928547491</v>
      </c>
      <c r="J31" s="8">
        <f t="shared" si="0"/>
        <v>486.30386717304333</v>
      </c>
      <c r="L31" s="8">
        <f t="shared" si="1"/>
        <v>1.2379527464947337</v>
      </c>
      <c r="M31" s="8">
        <f t="shared" si="2"/>
        <v>547.33863288421571</v>
      </c>
      <c r="O31" s="8">
        <f t="shared" si="3"/>
        <v>0.57449951407153776</v>
      </c>
      <c r="P31" s="8">
        <f t="shared" si="4"/>
        <v>492.4347637374434</v>
      </c>
      <c r="S31" s="8">
        <f t="shared" si="5"/>
        <v>4213063041.464107</v>
      </c>
      <c r="U31" s="8">
        <f t="shared" si="7"/>
        <v>627.27047766134774</v>
      </c>
    </row>
    <row r="32" spans="1:21" x14ac:dyDescent="0.25">
      <c r="A32">
        <v>2851</v>
      </c>
      <c r="B32">
        <v>1.379</v>
      </c>
      <c r="C32">
        <v>700</v>
      </c>
      <c r="D32">
        <v>0.65001356018585665</v>
      </c>
      <c r="E32">
        <v>40</v>
      </c>
      <c r="F32">
        <f t="shared" si="8"/>
        <v>0.82507288629737607</v>
      </c>
      <c r="G32">
        <v>185</v>
      </c>
      <c r="H32" s="16"/>
      <c r="I32">
        <f t="shared" si="6"/>
        <v>0.16795800331913047</v>
      </c>
      <c r="J32" s="8">
        <f t="shared" si="0"/>
        <v>557.26210638119016</v>
      </c>
      <c r="L32" s="8">
        <f t="shared" si="1"/>
        <v>1.2293482787080801</v>
      </c>
      <c r="M32" s="8">
        <f t="shared" si="2"/>
        <v>607.19560864307152</v>
      </c>
      <c r="O32" s="8">
        <f t="shared" si="3"/>
        <v>0.56772248551954452</v>
      </c>
      <c r="P32" s="8">
        <f t="shared" si="4"/>
        <v>561.8308888219816</v>
      </c>
      <c r="S32" s="8">
        <f t="shared" si="5"/>
        <v>4353277782.2325745</v>
      </c>
      <c r="U32" s="8">
        <f t="shared" si="7"/>
        <v>866.97029488117425</v>
      </c>
    </row>
    <row r="33" spans="1:21" x14ac:dyDescent="0.25">
      <c r="A33">
        <v>2195</v>
      </c>
      <c r="B33">
        <v>1.18</v>
      </c>
      <c r="C33">
        <v>616.9</v>
      </c>
      <c r="D33">
        <v>0.67419223639400838</v>
      </c>
      <c r="E33">
        <v>38.200000000000003</v>
      </c>
      <c r="F33">
        <f t="shared" si="8"/>
        <v>0.83382439599292879</v>
      </c>
      <c r="G33">
        <v>168.1</v>
      </c>
      <c r="H33" s="16"/>
      <c r="I33">
        <f t="shared" si="6"/>
        <v>0.1601113537149203</v>
      </c>
      <c r="J33" s="8">
        <f t="shared" si="0"/>
        <v>425.89021166755418</v>
      </c>
      <c r="L33" s="8">
        <f t="shared" si="1"/>
        <v>1.1196165683418062</v>
      </c>
      <c r="M33" s="8">
        <f t="shared" si="2"/>
        <v>445.90976354530176</v>
      </c>
      <c r="O33" s="8">
        <f t="shared" si="3"/>
        <v>0.59268100840594418</v>
      </c>
      <c r="P33" s="8">
        <f t="shared" si="4"/>
        <v>417.8883804620541</v>
      </c>
      <c r="S33" s="8">
        <f t="shared" si="5"/>
        <v>3207086348.4046545</v>
      </c>
      <c r="U33" s="8">
        <f t="shared" si="7"/>
        <v>644.94176045303129</v>
      </c>
    </row>
    <row r="34" spans="1:21" x14ac:dyDescent="0.25">
      <c r="A34">
        <v>1965.7</v>
      </c>
      <c r="B34">
        <v>1.17</v>
      </c>
      <c r="C34">
        <v>342</v>
      </c>
      <c r="D34">
        <v>0.82411841711059508</v>
      </c>
      <c r="E34">
        <v>26.8</v>
      </c>
      <c r="F34">
        <v>0.89387239418825004</v>
      </c>
      <c r="G34">
        <v>135</v>
      </c>
      <c r="H34" s="16"/>
      <c r="I34">
        <f t="shared" si="6"/>
        <v>8.3744543947933736E-2</v>
      </c>
      <c r="J34" s="8">
        <f t="shared" si="0"/>
        <v>375.65981171639191</v>
      </c>
      <c r="L34" s="8">
        <f t="shared" si="1"/>
        <v>1.0753085986627782</v>
      </c>
      <c r="M34" s="8">
        <f t="shared" si="2"/>
        <v>327.84079381683847</v>
      </c>
      <c r="O34" s="8">
        <f t="shared" si="3"/>
        <v>0.75421559013180128</v>
      </c>
      <c r="P34" s="8">
        <f t="shared" si="4"/>
        <v>347.95564615722492</v>
      </c>
      <c r="S34" s="8">
        <f t="shared" si="5"/>
        <v>2237023114.3051634</v>
      </c>
      <c r="U34" s="8">
        <f t="shared" si="7"/>
        <v>267.90231070472652</v>
      </c>
    </row>
    <row r="35" spans="1:21" x14ac:dyDescent="0.25">
      <c r="A35">
        <v>2723</v>
      </c>
      <c r="B35">
        <v>1.446</v>
      </c>
      <c r="C35">
        <v>816</v>
      </c>
      <c r="D35">
        <v>0.88304691053831885</v>
      </c>
      <c r="E35">
        <v>39.700000000000003</v>
      </c>
      <c r="F35">
        <v>0.8265186915887851</v>
      </c>
      <c r="G35">
        <v>180</v>
      </c>
      <c r="H35" s="16"/>
      <c r="I35">
        <f t="shared" si="6"/>
        <v>0.16770193248882559</v>
      </c>
      <c r="J35" s="8">
        <f t="shared" si="0"/>
        <v>826.11584323029524</v>
      </c>
      <c r="L35" s="8">
        <f t="shared" si="1"/>
        <v>1.2095518427846721</v>
      </c>
      <c r="M35" s="8">
        <f t="shared" si="2"/>
        <v>777.45445965674378</v>
      </c>
      <c r="O35" s="8">
        <f t="shared" si="3"/>
        <v>0.77209249039672023</v>
      </c>
      <c r="P35" s="8">
        <f t="shared" si="4"/>
        <v>723.80604561529071</v>
      </c>
      <c r="S35" s="8">
        <f t="shared" si="5"/>
        <v>5217543276.0983038</v>
      </c>
      <c r="U35" s="8">
        <f t="shared" si="7"/>
        <v>1116.1416294332123</v>
      </c>
    </row>
    <row r="36" spans="1:21" x14ac:dyDescent="0.25">
      <c r="A36">
        <v>1574</v>
      </c>
      <c r="B36">
        <v>1.1060000000000001</v>
      </c>
      <c r="C36">
        <v>150.1</v>
      </c>
      <c r="D36">
        <v>0.89837818770730016</v>
      </c>
      <c r="E36">
        <v>20.6</v>
      </c>
      <c r="F36">
        <f>141.5/(E36+131.5)</f>
        <v>0.93030900723208421</v>
      </c>
      <c r="G36">
        <v>156</v>
      </c>
      <c r="H36" s="16"/>
      <c r="I36">
        <f t="shared" si="6"/>
        <v>3.2510532223960879E-2</v>
      </c>
      <c r="J36" s="8">
        <f t="shared" si="0"/>
        <v>280.22302769474931</v>
      </c>
      <c r="L36" s="8">
        <f t="shared" si="1"/>
        <v>0.98920343480488482</v>
      </c>
      <c r="M36" s="8">
        <f t="shared" si="2"/>
        <v>197.64268178371324</v>
      </c>
      <c r="O36" s="8">
        <f t="shared" si="3"/>
        <v>0.83980528524574871</v>
      </c>
      <c r="P36" s="8">
        <f t="shared" si="4"/>
        <v>225.45161731905625</v>
      </c>
      <c r="S36" s="8">
        <f t="shared" si="5"/>
        <v>1525714115.0614717</v>
      </c>
      <c r="U36" s="8">
        <f t="shared" si="7"/>
        <v>135.61485895999922</v>
      </c>
    </row>
    <row r="37" spans="1:21" x14ac:dyDescent="0.25">
      <c r="A37">
        <v>2919</v>
      </c>
      <c r="B37">
        <v>1.34</v>
      </c>
      <c r="C37">
        <v>689</v>
      </c>
      <c r="D37">
        <v>0.66528519740074887</v>
      </c>
      <c r="E37">
        <v>36.6</v>
      </c>
      <c r="F37">
        <f>141.5/(E37+131.5)</f>
        <v>0.84176085663295663</v>
      </c>
      <c r="G37">
        <v>176</v>
      </c>
      <c r="H37" s="16"/>
      <c r="I37">
        <f t="shared" si="6"/>
        <v>0.14251154182238535</v>
      </c>
      <c r="J37" s="8">
        <f t="shared" si="0"/>
        <v>535.41579567796521</v>
      </c>
      <c r="L37" s="8">
        <f t="shared" si="1"/>
        <v>1.239598931750433</v>
      </c>
      <c r="M37" s="8">
        <f t="shared" si="2"/>
        <v>580.4746810016552</v>
      </c>
      <c r="O37" s="8">
        <f t="shared" si="3"/>
        <v>0.58821982670015938</v>
      </c>
      <c r="P37" s="8">
        <f t="shared" si="4"/>
        <v>537.9739584868953</v>
      </c>
      <c r="S37" s="8">
        <f t="shared" si="5"/>
        <v>4096024464.5661879</v>
      </c>
      <c r="U37" s="8">
        <f t="shared" si="7"/>
        <v>669.56036353386207</v>
      </c>
    </row>
    <row r="38" spans="1:21" x14ac:dyDescent="0.25">
      <c r="A38">
        <v>139.83000000000001</v>
      </c>
      <c r="B38">
        <v>1.038</v>
      </c>
      <c r="C38">
        <v>11</v>
      </c>
      <c r="D38">
        <v>0.81471004834381855</v>
      </c>
      <c r="E38">
        <v>20.100000000000001</v>
      </c>
      <c r="F38">
        <f>141.5/(E38+131.5)</f>
        <v>0.9333773087071241</v>
      </c>
      <c r="G38">
        <v>137.6</v>
      </c>
      <c r="H38" s="16"/>
      <c r="I38">
        <f t="shared" si="6"/>
        <v>3.7611702413632403E-2</v>
      </c>
      <c r="J38" s="8">
        <f t="shared" si="0"/>
        <v>78.902985748639225</v>
      </c>
      <c r="L38" s="8">
        <f t="shared" si="1"/>
        <v>0.22594815217910869</v>
      </c>
      <c r="M38" s="8">
        <f t="shared" si="2"/>
        <v>20.730546062650475</v>
      </c>
      <c r="O38" s="8">
        <f t="shared" si="3"/>
        <v>0.76288145093156701</v>
      </c>
      <c r="P38" s="8">
        <f t="shared" si="4"/>
        <v>14.573597680218583</v>
      </c>
      <c r="S38" s="8">
        <f t="shared" si="5"/>
        <v>118346954.64378144</v>
      </c>
      <c r="U38" s="8">
        <f t="shared" si="7"/>
        <v>22.180812538004758</v>
      </c>
    </row>
    <row r="39" spans="1:21" x14ac:dyDescent="0.25">
      <c r="A39">
        <v>2706</v>
      </c>
      <c r="B39">
        <v>1.5469999999999999</v>
      </c>
      <c r="C39">
        <v>981</v>
      </c>
      <c r="D39">
        <v>0.82462795150109558</v>
      </c>
      <c r="E39">
        <v>43.7</v>
      </c>
      <c r="F39">
        <f>141.5/(E39+131.5)</f>
        <v>0.80764840182648412</v>
      </c>
      <c r="G39">
        <v>179</v>
      </c>
      <c r="H39" s="16"/>
      <c r="I39">
        <f t="shared" si="6"/>
        <v>0.20489803839317475</v>
      </c>
      <c r="J39" s="8">
        <f t="shared" si="0"/>
        <v>860.79581474155725</v>
      </c>
      <c r="L39" s="8">
        <f t="shared" si="1"/>
        <v>1.2068709415999155</v>
      </c>
      <c r="M39" s="8">
        <f t="shared" si="2"/>
        <v>810.40852792130988</v>
      </c>
      <c r="O39" s="8">
        <f t="shared" si="3"/>
        <v>0.71057413708816131</v>
      </c>
      <c r="P39" s="8">
        <f t="shared" si="4"/>
        <v>769.73864315452397</v>
      </c>
      <c r="S39" s="8">
        <f t="shared" si="5"/>
        <v>5398024782.2929745</v>
      </c>
      <c r="U39" s="8">
        <f t="shared" si="7"/>
        <v>1501.856181600627</v>
      </c>
    </row>
    <row r="40" spans="1:21" x14ac:dyDescent="0.25">
      <c r="A40">
        <v>2316</v>
      </c>
      <c r="B40">
        <v>1.37</v>
      </c>
      <c r="C40">
        <v>620</v>
      </c>
      <c r="D40">
        <v>0.75680139949130487</v>
      </c>
      <c r="E40">
        <v>36.200000000000003</v>
      </c>
      <c r="F40">
        <f>141.5/(E40+131.5)</f>
        <v>0.8437686344663089</v>
      </c>
      <c r="G40">
        <v>176</v>
      </c>
      <c r="H40" s="16"/>
      <c r="I40">
        <f t="shared" si="6"/>
        <v>0.13910021191700384</v>
      </c>
      <c r="J40" s="8">
        <f t="shared" si="0"/>
        <v>491.17222416570422</v>
      </c>
      <c r="L40" s="8">
        <f t="shared" si="1"/>
        <v>1.1415717501412028</v>
      </c>
      <c r="M40" s="8">
        <f t="shared" si="2"/>
        <v>494.12935544272312</v>
      </c>
      <c r="O40" s="8">
        <f t="shared" si="3"/>
        <v>0.67009306926501255</v>
      </c>
      <c r="P40" s="8">
        <f t="shared" si="4"/>
        <v>458.70947302686557</v>
      </c>
      <c r="S40" s="8">
        <f t="shared" si="5"/>
        <v>3558282906.841733</v>
      </c>
      <c r="U40" s="8">
        <f t="shared" si="7"/>
        <v>618.81490804219027</v>
      </c>
    </row>
    <row r="41" spans="1:21" x14ac:dyDescent="0.25">
      <c r="A41">
        <v>2155</v>
      </c>
      <c r="B41">
        <v>1.2190000000000001</v>
      </c>
      <c r="C41">
        <v>324</v>
      </c>
      <c r="D41">
        <v>0.79530577401303026</v>
      </c>
      <c r="E41">
        <v>34.700000000000003</v>
      </c>
      <c r="F41">
        <v>0.85138387484957889</v>
      </c>
      <c r="G41">
        <v>224</v>
      </c>
      <c r="H41" s="16"/>
      <c r="I41">
        <f t="shared" si="6"/>
        <v>0.10231594416152447</v>
      </c>
      <c r="J41" s="8">
        <f t="shared" si="0"/>
        <v>422.31042482521315</v>
      </c>
      <c r="L41" s="8">
        <f t="shared" si="1"/>
        <v>1.1121541211463808</v>
      </c>
      <c r="M41" s="8">
        <f t="shared" si="2"/>
        <v>431.50813935052969</v>
      </c>
      <c r="O41" s="8">
        <f t="shared" si="3"/>
        <v>0.70796160120777196</v>
      </c>
      <c r="P41" s="8">
        <f t="shared" si="4"/>
        <v>383.72606712644654</v>
      </c>
      <c r="S41" s="8">
        <f t="shared" si="5"/>
        <v>3549712709.0678153</v>
      </c>
      <c r="U41" s="8">
        <f t="shared" si="7"/>
        <v>498.30631705457273</v>
      </c>
    </row>
    <row r="42" spans="1:21" x14ac:dyDescent="0.25">
      <c r="A42">
        <v>5921</v>
      </c>
      <c r="B42">
        <v>1.7927</v>
      </c>
      <c r="C42">
        <v>1529</v>
      </c>
      <c r="D42">
        <v>0.65</v>
      </c>
      <c r="E42">
        <v>32</v>
      </c>
      <c r="F42">
        <f t="shared" ref="F42:F45" si="9">141.5/(E42+131.5)</f>
        <v>0.86544342507645255</v>
      </c>
      <c r="G42">
        <v>212</v>
      </c>
      <c r="H42" s="16"/>
      <c r="I42">
        <f t="shared" si="6"/>
        <v>8.6609665805733524E-2</v>
      </c>
      <c r="J42" s="8">
        <f t="shared" si="0"/>
        <v>1034.3811550852195</v>
      </c>
      <c r="L42" s="8">
        <f t="shared" si="1"/>
        <v>1.5841670940053221</v>
      </c>
      <c r="M42" s="8">
        <f t="shared" si="2"/>
        <v>1225.2429822594665</v>
      </c>
      <c r="O42" s="8">
        <f t="shared" si="3"/>
        <v>0.58416851363185862</v>
      </c>
      <c r="P42" s="8">
        <f t="shared" si="4"/>
        <v>975.5878288060253</v>
      </c>
      <c r="S42" s="8">
        <f t="shared" si="5"/>
        <v>7543274121.5013723</v>
      </c>
      <c r="U42" s="8">
        <f t="shared" si="7"/>
        <v>683.75335568444802</v>
      </c>
    </row>
    <row r="43" spans="1:21" x14ac:dyDescent="0.25">
      <c r="A43">
        <v>2820</v>
      </c>
      <c r="B43">
        <v>1.5649999999999999</v>
      </c>
      <c r="C43">
        <v>1127</v>
      </c>
      <c r="D43">
        <v>0.90465372387492327</v>
      </c>
      <c r="E43">
        <v>45</v>
      </c>
      <c r="F43">
        <f t="shared" si="9"/>
        <v>0.80169971671388107</v>
      </c>
      <c r="G43">
        <v>180</v>
      </c>
      <c r="H43" s="16"/>
      <c r="I43">
        <f t="shared" si="6"/>
        <v>0.21675222023335641</v>
      </c>
      <c r="J43" s="8">
        <f t="shared" si="0"/>
        <v>1083.5764564655353</v>
      </c>
      <c r="L43" s="8">
        <f t="shared" si="1"/>
        <v>1.2246152392448695</v>
      </c>
      <c r="M43" s="8">
        <f t="shared" si="2"/>
        <v>967.37371998012964</v>
      </c>
      <c r="O43" s="8">
        <f t="shared" si="3"/>
        <v>0.7758094225238551</v>
      </c>
      <c r="P43" s="8">
        <f t="shared" si="4"/>
        <v>924.15413768998303</v>
      </c>
      <c r="S43" s="8">
        <f t="shared" si="5"/>
        <v>6243344625.5226088</v>
      </c>
      <c r="U43" s="8">
        <f t="shared" si="7"/>
        <v>1911.6304402514902</v>
      </c>
    </row>
    <row r="44" spans="1:21" x14ac:dyDescent="0.25">
      <c r="A44">
        <v>2809</v>
      </c>
      <c r="B44">
        <v>1.61</v>
      </c>
      <c r="C44">
        <v>1017</v>
      </c>
      <c r="D44">
        <v>0.81463766337291299</v>
      </c>
      <c r="E44">
        <v>43.5</v>
      </c>
      <c r="F44">
        <f t="shared" si="9"/>
        <v>0.80857142857142861</v>
      </c>
      <c r="G44">
        <v>184</v>
      </c>
      <c r="H44" s="16"/>
      <c r="I44">
        <f t="shared" si="6"/>
        <v>0.20059175020755826</v>
      </c>
      <c r="J44" s="8">
        <f t="shared" si="0"/>
        <v>867.72191114506234</v>
      </c>
      <c r="L44" s="8">
        <f t="shared" si="1"/>
        <v>1.2229265238110856</v>
      </c>
      <c r="M44" s="8">
        <f t="shared" si="2"/>
        <v>828.22813668729259</v>
      </c>
      <c r="O44" s="8">
        <f t="shared" si="3"/>
        <v>0.70248126154301294</v>
      </c>
      <c r="P44" s="8">
        <f t="shared" si="4"/>
        <v>779.62922092301687</v>
      </c>
      <c r="S44" s="8">
        <f t="shared" si="5"/>
        <v>5567853967.6479015</v>
      </c>
      <c r="U44" s="8">
        <f t="shared" si="7"/>
        <v>1485.7010718582985</v>
      </c>
    </row>
    <row r="45" spans="1:21" x14ac:dyDescent="0.25">
      <c r="A45">
        <v>3710</v>
      </c>
      <c r="B45">
        <v>3.1720000000000002</v>
      </c>
      <c r="C45">
        <v>3455</v>
      </c>
      <c r="D45">
        <v>0.71604703117305368</v>
      </c>
      <c r="E45">
        <v>44.2</v>
      </c>
      <c r="F45">
        <f t="shared" si="9"/>
        <v>0.80535002845759818</v>
      </c>
      <c r="G45">
        <v>216</v>
      </c>
      <c r="H45" s="16"/>
      <c r="I45">
        <f t="shared" si="6"/>
        <v>0.19107333314860925</v>
      </c>
      <c r="J45" s="8">
        <f t="shared" si="0"/>
        <v>968.71227949434626</v>
      </c>
      <c r="L45" s="8">
        <f t="shared" si="1"/>
        <v>1.3477538338055968</v>
      </c>
      <c r="M45" s="8">
        <f t="shared" si="2"/>
        <v>1020.5342381815332</v>
      </c>
      <c r="O45" s="8">
        <f t="shared" si="3"/>
        <v>0.61587784538336743</v>
      </c>
      <c r="P45" s="8">
        <f t="shared" si="4"/>
        <v>903.05462807900813</v>
      </c>
      <c r="S45" s="8">
        <f t="shared" si="5"/>
        <v>7085299142.5059385</v>
      </c>
      <c r="U45" s="8">
        <f t="shared" si="7"/>
        <v>1627.7015391192135</v>
      </c>
    </row>
    <row r="46" spans="1:21" x14ac:dyDescent="0.25">
      <c r="A46" s="1"/>
      <c r="G46" s="12"/>
      <c r="H46" s="16"/>
    </row>
    <row r="47" spans="1:21" x14ac:dyDescent="0.25">
      <c r="A47" s="1"/>
      <c r="C47" s="1"/>
      <c r="G47" s="12"/>
      <c r="H47" s="16"/>
    </row>
    <row r="48" spans="1:21" x14ac:dyDescent="0.25">
      <c r="A48" s="1"/>
      <c r="G48" s="12"/>
      <c r="H48" s="16"/>
    </row>
    <row r="49" spans="1:8" x14ac:dyDescent="0.25">
      <c r="A49" s="1"/>
      <c r="G49" s="12"/>
      <c r="H49" s="16"/>
    </row>
    <row r="50" spans="1:8" x14ac:dyDescent="0.25">
      <c r="A50" s="1"/>
      <c r="G50" s="12"/>
      <c r="H50" s="16"/>
    </row>
    <row r="51" spans="1:8" x14ac:dyDescent="0.25">
      <c r="A51" s="1"/>
      <c r="C51" s="1"/>
      <c r="G51" s="12"/>
      <c r="H51" s="16"/>
    </row>
    <row r="52" spans="1:8" x14ac:dyDescent="0.25">
      <c r="A52" s="1"/>
      <c r="G52" s="12"/>
      <c r="H52" s="16"/>
    </row>
    <row r="53" spans="1:8" x14ac:dyDescent="0.25">
      <c r="A53" s="1"/>
      <c r="G53" s="12"/>
      <c r="H53" s="16"/>
    </row>
    <row r="54" spans="1:8" x14ac:dyDescent="0.25">
      <c r="A54" s="1"/>
      <c r="G54" s="12"/>
      <c r="H54" s="16"/>
    </row>
    <row r="55" spans="1:8" x14ac:dyDescent="0.25">
      <c r="A55" s="1"/>
      <c r="C55" s="1"/>
      <c r="G55" s="12"/>
      <c r="H55" s="16"/>
    </row>
    <row r="56" spans="1:8" x14ac:dyDescent="0.25">
      <c r="A56" s="1"/>
      <c r="G56" s="12"/>
      <c r="H56" s="16"/>
    </row>
    <row r="57" spans="1:8" x14ac:dyDescent="0.25">
      <c r="A57" s="1"/>
      <c r="C57" s="1"/>
      <c r="G57" s="12"/>
      <c r="H57" s="16"/>
    </row>
    <row r="58" spans="1:8" x14ac:dyDescent="0.25">
      <c r="A58" s="1"/>
      <c r="G58" s="12"/>
      <c r="H58" s="16"/>
    </row>
    <row r="59" spans="1:8" x14ac:dyDescent="0.25">
      <c r="A59" s="1"/>
      <c r="G59" s="12"/>
      <c r="H59" s="16"/>
    </row>
    <row r="60" spans="1:8" x14ac:dyDescent="0.25">
      <c r="A60" s="1"/>
      <c r="G60" s="12"/>
      <c r="H60" s="16"/>
    </row>
    <row r="61" spans="1:8" x14ac:dyDescent="0.25">
      <c r="A61" s="1"/>
      <c r="G61" s="12"/>
      <c r="H61" s="16"/>
    </row>
    <row r="62" spans="1:8" x14ac:dyDescent="0.25">
      <c r="A62" s="1"/>
      <c r="C62" s="1"/>
      <c r="G62" s="12"/>
      <c r="H62" s="16"/>
    </row>
    <row r="63" spans="1:8" x14ac:dyDescent="0.25">
      <c r="A63" s="1"/>
      <c r="C63" s="1"/>
      <c r="G63" s="12"/>
      <c r="H63" s="16"/>
    </row>
    <row r="64" spans="1:8" x14ac:dyDescent="0.25">
      <c r="A64" s="1"/>
      <c r="G64" s="12"/>
      <c r="H64" s="16"/>
    </row>
    <row r="65" spans="1:8" x14ac:dyDescent="0.25">
      <c r="A65" s="1"/>
      <c r="G65" s="12"/>
      <c r="H65" s="16"/>
    </row>
    <row r="66" spans="1:8" x14ac:dyDescent="0.25">
      <c r="A66" s="1"/>
      <c r="G66" s="12"/>
      <c r="H66" s="16"/>
    </row>
    <row r="67" spans="1:8" x14ac:dyDescent="0.25">
      <c r="A67" s="1"/>
      <c r="G67" s="12"/>
      <c r="H67" s="16"/>
    </row>
    <row r="68" spans="1:8" x14ac:dyDescent="0.25">
      <c r="A68" s="1"/>
      <c r="G68" s="12"/>
      <c r="H68" s="16"/>
    </row>
    <row r="69" spans="1:8" x14ac:dyDescent="0.25">
      <c r="A69" s="1"/>
      <c r="G69" s="12"/>
      <c r="H69" s="16"/>
    </row>
    <row r="70" spans="1:8" x14ac:dyDescent="0.25">
      <c r="A70" s="1"/>
      <c r="G70" s="12"/>
      <c r="H70" s="16"/>
    </row>
    <row r="71" spans="1:8" x14ac:dyDescent="0.25">
      <c r="A71" s="1"/>
      <c r="C71" s="1"/>
      <c r="G71" s="12"/>
      <c r="H71" s="16"/>
    </row>
    <row r="72" spans="1:8" x14ac:dyDescent="0.25">
      <c r="A72" s="1"/>
      <c r="G72" s="12"/>
      <c r="H72" s="16"/>
    </row>
    <row r="73" spans="1:8" x14ac:dyDescent="0.25">
      <c r="A73" s="1"/>
      <c r="G73" s="12"/>
      <c r="H73" s="16"/>
    </row>
    <row r="74" spans="1:8" x14ac:dyDescent="0.25">
      <c r="A74" s="1"/>
      <c r="G74" s="12"/>
      <c r="H74" s="16"/>
    </row>
    <row r="75" spans="1:8" x14ac:dyDescent="0.25">
      <c r="A75" s="1"/>
      <c r="G75" s="12"/>
      <c r="H75" s="16"/>
    </row>
    <row r="76" spans="1:8" x14ac:dyDescent="0.25">
      <c r="A76" s="1"/>
      <c r="G76" s="12"/>
      <c r="H76" s="16"/>
    </row>
    <row r="77" spans="1:8" x14ac:dyDescent="0.25">
      <c r="A77" s="1"/>
      <c r="G77" s="12"/>
      <c r="H77" s="16"/>
    </row>
    <row r="78" spans="1:8" x14ac:dyDescent="0.25">
      <c r="A78" s="1"/>
      <c r="G78" s="12"/>
      <c r="H78" s="16"/>
    </row>
    <row r="79" spans="1:8" x14ac:dyDescent="0.25">
      <c r="A79" s="1"/>
      <c r="G79" s="12"/>
      <c r="H79" s="16"/>
    </row>
    <row r="80" spans="1:8" x14ac:dyDescent="0.25">
      <c r="A80" s="1"/>
      <c r="G80" s="12"/>
      <c r="H80" s="16"/>
    </row>
    <row r="81" spans="1:8" x14ac:dyDescent="0.25">
      <c r="A81" s="1"/>
      <c r="G81" s="12"/>
      <c r="H81" s="16"/>
    </row>
    <row r="82" spans="1:8" x14ac:dyDescent="0.25">
      <c r="A82" s="1"/>
      <c r="G82" s="12"/>
      <c r="H82" s="16"/>
    </row>
    <row r="83" spans="1:8" x14ac:dyDescent="0.25">
      <c r="A83" s="1"/>
      <c r="G83" s="12"/>
      <c r="H83" s="16"/>
    </row>
    <row r="84" spans="1:8" x14ac:dyDescent="0.25">
      <c r="A84" s="1"/>
      <c r="G84" s="12"/>
      <c r="H84" s="16"/>
    </row>
    <row r="85" spans="1:8" x14ac:dyDescent="0.25">
      <c r="A85" s="1"/>
      <c r="G85" s="12"/>
      <c r="H85" s="16"/>
    </row>
    <row r="86" spans="1:8" x14ac:dyDescent="0.25">
      <c r="A86" s="1"/>
      <c r="G86" s="12"/>
      <c r="H86" s="16"/>
    </row>
    <row r="87" spans="1:8" x14ac:dyDescent="0.25">
      <c r="A87" s="1"/>
      <c r="G87" s="12"/>
      <c r="H87" s="16"/>
    </row>
    <row r="88" spans="1:8" x14ac:dyDescent="0.25">
      <c r="A88" s="1"/>
      <c r="C88" s="1"/>
      <c r="G88" s="12"/>
      <c r="H88" s="16"/>
    </row>
    <row r="89" spans="1:8" x14ac:dyDescent="0.25">
      <c r="A89" s="1"/>
      <c r="G89" s="12"/>
      <c r="H89" s="16"/>
    </row>
    <row r="90" spans="1:8" x14ac:dyDescent="0.25">
      <c r="A90" s="1"/>
      <c r="G90" s="12"/>
      <c r="H90" s="16"/>
    </row>
    <row r="91" spans="1:8" x14ac:dyDescent="0.25">
      <c r="A91" s="1"/>
      <c r="G91" s="12"/>
      <c r="H91" s="16"/>
    </row>
    <row r="92" spans="1:8" x14ac:dyDescent="0.25">
      <c r="A92" s="1"/>
      <c r="G92" s="12"/>
      <c r="H92" s="16"/>
    </row>
    <row r="93" spans="1:8" x14ac:dyDescent="0.25">
      <c r="A93" s="1"/>
      <c r="G93" s="12"/>
      <c r="H93" s="16"/>
    </row>
    <row r="94" spans="1:8" x14ac:dyDescent="0.25">
      <c r="A94" s="1"/>
      <c r="G94" s="12"/>
      <c r="H94" s="16"/>
    </row>
    <row r="95" spans="1:8" x14ac:dyDescent="0.25">
      <c r="A95" s="1"/>
      <c r="G95" s="12"/>
      <c r="H95" s="16"/>
    </row>
    <row r="96" spans="1:8" x14ac:dyDescent="0.25">
      <c r="A96" s="1"/>
      <c r="G96" s="12"/>
      <c r="H96" s="16"/>
    </row>
    <row r="97" spans="1:8" x14ac:dyDescent="0.25">
      <c r="A97" s="1"/>
      <c r="G97" s="12"/>
      <c r="H97" s="16"/>
    </row>
    <row r="98" spans="1:8" x14ac:dyDescent="0.25">
      <c r="A98" s="1"/>
      <c r="G98" s="12"/>
      <c r="H98" s="16"/>
    </row>
    <row r="99" spans="1:8" x14ac:dyDescent="0.25">
      <c r="A99" s="1"/>
      <c r="G99" s="12"/>
      <c r="H99" s="16"/>
    </row>
    <row r="100" spans="1:8" x14ac:dyDescent="0.25">
      <c r="A100" s="1"/>
      <c r="G100" s="12"/>
      <c r="H100" s="16"/>
    </row>
    <row r="101" spans="1:8" x14ac:dyDescent="0.25">
      <c r="A101" s="1"/>
      <c r="G101" s="12"/>
      <c r="H101" s="16"/>
    </row>
    <row r="102" spans="1:8" x14ac:dyDescent="0.25">
      <c r="A102" s="1"/>
      <c r="G102" s="12"/>
      <c r="H102" s="16"/>
    </row>
    <row r="103" spans="1:8" x14ac:dyDescent="0.25">
      <c r="A103" s="1"/>
      <c r="G103" s="12"/>
      <c r="H103" s="16"/>
    </row>
    <row r="104" spans="1:8" x14ac:dyDescent="0.25">
      <c r="A104" s="1"/>
      <c r="G104" s="12"/>
      <c r="H104" s="16"/>
    </row>
    <row r="105" spans="1:8" x14ac:dyDescent="0.25">
      <c r="A105" s="1"/>
      <c r="G105" s="12"/>
      <c r="H105" s="16"/>
    </row>
    <row r="106" spans="1:8" x14ac:dyDescent="0.25">
      <c r="A106" s="1"/>
      <c r="G106" s="12"/>
      <c r="H106" s="16"/>
    </row>
    <row r="107" spans="1:8" x14ac:dyDescent="0.25">
      <c r="A107" s="1"/>
      <c r="G107" s="12"/>
      <c r="H107" s="16"/>
    </row>
    <row r="108" spans="1:8" x14ac:dyDescent="0.25">
      <c r="A108" s="1"/>
      <c r="G108" s="12"/>
      <c r="H108" s="16"/>
    </row>
    <row r="109" spans="1:8" x14ac:dyDescent="0.25">
      <c r="A109" s="1"/>
      <c r="G109" s="12"/>
      <c r="H109" s="16"/>
    </row>
    <row r="110" spans="1:8" x14ac:dyDescent="0.25">
      <c r="A110" s="1"/>
      <c r="G110" s="12"/>
      <c r="H110" s="16"/>
    </row>
    <row r="111" spans="1:8" x14ac:dyDescent="0.25">
      <c r="A111" s="1"/>
      <c r="G111" s="12"/>
      <c r="H111" s="16"/>
    </row>
    <row r="112" spans="1:8" x14ac:dyDescent="0.25">
      <c r="A112" s="1"/>
      <c r="G112" s="12"/>
      <c r="H112" s="16"/>
    </row>
    <row r="113" spans="1:8" x14ac:dyDescent="0.25">
      <c r="A113" s="1"/>
      <c r="G113" s="12"/>
      <c r="H113" s="16"/>
    </row>
    <row r="114" spans="1:8" x14ac:dyDescent="0.25">
      <c r="A114" s="1"/>
      <c r="G114" s="12"/>
      <c r="H114" s="16"/>
    </row>
    <row r="115" spans="1:8" x14ac:dyDescent="0.25">
      <c r="A115" s="1"/>
      <c r="G115" s="12"/>
      <c r="H115" s="16"/>
    </row>
    <row r="116" spans="1:8" x14ac:dyDescent="0.25">
      <c r="G116" s="12"/>
      <c r="H116" s="16"/>
    </row>
    <row r="117" spans="1:8" x14ac:dyDescent="0.25">
      <c r="G117" s="12"/>
      <c r="H117" s="16"/>
    </row>
    <row r="118" spans="1:8" x14ac:dyDescent="0.25">
      <c r="G118" s="12"/>
      <c r="H118" s="16"/>
    </row>
    <row r="119" spans="1:8" x14ac:dyDescent="0.25">
      <c r="G119" s="12"/>
      <c r="H119" s="16"/>
    </row>
    <row r="120" spans="1:8" x14ac:dyDescent="0.25">
      <c r="G120" s="12"/>
      <c r="H120" s="16"/>
    </row>
    <row r="121" spans="1:8" x14ac:dyDescent="0.25">
      <c r="G121" s="12"/>
      <c r="H121" s="16"/>
    </row>
    <row r="122" spans="1:8" x14ac:dyDescent="0.25">
      <c r="G122" s="12"/>
      <c r="H122" s="16"/>
    </row>
    <row r="123" spans="1:8" x14ac:dyDescent="0.25">
      <c r="G123" s="12"/>
      <c r="H123" s="16"/>
    </row>
    <row r="124" spans="1:8" x14ac:dyDescent="0.25">
      <c r="G124" s="12"/>
      <c r="H124" s="16"/>
    </row>
    <row r="125" spans="1:8" x14ac:dyDescent="0.25">
      <c r="G125" s="12"/>
      <c r="H125" s="16"/>
    </row>
    <row r="126" spans="1:8" x14ac:dyDescent="0.25">
      <c r="G126" s="12"/>
      <c r="H126" s="16"/>
    </row>
    <row r="127" spans="1:8" x14ac:dyDescent="0.25">
      <c r="G127" s="12"/>
      <c r="H127" s="16"/>
    </row>
    <row r="128" spans="1:8" x14ac:dyDescent="0.25">
      <c r="G128" s="12"/>
      <c r="H128" s="16"/>
    </row>
    <row r="129" spans="7:8" x14ac:dyDescent="0.25">
      <c r="G129" s="12"/>
      <c r="H129" s="16"/>
    </row>
    <row r="130" spans="7:8" x14ac:dyDescent="0.25">
      <c r="G130" s="12"/>
      <c r="H130" s="16"/>
    </row>
    <row r="131" spans="7:8" x14ac:dyDescent="0.25">
      <c r="G131" s="12"/>
      <c r="H131" s="16"/>
    </row>
    <row r="132" spans="7:8" x14ac:dyDescent="0.25">
      <c r="G132" s="12"/>
      <c r="H132" s="16"/>
    </row>
    <row r="133" spans="7:8" x14ac:dyDescent="0.25">
      <c r="G133" s="12"/>
      <c r="H133" s="16"/>
    </row>
    <row r="134" spans="7:8" x14ac:dyDescent="0.25">
      <c r="G134" s="12"/>
      <c r="H134" s="16"/>
    </row>
    <row r="135" spans="7:8" x14ac:dyDescent="0.25">
      <c r="G135" s="12"/>
      <c r="H135" s="16"/>
    </row>
    <row r="136" spans="7:8" x14ac:dyDescent="0.25">
      <c r="G136" s="12"/>
      <c r="H136" s="16"/>
    </row>
    <row r="137" spans="7:8" x14ac:dyDescent="0.25">
      <c r="G137" s="12"/>
      <c r="H137" s="16"/>
    </row>
    <row r="138" spans="7:8" x14ac:dyDescent="0.25">
      <c r="G138" s="12"/>
      <c r="H138" s="16"/>
    </row>
    <row r="139" spans="7:8" x14ac:dyDescent="0.25">
      <c r="G139" s="12"/>
      <c r="H139" s="16"/>
    </row>
    <row r="140" spans="7:8" x14ac:dyDescent="0.25">
      <c r="G140" s="12"/>
      <c r="H140" s="16"/>
    </row>
    <row r="141" spans="7:8" x14ac:dyDescent="0.25">
      <c r="G141" s="12"/>
      <c r="H141" s="16"/>
    </row>
    <row r="142" spans="7:8" x14ac:dyDescent="0.25">
      <c r="G142" s="12"/>
      <c r="H142" s="16"/>
    </row>
    <row r="143" spans="7:8" x14ac:dyDescent="0.25">
      <c r="G143" s="12"/>
      <c r="H143" s="16"/>
    </row>
    <row r="144" spans="7:8" x14ac:dyDescent="0.25">
      <c r="G144" s="12"/>
      <c r="H144" s="16"/>
    </row>
    <row r="145" spans="7:8" x14ac:dyDescent="0.25">
      <c r="G145" s="12"/>
      <c r="H145" s="16"/>
    </row>
    <row r="146" spans="7:8" x14ac:dyDescent="0.25">
      <c r="G146" s="12"/>
      <c r="H146" s="16"/>
    </row>
    <row r="147" spans="7:8" x14ac:dyDescent="0.25">
      <c r="G147" s="12"/>
      <c r="H147" s="16"/>
    </row>
    <row r="148" spans="7:8" x14ac:dyDescent="0.25">
      <c r="G148" s="12"/>
      <c r="H148" s="16"/>
    </row>
    <row r="149" spans="7:8" x14ac:dyDescent="0.25">
      <c r="G149" s="12"/>
      <c r="H149" s="16"/>
    </row>
    <row r="150" spans="7:8" x14ac:dyDescent="0.25">
      <c r="G150" s="12"/>
      <c r="H150" s="16"/>
    </row>
    <row r="151" spans="7:8" x14ac:dyDescent="0.25">
      <c r="G151" s="12"/>
      <c r="H151" s="16"/>
    </row>
    <row r="152" spans="7:8" x14ac:dyDescent="0.25">
      <c r="G152" s="12"/>
      <c r="H152" s="16"/>
    </row>
    <row r="153" spans="7:8" x14ac:dyDescent="0.25">
      <c r="G153" s="12"/>
      <c r="H153" s="16"/>
    </row>
    <row r="154" spans="7:8" x14ac:dyDescent="0.25">
      <c r="G154" s="12"/>
      <c r="H154" s="16"/>
    </row>
    <row r="155" spans="7:8" x14ac:dyDescent="0.25">
      <c r="G155" s="12"/>
      <c r="H155" s="16"/>
    </row>
    <row r="156" spans="7:8" x14ac:dyDescent="0.25">
      <c r="G156" s="12"/>
      <c r="H156" s="16"/>
    </row>
    <row r="157" spans="7:8" x14ac:dyDescent="0.25">
      <c r="G157" s="12"/>
      <c r="H157" s="16"/>
    </row>
    <row r="158" spans="7:8" x14ac:dyDescent="0.25">
      <c r="G158" s="12"/>
      <c r="H158" s="16"/>
    </row>
    <row r="159" spans="7:8" x14ac:dyDescent="0.25">
      <c r="G159" s="12"/>
      <c r="H159" s="16"/>
    </row>
    <row r="160" spans="7:8" x14ac:dyDescent="0.25">
      <c r="G160" s="12"/>
      <c r="H160" s="16"/>
    </row>
    <row r="161" spans="4:8" x14ac:dyDescent="0.25">
      <c r="G161" s="12"/>
      <c r="H161" s="16"/>
    </row>
    <row r="162" spans="4:8" x14ac:dyDescent="0.25">
      <c r="G162" s="12"/>
      <c r="H162" s="16"/>
    </row>
    <row r="163" spans="4:8" x14ac:dyDescent="0.25">
      <c r="G163" s="12"/>
      <c r="H163" s="16"/>
    </row>
    <row r="164" spans="4:8" x14ac:dyDescent="0.25">
      <c r="G164" s="12"/>
      <c r="H164" s="16"/>
    </row>
    <row r="165" spans="4:8" x14ac:dyDescent="0.25">
      <c r="D165" s="2"/>
      <c r="G165" s="12"/>
      <c r="H165" s="16"/>
    </row>
    <row r="166" spans="4:8" x14ac:dyDescent="0.25">
      <c r="D166" s="2"/>
      <c r="G166" s="12"/>
      <c r="H166" s="16"/>
    </row>
    <row r="167" spans="4:8" x14ac:dyDescent="0.25">
      <c r="D167" s="2"/>
      <c r="G167" s="12"/>
      <c r="H167" s="16"/>
    </row>
    <row r="168" spans="4:8" x14ac:dyDescent="0.25">
      <c r="D168" s="2"/>
      <c r="G168" s="12"/>
      <c r="H168" s="16"/>
    </row>
    <row r="169" spans="4:8" x14ac:dyDescent="0.25">
      <c r="D169" s="2"/>
      <c r="G169" s="12"/>
      <c r="H169" s="16"/>
    </row>
    <row r="170" spans="4:8" x14ac:dyDescent="0.25">
      <c r="D170" s="2"/>
      <c r="G170" s="12"/>
      <c r="H170" s="16"/>
    </row>
    <row r="171" spans="4:8" x14ac:dyDescent="0.25">
      <c r="D171" s="2"/>
      <c r="G171" s="12"/>
      <c r="H171" s="16"/>
    </row>
    <row r="172" spans="4:8" x14ac:dyDescent="0.25">
      <c r="D172" s="2"/>
      <c r="G172" s="12"/>
      <c r="H172" s="16"/>
    </row>
    <row r="173" spans="4:8" x14ac:dyDescent="0.25">
      <c r="D173" s="2"/>
      <c r="G173" s="12"/>
      <c r="H173" s="16"/>
    </row>
    <row r="174" spans="4:8" x14ac:dyDescent="0.25">
      <c r="D174" s="2"/>
      <c r="G174" s="12"/>
      <c r="H174" s="16"/>
    </row>
    <row r="175" spans="4:8" x14ac:dyDescent="0.25">
      <c r="D175" s="2"/>
      <c r="G175" s="12"/>
      <c r="H175" s="16"/>
    </row>
    <row r="176" spans="4:8" x14ac:dyDescent="0.25">
      <c r="D176" s="2"/>
      <c r="G176" s="12"/>
      <c r="H176" s="16"/>
    </row>
    <row r="177" spans="4:8" x14ac:dyDescent="0.25">
      <c r="D177" s="2"/>
      <c r="G177" s="12"/>
      <c r="H177" s="16"/>
    </row>
    <row r="178" spans="4:8" x14ac:dyDescent="0.25">
      <c r="D178" s="2"/>
      <c r="G178" s="12"/>
      <c r="H178" s="16"/>
    </row>
    <row r="179" spans="4:8" x14ac:dyDescent="0.25">
      <c r="D179" s="2"/>
      <c r="G179" s="12"/>
      <c r="H179" s="16"/>
    </row>
    <row r="180" spans="4:8" x14ac:dyDescent="0.25">
      <c r="D180" s="2"/>
      <c r="G180" s="12"/>
      <c r="H180" s="16"/>
    </row>
    <row r="181" spans="4:8" x14ac:dyDescent="0.25">
      <c r="D181" s="2"/>
      <c r="G181" s="12"/>
      <c r="H181" s="16"/>
    </row>
    <row r="182" spans="4:8" x14ac:dyDescent="0.25">
      <c r="D182" s="2"/>
      <c r="G182" s="12"/>
      <c r="H182" s="16"/>
    </row>
    <row r="183" spans="4:8" x14ac:dyDescent="0.25">
      <c r="D183" s="2"/>
      <c r="G183" s="12"/>
      <c r="H183" s="16"/>
    </row>
    <row r="184" spans="4:8" x14ac:dyDescent="0.25">
      <c r="D184" s="2"/>
      <c r="G184" s="12"/>
      <c r="H184" s="16"/>
    </row>
    <row r="185" spans="4:8" x14ac:dyDescent="0.25">
      <c r="D185" s="2"/>
      <c r="G185" s="12"/>
      <c r="H185" s="16"/>
    </row>
    <row r="186" spans="4:8" x14ac:dyDescent="0.25">
      <c r="D186" s="2"/>
      <c r="G186" s="12"/>
      <c r="H186" s="16"/>
    </row>
    <row r="187" spans="4:8" x14ac:dyDescent="0.25">
      <c r="D187" s="2"/>
      <c r="G187" s="12"/>
      <c r="H187" s="16"/>
    </row>
    <row r="188" spans="4:8" x14ac:dyDescent="0.25">
      <c r="D188" s="2"/>
      <c r="G188" s="12"/>
      <c r="H188" s="16"/>
    </row>
    <row r="189" spans="4:8" x14ac:dyDescent="0.25">
      <c r="D189" s="2"/>
      <c r="G189" s="12"/>
      <c r="H189" s="16"/>
    </row>
    <row r="190" spans="4:8" x14ac:dyDescent="0.25">
      <c r="D190" s="2"/>
      <c r="G190" s="12"/>
      <c r="H190" s="16"/>
    </row>
    <row r="191" spans="4:8" x14ac:dyDescent="0.25">
      <c r="D191" s="2"/>
      <c r="G191" s="12"/>
      <c r="H191" s="16"/>
    </row>
    <row r="192" spans="4:8" x14ac:dyDescent="0.25">
      <c r="D192" s="2"/>
      <c r="G192" s="12"/>
      <c r="H192" s="16"/>
    </row>
    <row r="193" spans="2:8" x14ac:dyDescent="0.25">
      <c r="D193" s="2"/>
      <c r="G193" s="12"/>
      <c r="H193" s="16"/>
    </row>
    <row r="194" spans="2:8" x14ac:dyDescent="0.25">
      <c r="D194" s="2"/>
      <c r="G194" s="12"/>
      <c r="H194" s="16"/>
    </row>
    <row r="195" spans="2:8" x14ac:dyDescent="0.25">
      <c r="D195" s="2"/>
      <c r="G195" s="12"/>
      <c r="H195" s="16"/>
    </row>
    <row r="196" spans="2:8" x14ac:dyDescent="0.25">
      <c r="D196" s="2"/>
      <c r="G196" s="12"/>
      <c r="H196" s="16"/>
    </row>
    <row r="197" spans="2:8" x14ac:dyDescent="0.25">
      <c r="D197" s="2"/>
      <c r="G197" s="12"/>
      <c r="H197" s="16"/>
    </row>
    <row r="198" spans="2:8" x14ac:dyDescent="0.25">
      <c r="D198" s="2"/>
      <c r="G198" s="12"/>
      <c r="H198" s="16"/>
    </row>
    <row r="199" spans="2:8" x14ac:dyDescent="0.25">
      <c r="D199" s="2"/>
      <c r="G199" s="12"/>
      <c r="H199" s="16"/>
    </row>
    <row r="200" spans="2:8" x14ac:dyDescent="0.25">
      <c r="D200" s="2"/>
      <c r="G200" s="12"/>
      <c r="H200" s="16"/>
    </row>
    <row r="201" spans="2:8" x14ac:dyDescent="0.25">
      <c r="D201" s="2"/>
      <c r="G201" s="12"/>
      <c r="H201" s="16"/>
    </row>
    <row r="202" spans="2:8" x14ac:dyDescent="0.25">
      <c r="D202" s="2"/>
      <c r="G202" s="12"/>
      <c r="H202" s="16"/>
    </row>
    <row r="203" spans="2:8" x14ac:dyDescent="0.25">
      <c r="D203" s="2"/>
      <c r="G203" s="12"/>
      <c r="H203" s="16"/>
    </row>
    <row r="204" spans="2:8" x14ac:dyDescent="0.25">
      <c r="D204" s="2"/>
      <c r="F204" s="5"/>
      <c r="G204" s="12"/>
      <c r="H204" s="16"/>
    </row>
    <row r="205" spans="2:8" x14ac:dyDescent="0.25">
      <c r="B205" s="2"/>
      <c r="C205" s="3"/>
      <c r="D205" s="2"/>
      <c r="E205" s="2"/>
      <c r="F205" s="2"/>
      <c r="G205" s="14"/>
      <c r="H205" s="23"/>
    </row>
    <row r="206" spans="2:8" x14ac:dyDescent="0.25">
      <c r="B206" s="2"/>
      <c r="C206" s="2"/>
      <c r="D206" s="2"/>
      <c r="E206" s="2"/>
      <c r="F206" s="2"/>
      <c r="G206" s="14"/>
      <c r="H206" s="23"/>
    </row>
    <row r="207" spans="2:8" x14ac:dyDescent="0.25">
      <c r="B207" s="2"/>
      <c r="C207" s="3"/>
      <c r="D207" s="2"/>
      <c r="E207" s="2"/>
      <c r="F207" s="2"/>
      <c r="G207" s="14"/>
      <c r="H207" s="23"/>
    </row>
    <row r="208" spans="2:8" x14ac:dyDescent="0.25">
      <c r="B208" s="2"/>
      <c r="C208" s="2"/>
      <c r="D208" s="2"/>
      <c r="E208" s="2"/>
      <c r="F208" s="2"/>
      <c r="G208" s="14"/>
      <c r="H208" s="23"/>
    </row>
    <row r="209" spans="2:8" x14ac:dyDescent="0.25">
      <c r="B209" s="2"/>
      <c r="C209" s="3"/>
      <c r="D209" s="2"/>
      <c r="E209" s="2"/>
      <c r="F209" s="2"/>
      <c r="G209" s="14"/>
      <c r="H209" s="23"/>
    </row>
    <row r="210" spans="2:8" x14ac:dyDescent="0.25">
      <c r="B210" s="2"/>
      <c r="C210" s="2"/>
      <c r="D210" s="2"/>
      <c r="E210" s="2"/>
      <c r="F210" s="2"/>
      <c r="G210" s="14"/>
      <c r="H210" s="23"/>
    </row>
    <row r="211" spans="2:8" x14ac:dyDescent="0.25">
      <c r="B211" s="2"/>
      <c r="C211" s="3"/>
      <c r="D211" s="2"/>
      <c r="E211" s="2"/>
      <c r="F211" s="2"/>
      <c r="G211" s="14"/>
      <c r="H211" s="23"/>
    </row>
    <row r="212" spans="2:8" x14ac:dyDescent="0.25">
      <c r="B212" s="2"/>
      <c r="C212" s="3"/>
      <c r="D212" s="2"/>
      <c r="E212" s="2"/>
      <c r="F212" s="2"/>
      <c r="G212" s="14"/>
      <c r="H212" s="23"/>
    </row>
    <row r="213" spans="2:8" x14ac:dyDescent="0.25">
      <c r="B213" s="2"/>
      <c r="C213" s="3"/>
      <c r="D213" s="2"/>
      <c r="E213" s="2"/>
      <c r="F213" s="2"/>
      <c r="G213" s="14"/>
      <c r="H213" s="23"/>
    </row>
    <row r="214" spans="2:8" x14ac:dyDescent="0.25">
      <c r="B214" s="2"/>
      <c r="C214" s="3"/>
      <c r="D214" s="2"/>
      <c r="E214" s="2"/>
      <c r="F214" s="2"/>
      <c r="G214" s="14"/>
      <c r="H214" s="23"/>
    </row>
    <row r="215" spans="2:8" x14ac:dyDescent="0.25">
      <c r="B215" s="2"/>
      <c r="C215" s="3"/>
      <c r="D215" s="2"/>
      <c r="E215" s="2"/>
      <c r="F215" s="2"/>
      <c r="G215" s="14"/>
      <c r="H215" s="23"/>
    </row>
    <row r="216" spans="2:8" x14ac:dyDescent="0.25">
      <c r="B216" s="2"/>
      <c r="C216" s="2"/>
      <c r="D216" s="2"/>
      <c r="E216" s="2"/>
      <c r="F216" s="2"/>
      <c r="G216" s="14"/>
      <c r="H216" s="23"/>
    </row>
    <row r="217" spans="2:8" x14ac:dyDescent="0.25">
      <c r="B217" s="2"/>
      <c r="C217" s="2"/>
      <c r="D217" s="2"/>
      <c r="E217" s="2"/>
      <c r="F217" s="2"/>
      <c r="G217" s="14"/>
      <c r="H217" s="23"/>
    </row>
    <row r="218" spans="2:8" x14ac:dyDescent="0.25">
      <c r="B218" s="2"/>
      <c r="C218" s="2"/>
      <c r="D218" s="2"/>
      <c r="E218" s="2"/>
      <c r="F218" s="2"/>
      <c r="G218" s="14"/>
      <c r="H218" s="23"/>
    </row>
    <row r="219" spans="2:8" x14ac:dyDescent="0.25">
      <c r="B219" s="2"/>
      <c r="C219" s="2"/>
      <c r="D219" s="2"/>
      <c r="E219" s="2"/>
      <c r="F219" s="2"/>
      <c r="G219" s="14"/>
      <c r="H219" s="23"/>
    </row>
    <row r="220" spans="2:8" x14ac:dyDescent="0.25">
      <c r="B220" s="2"/>
      <c r="C220" s="2"/>
      <c r="D220" s="2"/>
      <c r="E220" s="2"/>
      <c r="F220" s="2"/>
      <c r="G220" s="14"/>
      <c r="H220" s="23"/>
    </row>
    <row r="221" spans="2:8" x14ac:dyDescent="0.25">
      <c r="B221" s="2"/>
      <c r="C221" s="2"/>
      <c r="D221" s="2"/>
      <c r="E221" s="2"/>
      <c r="F221" s="2"/>
      <c r="G221" s="14"/>
      <c r="H221" s="23"/>
    </row>
    <row r="222" spans="2:8" x14ac:dyDescent="0.25">
      <c r="B222" s="2"/>
      <c r="C222" s="3"/>
      <c r="D222" s="2"/>
      <c r="E222" s="2"/>
      <c r="F222" s="2"/>
      <c r="G222" s="14"/>
      <c r="H222" s="23"/>
    </row>
    <row r="223" spans="2:8" x14ac:dyDescent="0.25">
      <c r="B223" s="2"/>
      <c r="C223" s="2"/>
      <c r="D223" s="2"/>
      <c r="E223" s="2"/>
      <c r="F223" s="2"/>
      <c r="G223" s="14"/>
      <c r="H223" s="23"/>
    </row>
    <row r="224" spans="2:8" x14ac:dyDescent="0.25">
      <c r="B224" s="4"/>
      <c r="C224" s="3"/>
      <c r="D224" s="2"/>
      <c r="E224" s="2"/>
      <c r="F224" s="2"/>
      <c r="G224" s="14"/>
      <c r="H224" s="23"/>
    </row>
    <row r="225" spans="2:8" x14ac:dyDescent="0.25">
      <c r="B225" s="4"/>
      <c r="C225" s="3"/>
      <c r="D225" s="2"/>
      <c r="E225" s="2"/>
      <c r="F225" s="2"/>
      <c r="G225" s="14"/>
      <c r="H225" s="23"/>
    </row>
    <row r="226" spans="2:8" x14ac:dyDescent="0.25">
      <c r="B226" s="4"/>
      <c r="C226" s="2"/>
      <c r="D226" s="2"/>
      <c r="E226" s="2"/>
      <c r="F226" s="2"/>
      <c r="G226" s="14"/>
      <c r="H226" s="23"/>
    </row>
    <row r="227" spans="2:8" x14ac:dyDescent="0.25">
      <c r="B227" s="2"/>
      <c r="C227" s="3"/>
      <c r="D227" s="2"/>
      <c r="E227" s="2"/>
      <c r="F227" s="2"/>
      <c r="G227" s="14"/>
      <c r="H227" s="23"/>
    </row>
    <row r="228" spans="2:8" x14ac:dyDescent="0.25">
      <c r="B228" s="2"/>
      <c r="C228" s="3"/>
      <c r="D228" s="2"/>
      <c r="E228" s="2"/>
      <c r="F228" s="2"/>
      <c r="G228" s="14"/>
      <c r="H228" s="23"/>
    </row>
    <row r="229" spans="2:8" x14ac:dyDescent="0.25">
      <c r="B229" s="2"/>
      <c r="C229" s="3"/>
      <c r="D229" s="2"/>
      <c r="E229" s="2"/>
      <c r="F229" s="2"/>
      <c r="G229" s="14"/>
      <c r="H229" s="23"/>
    </row>
    <row r="230" spans="2:8" x14ac:dyDescent="0.25">
      <c r="B230" s="2"/>
      <c r="C230" s="3"/>
      <c r="D230" s="2"/>
      <c r="E230" s="2"/>
      <c r="F230" s="2"/>
      <c r="G230" s="14"/>
      <c r="H230" s="23"/>
    </row>
    <row r="231" spans="2:8" x14ac:dyDescent="0.25">
      <c r="B231" s="2"/>
      <c r="C231" s="2"/>
      <c r="D231" s="2"/>
      <c r="E231" s="2"/>
      <c r="F231" s="2"/>
      <c r="G231" s="14"/>
      <c r="H231" s="23"/>
    </row>
    <row r="232" spans="2:8" x14ac:dyDescent="0.25">
      <c r="B232" s="2"/>
      <c r="C232" s="2"/>
      <c r="D232" s="2"/>
      <c r="E232" s="2"/>
      <c r="F232" s="2"/>
      <c r="G232" s="14"/>
      <c r="H232" s="23"/>
    </row>
    <row r="233" spans="2:8" x14ac:dyDescent="0.25">
      <c r="B233" s="2"/>
      <c r="C233" s="2"/>
      <c r="D233" s="2"/>
      <c r="E233" s="2"/>
      <c r="F233" s="2"/>
      <c r="G233" s="14"/>
      <c r="H233" s="23"/>
    </row>
    <row r="234" spans="2:8" x14ac:dyDescent="0.25">
      <c r="B234" s="2"/>
      <c r="C234" s="2"/>
      <c r="D234" s="2"/>
      <c r="E234" s="2"/>
      <c r="F234" s="2"/>
      <c r="G234" s="14"/>
      <c r="H234" s="23"/>
    </row>
    <row r="235" spans="2:8" x14ac:dyDescent="0.25">
      <c r="B235" s="2"/>
      <c r="C235" s="2"/>
      <c r="D235" s="2"/>
      <c r="E235" s="2"/>
      <c r="F235" s="2"/>
      <c r="G235" s="14"/>
      <c r="H235" s="23"/>
    </row>
    <row r="236" spans="2:8" x14ac:dyDescent="0.25">
      <c r="B236" s="2"/>
      <c r="C236" s="3"/>
      <c r="D236" s="2"/>
      <c r="E236" s="2"/>
      <c r="F236" s="2"/>
      <c r="G236" s="14"/>
      <c r="H236" s="23"/>
    </row>
    <row r="237" spans="2:8" x14ac:dyDescent="0.25">
      <c r="B237" s="2"/>
      <c r="C237" s="3"/>
      <c r="D237" s="2"/>
      <c r="E237" s="2"/>
      <c r="F237" s="2"/>
      <c r="G237" s="14"/>
      <c r="H237" s="23"/>
    </row>
    <row r="238" spans="2:8" x14ac:dyDescent="0.25">
      <c r="B238" s="2"/>
      <c r="C238" s="2"/>
      <c r="D238" s="2"/>
      <c r="E238" s="2"/>
      <c r="F238" s="2"/>
      <c r="G238" s="14"/>
      <c r="H238" s="23"/>
    </row>
    <row r="239" spans="2:8" x14ac:dyDescent="0.25">
      <c r="B239" s="2"/>
      <c r="C239" s="2"/>
      <c r="D239" s="2"/>
      <c r="E239" s="2"/>
      <c r="F239" s="2"/>
      <c r="G239" s="14"/>
      <c r="H239" s="23"/>
    </row>
    <row r="240" spans="2:8" x14ac:dyDescent="0.25">
      <c r="B240" s="2"/>
      <c r="C240" s="2"/>
      <c r="D240" s="2"/>
      <c r="E240" s="2"/>
      <c r="F240" s="2"/>
      <c r="G240" s="14"/>
      <c r="H240" s="23"/>
    </row>
    <row r="241" spans="2:8" x14ac:dyDescent="0.25">
      <c r="B241" s="2"/>
      <c r="C241" s="3"/>
      <c r="D241" s="2"/>
      <c r="E241" s="2"/>
      <c r="F241" s="2"/>
      <c r="G241" s="14"/>
      <c r="H241" s="23"/>
    </row>
    <row r="242" spans="2:8" x14ac:dyDescent="0.25">
      <c r="B242" s="2"/>
      <c r="C242" s="3"/>
      <c r="D242" s="2"/>
      <c r="E242" s="2"/>
      <c r="F242" s="2"/>
      <c r="G242" s="14"/>
      <c r="H242" s="23"/>
    </row>
    <row r="243" spans="2:8" x14ac:dyDescent="0.25">
      <c r="B243" s="2"/>
      <c r="C243" s="2"/>
      <c r="D243" s="2"/>
      <c r="E243" s="2"/>
      <c r="F243" s="2"/>
      <c r="G243" s="14"/>
      <c r="H243" s="23"/>
    </row>
    <row r="244" spans="2:8" x14ac:dyDescent="0.25">
      <c r="B244" s="2"/>
      <c r="C244" s="2"/>
      <c r="D244" s="2"/>
      <c r="E244" s="2"/>
      <c r="F244" s="2"/>
      <c r="G244" s="14"/>
      <c r="H244" s="23"/>
    </row>
    <row r="245" spans="2:8" x14ac:dyDescent="0.25">
      <c r="B245" s="2"/>
      <c r="C245" s="2"/>
      <c r="D245" s="2"/>
      <c r="E245" s="2"/>
      <c r="F245" s="2"/>
      <c r="G245" s="14"/>
      <c r="H245" s="23"/>
    </row>
    <row r="246" spans="2:8" x14ac:dyDescent="0.25">
      <c r="B246" s="2"/>
      <c r="C246" s="3"/>
      <c r="D246" s="2"/>
      <c r="E246" s="2"/>
      <c r="F246" s="2"/>
      <c r="G246" s="14"/>
      <c r="H246" s="23"/>
    </row>
    <row r="247" spans="2:8" x14ac:dyDescent="0.25">
      <c r="B247" s="2"/>
      <c r="C247" s="3"/>
      <c r="D247" s="2"/>
      <c r="E247" s="2"/>
      <c r="F247" s="2"/>
      <c r="G247" s="14"/>
      <c r="H247" s="23"/>
    </row>
    <row r="248" spans="2:8" x14ac:dyDescent="0.25">
      <c r="B248" s="2"/>
      <c r="C248" s="2"/>
      <c r="D248" s="2"/>
      <c r="E248" s="2"/>
      <c r="F248" s="2"/>
      <c r="G248" s="14"/>
      <c r="H248" s="23"/>
    </row>
    <row r="249" spans="2:8" x14ac:dyDescent="0.25">
      <c r="B249" s="2"/>
      <c r="C249" s="2"/>
      <c r="D249" s="2"/>
      <c r="E249" s="2"/>
      <c r="F249" s="2"/>
      <c r="G249" s="14"/>
      <c r="H249" s="23"/>
    </row>
  </sheetData>
  <mergeCells count="7">
    <mergeCell ref="I2:J2"/>
    <mergeCell ref="I3:I4"/>
    <mergeCell ref="J3:J4"/>
    <mergeCell ref="L2:S2"/>
    <mergeCell ref="L3:N3"/>
    <mergeCell ref="R3:S3"/>
    <mergeCell ref="O3:Q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47"/>
  <sheetViews>
    <sheetView zoomScale="60" zoomScaleNormal="60" workbookViewId="0">
      <selection activeCell="F28" sqref="F28"/>
    </sheetView>
  </sheetViews>
  <sheetFormatPr defaultRowHeight="15" x14ac:dyDescent="0.25"/>
  <cols>
    <col min="1" max="1" width="10" bestFit="1" customWidth="1"/>
    <col min="2" max="2" width="14.85546875" bestFit="1" customWidth="1"/>
    <col min="3" max="3" width="19.7109375" bestFit="1" customWidth="1"/>
    <col min="4" max="4" width="19.140625" bestFit="1" customWidth="1"/>
    <col min="5" max="5" width="18.42578125" bestFit="1" customWidth="1"/>
    <col min="6" max="7" width="14.85546875" customWidth="1"/>
    <col min="8" max="8" width="15.85546875" bestFit="1" customWidth="1"/>
    <col min="12" max="12" width="12.42578125" bestFit="1" customWidth="1"/>
    <col min="13" max="14" width="14.85546875" bestFit="1" customWidth="1"/>
  </cols>
  <sheetData>
    <row r="1" spans="1:12" x14ac:dyDescent="0.2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2" x14ac:dyDescent="0.25">
      <c r="A2" s="31"/>
      <c r="B2" s="16"/>
      <c r="C2" s="34"/>
      <c r="D2" s="34"/>
      <c r="E2" s="34"/>
      <c r="F2" s="34"/>
      <c r="G2" s="34"/>
      <c r="H2" s="34"/>
      <c r="I2" s="16"/>
      <c r="J2" s="16"/>
      <c r="K2" s="16"/>
      <c r="L2" s="12"/>
    </row>
    <row r="3" spans="1:12" x14ac:dyDescent="0.25">
      <c r="A3" s="31" t="s">
        <v>69</v>
      </c>
      <c r="B3" s="16" t="s">
        <v>70</v>
      </c>
      <c r="C3" s="16" t="s">
        <v>61</v>
      </c>
      <c r="D3" s="16" t="s">
        <v>62</v>
      </c>
      <c r="E3" s="16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68</v>
      </c>
      <c r="L3" s="12"/>
    </row>
    <row r="4" spans="1:12" x14ac:dyDescent="0.25">
      <c r="A4" s="31">
        <v>82</v>
      </c>
      <c r="B4" s="16">
        <v>148.95909177132165</v>
      </c>
      <c r="C4" s="37">
        <f>(A4-B4)/A4</f>
        <v>-0.81657428989416647</v>
      </c>
      <c r="D4" s="37">
        <f>ABS(C4)</f>
        <v>0.81657428989416647</v>
      </c>
      <c r="E4" s="37"/>
      <c r="F4" s="38">
        <f>AVERAGE(C4:C44)</f>
        <v>-0.27483902929029902</v>
      </c>
      <c r="G4" s="39">
        <f>AVERAGE(D4:D44)</f>
        <v>0.4211185174909704</v>
      </c>
      <c r="H4" s="16">
        <f>(A4-B4)^2</f>
        <v>4483.5199708402752</v>
      </c>
      <c r="I4" s="16">
        <f>SQRT(H46)</f>
        <v>398.88842038329926</v>
      </c>
      <c r="J4" s="16">
        <f>CORREL(A4:A44,B4:B44)</f>
        <v>0.78649584792693628</v>
      </c>
      <c r="K4" s="16">
        <f>J4^2</f>
        <v>0.61857571880631046</v>
      </c>
      <c r="L4" s="12"/>
    </row>
    <row r="5" spans="1:12" x14ac:dyDescent="0.25">
      <c r="A5" s="31">
        <v>968</v>
      </c>
      <c r="B5" s="16">
        <v>758.37166491931032</v>
      </c>
      <c r="C5" s="37">
        <f t="shared" ref="C5:C44" si="0">(A5-B5)/A5</f>
        <v>0.2165581973974067</v>
      </c>
      <c r="D5" s="37">
        <f t="shared" ref="D5:D44" si="1">ABS(C5)</f>
        <v>0.2165581973974067</v>
      </c>
      <c r="E5" s="37"/>
      <c r="F5" s="16"/>
      <c r="G5" s="42"/>
      <c r="H5" s="16">
        <f t="shared" ref="H5:H44" si="2">(A5-B5)^2</f>
        <v>43944.038868701915</v>
      </c>
      <c r="I5" s="16"/>
      <c r="J5" s="16"/>
      <c r="K5" s="16"/>
      <c r="L5" s="12"/>
    </row>
    <row r="6" spans="1:12" x14ac:dyDescent="0.25">
      <c r="A6" s="31">
        <v>417</v>
      </c>
      <c r="B6" s="16">
        <v>772.82388504108735</v>
      </c>
      <c r="C6" s="37">
        <f t="shared" si="0"/>
        <v>-0.85329468834793132</v>
      </c>
      <c r="D6" s="37">
        <f t="shared" si="1"/>
        <v>0.85329468834793132</v>
      </c>
      <c r="E6" s="37"/>
      <c r="F6" s="16"/>
      <c r="G6" s="42"/>
      <c r="H6" s="16">
        <f t="shared" si="2"/>
        <v>126610.63716573294</v>
      </c>
      <c r="I6" s="16"/>
      <c r="J6" s="16"/>
      <c r="K6" s="16"/>
      <c r="L6" s="12"/>
    </row>
    <row r="7" spans="1:12" x14ac:dyDescent="0.25">
      <c r="A7" s="31">
        <v>875</v>
      </c>
      <c r="B7" s="16">
        <v>791.76195898535775</v>
      </c>
      <c r="C7" s="37">
        <f t="shared" si="0"/>
        <v>9.512918973101972E-2</v>
      </c>
      <c r="D7" s="37">
        <f t="shared" si="1"/>
        <v>9.512918973101972E-2</v>
      </c>
      <c r="E7" s="37"/>
      <c r="F7" s="16"/>
      <c r="G7" s="42" t="s">
        <v>1</v>
      </c>
      <c r="H7" s="16">
        <f t="shared" si="2"/>
        <v>6928.5714719552652</v>
      </c>
      <c r="I7" s="16"/>
      <c r="J7" s="16"/>
      <c r="K7" s="16"/>
      <c r="L7" s="12"/>
    </row>
    <row r="8" spans="1:12" x14ac:dyDescent="0.25">
      <c r="A8" s="31">
        <v>346</v>
      </c>
      <c r="B8" s="16">
        <v>324.29039866417952</v>
      </c>
      <c r="C8" s="37">
        <f t="shared" si="0"/>
        <v>6.2744512531273069E-2</v>
      </c>
      <c r="D8" s="37">
        <f t="shared" si="1"/>
        <v>6.2744512531273069E-2</v>
      </c>
      <c r="E8" s="37"/>
      <c r="F8" s="16"/>
      <c r="G8" s="42">
        <f>MAX(D4:D44)</f>
        <v>1.6045241680549935</v>
      </c>
      <c r="H8" s="16">
        <f t="shared" si="2"/>
        <v>471.30679016025834</v>
      </c>
      <c r="I8" s="16"/>
      <c r="J8" s="16"/>
      <c r="K8" s="16"/>
      <c r="L8" s="12"/>
    </row>
    <row r="9" spans="1:12" x14ac:dyDescent="0.25">
      <c r="A9" s="31">
        <v>263</v>
      </c>
      <c r="B9" s="16">
        <v>291.14493927117553</v>
      </c>
      <c r="C9" s="37">
        <f t="shared" si="0"/>
        <v>-0.10701497821739746</v>
      </c>
      <c r="D9" s="37">
        <f t="shared" si="1"/>
        <v>0.10701497821739746</v>
      </c>
      <c r="E9" s="37"/>
      <c r="F9" s="16"/>
      <c r="G9" s="42" t="s">
        <v>2</v>
      </c>
      <c r="H9" s="16">
        <f t="shared" si="2"/>
        <v>792.13760657815862</v>
      </c>
      <c r="I9" s="16"/>
      <c r="J9" s="16"/>
      <c r="K9" s="16"/>
      <c r="L9" s="12"/>
    </row>
    <row r="10" spans="1:12" x14ac:dyDescent="0.25">
      <c r="A10" s="31">
        <v>173</v>
      </c>
      <c r="B10" s="16">
        <v>113.78956729303827</v>
      </c>
      <c r="C10" s="37">
        <f t="shared" si="0"/>
        <v>0.34225683645642618</v>
      </c>
      <c r="D10" s="37">
        <f t="shared" si="1"/>
        <v>0.34225683645642618</v>
      </c>
      <c r="E10" s="37"/>
      <c r="F10" s="16"/>
      <c r="G10" s="42">
        <f>MIN(D4:D44)</f>
        <v>1.9114386416285998E-3</v>
      </c>
      <c r="H10" s="16">
        <f t="shared" si="2"/>
        <v>3505.8753413456429</v>
      </c>
      <c r="I10" s="16"/>
      <c r="J10" s="16"/>
      <c r="K10" s="16"/>
      <c r="L10" s="12"/>
    </row>
    <row r="11" spans="1:12" x14ac:dyDescent="0.25">
      <c r="A11" s="31">
        <v>290</v>
      </c>
      <c r="B11" s="16">
        <v>334.28542064335221</v>
      </c>
      <c r="C11" s="37">
        <f t="shared" si="0"/>
        <v>-0.15270834704604211</v>
      </c>
      <c r="D11" s="37">
        <f t="shared" si="1"/>
        <v>0.15270834704604211</v>
      </c>
      <c r="E11" s="37"/>
      <c r="F11" s="16"/>
      <c r="G11" s="42"/>
      <c r="H11" s="16">
        <f t="shared" si="2"/>
        <v>1961.1984815586461</v>
      </c>
      <c r="I11" s="16"/>
      <c r="J11" s="16"/>
      <c r="K11" s="16"/>
      <c r="L11" s="12"/>
    </row>
    <row r="12" spans="1:12" x14ac:dyDescent="0.25">
      <c r="A12" s="31">
        <v>441</v>
      </c>
      <c r="B12" s="16">
        <v>616.25983571750237</v>
      </c>
      <c r="C12" s="37">
        <f t="shared" si="0"/>
        <v>-0.39741459346372421</v>
      </c>
      <c r="D12" s="37">
        <f t="shared" si="1"/>
        <v>0.39741459346372421</v>
      </c>
      <c r="E12" s="37"/>
      <c r="F12" s="16"/>
      <c r="G12" s="16"/>
      <c r="H12" s="16">
        <f t="shared" si="2"/>
        <v>30716.010015725918</v>
      </c>
      <c r="I12" s="16"/>
      <c r="J12" s="16"/>
      <c r="K12" s="16"/>
      <c r="L12" s="12"/>
    </row>
    <row r="13" spans="1:12" x14ac:dyDescent="0.25">
      <c r="A13" s="31">
        <v>1069</v>
      </c>
      <c r="B13" s="16">
        <v>1539.0978935044841</v>
      </c>
      <c r="C13" s="37">
        <f t="shared" si="0"/>
        <v>-0.43975481151027512</v>
      </c>
      <c r="D13" s="37">
        <f t="shared" si="1"/>
        <v>0.43975481151027512</v>
      </c>
      <c r="E13" s="37"/>
      <c r="F13" s="16"/>
      <c r="G13" s="16"/>
      <c r="H13" s="16">
        <f t="shared" si="2"/>
        <v>220992.02947735327</v>
      </c>
      <c r="I13" s="16"/>
      <c r="J13" s="16"/>
      <c r="K13" s="16"/>
      <c r="L13" s="12"/>
    </row>
    <row r="14" spans="1:12" x14ac:dyDescent="0.25">
      <c r="A14" s="31">
        <v>1958</v>
      </c>
      <c r="B14" s="16">
        <v>1767.2357615329954</v>
      </c>
      <c r="C14" s="37">
        <f t="shared" si="0"/>
        <v>9.7428109533710214E-2</v>
      </c>
      <c r="D14" s="37">
        <f t="shared" si="1"/>
        <v>9.7428109533710214E-2</v>
      </c>
      <c r="E14" s="37"/>
      <c r="F14" s="16"/>
      <c r="G14" s="16"/>
      <c r="H14" s="16">
        <f t="shared" si="2"/>
        <v>36390.994677896197</v>
      </c>
      <c r="I14" s="16"/>
      <c r="J14" s="16"/>
      <c r="K14" s="16"/>
      <c r="L14" s="12"/>
    </row>
    <row r="15" spans="1:12" x14ac:dyDescent="0.25">
      <c r="A15" s="31">
        <v>40</v>
      </c>
      <c r="B15" s="16">
        <v>78.980741337675653</v>
      </c>
      <c r="C15" s="37">
        <f t="shared" si="0"/>
        <v>-0.97451853344189132</v>
      </c>
      <c r="D15" s="37">
        <f t="shared" si="1"/>
        <v>0.97451853344189132</v>
      </c>
      <c r="E15" s="37"/>
      <c r="F15" s="16"/>
      <c r="G15" s="16"/>
      <c r="H15" s="16">
        <f t="shared" si="2"/>
        <v>1519.4981952347755</v>
      </c>
      <c r="I15" s="16"/>
      <c r="J15" s="16"/>
      <c r="K15" s="16"/>
      <c r="L15" s="12"/>
    </row>
    <row r="16" spans="1:12" x14ac:dyDescent="0.25">
      <c r="A16" s="31">
        <v>1428</v>
      </c>
      <c r="B16" s="16">
        <v>1603.7980926943258</v>
      </c>
      <c r="C16" s="37">
        <f t="shared" si="0"/>
        <v>-0.12310790804924773</v>
      </c>
      <c r="D16" s="37">
        <f t="shared" si="1"/>
        <v>0.12310790804924773</v>
      </c>
      <c r="E16" s="37"/>
      <c r="F16" s="16"/>
      <c r="G16" s="16"/>
      <c r="H16" s="16">
        <f t="shared" si="2"/>
        <v>30904.969394962751</v>
      </c>
      <c r="I16" s="16"/>
      <c r="J16" s="16"/>
      <c r="K16" s="16"/>
      <c r="L16" s="12"/>
    </row>
    <row r="17" spans="1:12" x14ac:dyDescent="0.25">
      <c r="A17" s="31">
        <v>129.30000000000001</v>
      </c>
      <c r="B17" s="16">
        <v>168.66764833773743</v>
      </c>
      <c r="C17" s="37">
        <f t="shared" si="0"/>
        <v>-0.30446750454553301</v>
      </c>
      <c r="D17" s="37">
        <f t="shared" si="1"/>
        <v>0.30446750454553301</v>
      </c>
      <c r="E17" s="37"/>
      <c r="F17" s="16"/>
      <c r="G17" s="16"/>
      <c r="H17" s="16">
        <f t="shared" si="2"/>
        <v>1549.8117356437599</v>
      </c>
      <c r="I17" s="16"/>
      <c r="J17" s="16"/>
      <c r="K17" s="16"/>
      <c r="L17" s="12"/>
    </row>
    <row r="18" spans="1:12" x14ac:dyDescent="0.25">
      <c r="A18" s="31">
        <v>30</v>
      </c>
      <c r="B18" s="16">
        <v>59.775951277233411</v>
      </c>
      <c r="C18" s="37">
        <f t="shared" si="0"/>
        <v>-0.99253170924111367</v>
      </c>
      <c r="D18" s="37">
        <f t="shared" si="1"/>
        <v>0.99253170924111367</v>
      </c>
      <c r="E18" s="37"/>
      <c r="F18" s="16"/>
      <c r="G18" s="16"/>
      <c r="H18" s="16">
        <f t="shared" si="2"/>
        <v>886.60727446417798</v>
      </c>
      <c r="I18" s="16"/>
      <c r="J18" s="16"/>
      <c r="K18" s="16"/>
      <c r="L18" s="12"/>
    </row>
    <row r="19" spans="1:12" x14ac:dyDescent="0.25">
      <c r="A19" s="31">
        <v>243</v>
      </c>
      <c r="B19" s="16">
        <v>235.90005191461509</v>
      </c>
      <c r="C19" s="37">
        <f t="shared" si="0"/>
        <v>2.9217893355493452E-2</v>
      </c>
      <c r="D19" s="37">
        <f t="shared" si="1"/>
        <v>2.9217893355493452E-2</v>
      </c>
      <c r="E19" s="37"/>
      <c r="F19" s="16"/>
      <c r="G19" s="16"/>
      <c r="H19" s="16">
        <f t="shared" si="2"/>
        <v>50.409262815160837</v>
      </c>
      <c r="I19" s="16"/>
      <c r="J19" s="16"/>
      <c r="K19" s="16"/>
      <c r="L19" s="12"/>
    </row>
    <row r="20" spans="1:12" x14ac:dyDescent="0.25">
      <c r="A20" s="31">
        <v>1262</v>
      </c>
      <c r="B20" s="16">
        <v>1089.3302299094844</v>
      </c>
      <c r="C20" s="37">
        <f t="shared" si="0"/>
        <v>0.13682232178329287</v>
      </c>
      <c r="D20" s="37">
        <f t="shared" si="1"/>
        <v>0.13682232178329287</v>
      </c>
      <c r="E20" s="37"/>
      <c r="F20" s="16"/>
      <c r="G20" s="16"/>
      <c r="H20" s="16">
        <f t="shared" si="2"/>
        <v>29814.84950311152</v>
      </c>
      <c r="I20" s="16"/>
      <c r="J20" s="16"/>
      <c r="K20" s="16"/>
      <c r="L20" s="12"/>
    </row>
    <row r="21" spans="1:12" x14ac:dyDescent="0.25">
      <c r="A21" s="31">
        <v>525</v>
      </c>
      <c r="B21" s="16">
        <v>918.92873787680446</v>
      </c>
      <c r="C21" s="37">
        <f t="shared" si="0"/>
        <v>-0.75034045309867514</v>
      </c>
      <c r="D21" s="37">
        <f t="shared" si="1"/>
        <v>0.75034045309867514</v>
      </c>
      <c r="E21" s="37"/>
      <c r="F21" s="16"/>
      <c r="G21" s="16"/>
      <c r="H21" s="16">
        <f t="shared" si="2"/>
        <v>155179.85052521212</v>
      </c>
      <c r="I21" s="16"/>
      <c r="J21" s="16"/>
      <c r="K21" s="16"/>
      <c r="L21" s="12"/>
    </row>
    <row r="22" spans="1:12" x14ac:dyDescent="0.25">
      <c r="A22" s="31">
        <v>562</v>
      </c>
      <c r="B22" s="16">
        <v>965.79535367208439</v>
      </c>
      <c r="C22" s="37">
        <f t="shared" si="0"/>
        <v>-0.71849707059089751</v>
      </c>
      <c r="D22" s="37">
        <f t="shared" si="1"/>
        <v>0.71849707059089751</v>
      </c>
      <c r="E22" s="37"/>
      <c r="F22" s="16"/>
      <c r="G22" s="16"/>
      <c r="H22" s="16">
        <f t="shared" si="2"/>
        <v>163050.68764716372</v>
      </c>
      <c r="I22" s="16"/>
      <c r="J22" s="16"/>
      <c r="K22" s="16"/>
      <c r="L22" s="12"/>
    </row>
    <row r="23" spans="1:12" x14ac:dyDescent="0.25">
      <c r="A23" s="31">
        <v>1314.9</v>
      </c>
      <c r="B23" s="16">
        <v>1065.3482218976505</v>
      </c>
      <c r="C23" s="37">
        <f t="shared" si="0"/>
        <v>0.18978764780770366</v>
      </c>
      <c r="D23" s="37">
        <f t="shared" si="1"/>
        <v>0.18978764780770366</v>
      </c>
      <c r="E23" s="37"/>
      <c r="F23" s="16"/>
      <c r="G23" s="16"/>
      <c r="H23" s="16">
        <f t="shared" si="2"/>
        <v>62276.089954044306</v>
      </c>
      <c r="I23" s="16"/>
      <c r="J23" s="16"/>
      <c r="K23" s="16"/>
      <c r="L23" s="12"/>
    </row>
    <row r="24" spans="1:12" x14ac:dyDescent="0.25">
      <c r="A24" s="31">
        <v>465.5</v>
      </c>
      <c r="B24" s="16">
        <v>687.71499403961866</v>
      </c>
      <c r="C24" s="37">
        <f t="shared" si="0"/>
        <v>-0.47736840824837523</v>
      </c>
      <c r="D24" s="37">
        <f t="shared" si="1"/>
        <v>0.47736840824837523</v>
      </c>
      <c r="E24" s="37"/>
      <c r="F24" s="16"/>
      <c r="G24" s="16"/>
      <c r="H24" s="16">
        <f t="shared" si="2"/>
        <v>49379.503576027753</v>
      </c>
      <c r="I24" s="16"/>
      <c r="J24" s="16"/>
      <c r="K24" s="16"/>
      <c r="L24" s="12"/>
    </row>
    <row r="25" spans="1:12" x14ac:dyDescent="0.25">
      <c r="A25" s="31">
        <v>752</v>
      </c>
      <c r="B25" s="16">
        <v>542.69981437649517</v>
      </c>
      <c r="C25" s="37">
        <f t="shared" si="0"/>
        <v>0.27832471492487343</v>
      </c>
      <c r="D25" s="37">
        <f t="shared" si="1"/>
        <v>0.27832471492487343</v>
      </c>
      <c r="E25" s="37"/>
      <c r="F25" s="16"/>
      <c r="G25" s="16"/>
      <c r="H25" s="16">
        <f t="shared" si="2"/>
        <v>43806.567702033579</v>
      </c>
      <c r="I25" s="16"/>
      <c r="J25" s="16"/>
      <c r="K25" s="16"/>
      <c r="L25" s="12"/>
    </row>
    <row r="26" spans="1:12" x14ac:dyDescent="0.25">
      <c r="A26" s="31">
        <v>221</v>
      </c>
      <c r="B26" s="16">
        <v>193.26983505368659</v>
      </c>
      <c r="C26" s="37">
        <f t="shared" si="0"/>
        <v>0.12547585948558104</v>
      </c>
      <c r="D26" s="37">
        <f t="shared" si="1"/>
        <v>0.12547585948558104</v>
      </c>
      <c r="E26" s="37"/>
      <c r="F26" s="16"/>
      <c r="G26" s="16"/>
      <c r="H26" s="16">
        <f t="shared" si="2"/>
        <v>768.96204794974892</v>
      </c>
      <c r="I26" s="16"/>
      <c r="J26" s="16"/>
      <c r="K26" s="16"/>
      <c r="L26" s="12"/>
    </row>
    <row r="27" spans="1:12" x14ac:dyDescent="0.25">
      <c r="A27" s="31">
        <v>964</v>
      </c>
      <c r="B27" s="16">
        <v>1390.7499313368714</v>
      </c>
      <c r="C27" s="37">
        <f t="shared" si="0"/>
        <v>-0.44268665076438946</v>
      </c>
      <c r="D27" s="37">
        <f t="shared" si="1"/>
        <v>0.44268665076438946</v>
      </c>
      <c r="E27" s="37"/>
      <c r="F27" s="16"/>
      <c r="G27" s="16"/>
      <c r="H27" s="16">
        <f t="shared" si="2"/>
        <v>182115.50389602449</v>
      </c>
      <c r="I27" s="16"/>
      <c r="J27" s="16"/>
      <c r="K27" s="16"/>
      <c r="L27" s="12"/>
    </row>
    <row r="28" spans="1:12" x14ac:dyDescent="0.25">
      <c r="A28" s="31">
        <v>10</v>
      </c>
      <c r="B28" s="16">
        <v>20.323115554215327</v>
      </c>
      <c r="C28" s="37">
        <f t="shared" si="0"/>
        <v>-1.0323115554215327</v>
      </c>
      <c r="D28" s="37">
        <f t="shared" si="1"/>
        <v>1.0323115554215327</v>
      </c>
      <c r="E28" s="37"/>
      <c r="F28" s="16"/>
      <c r="G28" s="16"/>
      <c r="H28" s="16">
        <f t="shared" si="2"/>
        <v>106.56671474568243</v>
      </c>
      <c r="I28" s="16"/>
      <c r="J28" s="16"/>
      <c r="K28" s="16"/>
      <c r="L28" s="12"/>
    </row>
    <row r="29" spans="1:12" x14ac:dyDescent="0.25">
      <c r="A29" s="31">
        <v>11</v>
      </c>
      <c r="B29" s="16">
        <v>28.649765848604929</v>
      </c>
      <c r="C29" s="37">
        <f t="shared" si="0"/>
        <v>-1.6045241680549935</v>
      </c>
      <c r="D29" s="37">
        <f t="shared" si="1"/>
        <v>1.6045241680549935</v>
      </c>
      <c r="E29" s="37"/>
      <c r="F29" s="16"/>
      <c r="G29" s="16"/>
      <c r="H29" s="16">
        <f t="shared" si="2"/>
        <v>311.51423451058088</v>
      </c>
      <c r="I29" s="16"/>
      <c r="J29" s="16"/>
      <c r="K29" s="16"/>
      <c r="L29" s="12"/>
    </row>
    <row r="30" spans="1:12" x14ac:dyDescent="0.25">
      <c r="A30" s="31">
        <v>529</v>
      </c>
      <c r="B30" s="16">
        <v>627.27047766134774</v>
      </c>
      <c r="C30" s="37">
        <f t="shared" si="0"/>
        <v>-0.18576649841464601</v>
      </c>
      <c r="D30" s="37">
        <f t="shared" si="1"/>
        <v>0.18576649841464601</v>
      </c>
      <c r="E30" s="37"/>
      <c r="F30" s="16"/>
      <c r="G30" s="16"/>
      <c r="H30" s="16">
        <f t="shared" si="2"/>
        <v>9657.0867797894462</v>
      </c>
      <c r="I30" s="16"/>
      <c r="J30" s="16"/>
      <c r="K30" s="16"/>
      <c r="L30" s="12"/>
    </row>
    <row r="31" spans="1:12" x14ac:dyDescent="0.25">
      <c r="A31" s="31">
        <v>700</v>
      </c>
      <c r="B31" s="16">
        <v>866.97029488117425</v>
      </c>
      <c r="C31" s="37">
        <f t="shared" si="0"/>
        <v>-0.23852899268739181</v>
      </c>
      <c r="D31" s="37">
        <f t="shared" si="1"/>
        <v>0.23852899268739181</v>
      </c>
      <c r="E31" s="37"/>
      <c r="F31" s="16"/>
      <c r="G31" s="16"/>
      <c r="H31" s="16">
        <f t="shared" si="2"/>
        <v>27879.079372706285</v>
      </c>
      <c r="I31" s="16"/>
      <c r="J31" s="16"/>
      <c r="K31" s="16"/>
      <c r="L31" s="12"/>
    </row>
    <row r="32" spans="1:12" x14ac:dyDescent="0.25">
      <c r="A32" s="31">
        <v>616.9</v>
      </c>
      <c r="B32" s="16">
        <v>644.94176045303129</v>
      </c>
      <c r="C32" s="37">
        <f t="shared" si="0"/>
        <v>-4.5455925519583912E-2</v>
      </c>
      <c r="D32" s="37">
        <f t="shared" si="1"/>
        <v>4.5455925519583912E-2</v>
      </c>
      <c r="E32" s="37"/>
      <c r="F32" s="16"/>
      <c r="G32" s="16"/>
      <c r="H32" s="16">
        <f t="shared" si="2"/>
        <v>786.34032930519106</v>
      </c>
      <c r="I32" s="16"/>
      <c r="J32" s="16"/>
      <c r="K32" s="16"/>
      <c r="L32" s="12"/>
    </row>
    <row r="33" spans="1:12" x14ac:dyDescent="0.25">
      <c r="A33" s="31">
        <v>342</v>
      </c>
      <c r="B33" s="16">
        <v>267.90231070472652</v>
      </c>
      <c r="C33" s="37">
        <f t="shared" si="0"/>
        <v>0.2166599102200979</v>
      </c>
      <c r="D33" s="37">
        <f t="shared" si="1"/>
        <v>0.2166599102200979</v>
      </c>
      <c r="E33" s="37"/>
      <c r="F33" s="16"/>
      <c r="G33" s="16"/>
      <c r="H33" s="16">
        <f t="shared" si="2"/>
        <v>5490.4675588988866</v>
      </c>
      <c r="I33" s="16"/>
      <c r="J33" s="16"/>
      <c r="K33" s="16"/>
      <c r="L33" s="12"/>
    </row>
    <row r="34" spans="1:12" x14ac:dyDescent="0.25">
      <c r="A34" s="31">
        <v>816</v>
      </c>
      <c r="B34" s="16">
        <v>1116.1416294332123</v>
      </c>
      <c r="C34" s="37">
        <f t="shared" si="0"/>
        <v>-0.36782062430540724</v>
      </c>
      <c r="D34" s="37">
        <f t="shared" si="1"/>
        <v>0.36782062430540724</v>
      </c>
      <c r="E34" s="37"/>
      <c r="F34" s="16"/>
      <c r="G34" s="16"/>
      <c r="H34" s="16">
        <f t="shared" si="2"/>
        <v>90084.997718823739</v>
      </c>
      <c r="I34" s="16"/>
      <c r="J34" s="16"/>
      <c r="K34" s="16"/>
      <c r="L34" s="12"/>
    </row>
    <row r="35" spans="1:12" x14ac:dyDescent="0.25">
      <c r="A35" s="31">
        <v>150.1</v>
      </c>
      <c r="B35" s="16">
        <v>135.61485895999922</v>
      </c>
      <c r="C35" s="37">
        <f t="shared" si="0"/>
        <v>9.6503271419059095E-2</v>
      </c>
      <c r="D35" s="37">
        <f t="shared" si="1"/>
        <v>9.6503271419059095E-2</v>
      </c>
      <c r="E35" s="37"/>
      <c r="F35" s="16"/>
      <c r="G35" s="16"/>
      <c r="H35" s="16">
        <f t="shared" si="2"/>
        <v>209.81931094871456</v>
      </c>
      <c r="I35" s="16"/>
      <c r="J35" s="16"/>
      <c r="K35" s="16"/>
      <c r="L35" s="12"/>
    </row>
    <row r="36" spans="1:12" x14ac:dyDescent="0.25">
      <c r="A36" s="31">
        <v>689</v>
      </c>
      <c r="B36" s="16">
        <v>669.56036353386207</v>
      </c>
      <c r="C36" s="37">
        <f t="shared" si="0"/>
        <v>2.8214276438516584E-2</v>
      </c>
      <c r="D36" s="37">
        <f t="shared" si="1"/>
        <v>2.8214276438516584E-2</v>
      </c>
      <c r="E36" s="37"/>
      <c r="F36" s="16"/>
      <c r="G36" s="16"/>
      <c r="H36" s="16">
        <f t="shared" si="2"/>
        <v>377.89946593559944</v>
      </c>
      <c r="I36" s="16"/>
      <c r="J36" s="16"/>
      <c r="K36" s="16"/>
      <c r="L36" s="12"/>
    </row>
    <row r="37" spans="1:12" x14ac:dyDescent="0.25">
      <c r="A37" s="31">
        <v>11</v>
      </c>
      <c r="B37" s="16">
        <v>22.180812538004758</v>
      </c>
      <c r="C37" s="37">
        <f t="shared" si="0"/>
        <v>-1.016437503454978</v>
      </c>
      <c r="D37" s="37">
        <f t="shared" si="1"/>
        <v>1.016437503454978</v>
      </c>
      <c r="E37" s="37"/>
      <c r="F37" s="16"/>
      <c r="G37" s="16"/>
      <c r="H37" s="16">
        <f t="shared" si="2"/>
        <v>125.0105690100044</v>
      </c>
      <c r="I37" s="16"/>
      <c r="J37" s="16"/>
      <c r="K37" s="16"/>
      <c r="L37" s="12"/>
    </row>
    <row r="38" spans="1:12" x14ac:dyDescent="0.25">
      <c r="A38" s="31">
        <v>981</v>
      </c>
      <c r="B38" s="16">
        <v>1501.856181600627</v>
      </c>
      <c r="C38" s="37">
        <f t="shared" si="0"/>
        <v>-0.53094411987831502</v>
      </c>
      <c r="D38" s="37">
        <f t="shared" si="1"/>
        <v>0.53094411987831502</v>
      </c>
      <c r="E38" s="37"/>
      <c r="F38" s="16"/>
      <c r="G38" s="16"/>
      <c r="H38" s="16">
        <f t="shared" si="2"/>
        <v>271291.16191158531</v>
      </c>
      <c r="I38" s="16"/>
      <c r="J38" s="16"/>
      <c r="K38" s="16"/>
      <c r="L38" s="12"/>
    </row>
    <row r="39" spans="1:12" x14ac:dyDescent="0.25">
      <c r="A39" s="31">
        <v>620</v>
      </c>
      <c r="B39" s="16">
        <v>618.81490804219027</v>
      </c>
      <c r="C39" s="37">
        <f t="shared" si="0"/>
        <v>1.9114386416285998E-3</v>
      </c>
      <c r="D39" s="37">
        <f t="shared" si="1"/>
        <v>1.9114386416285998E-3</v>
      </c>
      <c r="E39" s="37"/>
      <c r="F39" s="16"/>
      <c r="G39" s="16"/>
      <c r="H39" s="16">
        <f t="shared" si="2"/>
        <v>1.4044429484653034</v>
      </c>
      <c r="I39" s="16"/>
      <c r="J39" s="16"/>
      <c r="K39" s="16"/>
      <c r="L39" s="12"/>
    </row>
    <row r="40" spans="1:12" x14ac:dyDescent="0.25">
      <c r="A40" s="31">
        <v>324</v>
      </c>
      <c r="B40" s="16">
        <v>498.30631705457273</v>
      </c>
      <c r="C40" s="37">
        <f t="shared" si="0"/>
        <v>-0.53798246004497752</v>
      </c>
      <c r="D40" s="37">
        <f t="shared" si="1"/>
        <v>0.53798246004497752</v>
      </c>
      <c r="E40" s="37"/>
      <c r="F40" s="16"/>
      <c r="G40" s="16"/>
      <c r="H40" s="16">
        <f t="shared" si="2"/>
        <v>30382.692165129232</v>
      </c>
      <c r="I40" s="16"/>
      <c r="J40" s="16"/>
      <c r="K40" s="16"/>
      <c r="L40" s="12"/>
    </row>
    <row r="41" spans="1:12" x14ac:dyDescent="0.25">
      <c r="A41" s="31">
        <v>1529</v>
      </c>
      <c r="B41" s="16">
        <v>683.75335568444802</v>
      </c>
      <c r="C41" s="37">
        <f t="shared" si="0"/>
        <v>0.55281010092580252</v>
      </c>
      <c r="D41" s="37">
        <f t="shared" si="1"/>
        <v>0.55281010092580252</v>
      </c>
      <c r="E41" s="37"/>
      <c r="F41" s="16"/>
      <c r="G41" s="16"/>
      <c r="H41" s="16">
        <f t="shared" si="2"/>
        <v>714441.88972670119</v>
      </c>
      <c r="I41" s="16"/>
      <c r="J41" s="16"/>
      <c r="K41" s="16"/>
      <c r="L41" s="12"/>
    </row>
    <row r="42" spans="1:12" x14ac:dyDescent="0.25">
      <c r="A42" s="31">
        <v>1127</v>
      </c>
      <c r="B42" s="16">
        <v>1911.6304402514902</v>
      </c>
      <c r="C42" s="37">
        <f t="shared" si="0"/>
        <v>-0.69621157076441009</v>
      </c>
      <c r="D42" s="37">
        <f t="shared" si="1"/>
        <v>0.69621157076441009</v>
      </c>
      <c r="E42" s="37"/>
      <c r="F42" s="16"/>
      <c r="G42" s="16"/>
      <c r="H42" s="16">
        <f t="shared" si="2"/>
        <v>615644.92776924733</v>
      </c>
      <c r="I42" s="16"/>
      <c r="J42" s="16"/>
      <c r="K42" s="16"/>
      <c r="L42" s="12"/>
    </row>
    <row r="43" spans="1:12" x14ac:dyDescent="0.25">
      <c r="A43" s="31">
        <v>1017</v>
      </c>
      <c r="B43" s="16">
        <v>1485.7010718582985</v>
      </c>
      <c r="C43" s="37">
        <f t="shared" si="0"/>
        <v>-0.46086634401012638</v>
      </c>
      <c r="D43" s="37">
        <f t="shared" si="1"/>
        <v>0.46086634401012638</v>
      </c>
      <c r="E43" s="37"/>
      <c r="F43" s="16"/>
      <c r="G43" s="16"/>
      <c r="H43" s="16">
        <f t="shared" si="2"/>
        <v>219680.69476111792</v>
      </c>
      <c r="I43" s="16"/>
      <c r="J43" s="16"/>
      <c r="K43" s="16"/>
      <c r="L43" s="12"/>
    </row>
    <row r="44" spans="1:12" x14ac:dyDescent="0.25">
      <c r="A44" s="31">
        <v>3455</v>
      </c>
      <c r="B44" s="16">
        <v>1627.7015391192135</v>
      </c>
      <c r="C44" s="37">
        <f t="shared" si="0"/>
        <v>0.52888522746187738</v>
      </c>
      <c r="D44" s="37">
        <f t="shared" si="1"/>
        <v>0.52888522746187738</v>
      </c>
      <c r="E44" s="37"/>
      <c r="F44" s="16"/>
      <c r="G44" s="16"/>
      <c r="H44" s="16">
        <f t="shared" si="2"/>
        <v>3339019.665137291</v>
      </c>
      <c r="I44" s="16"/>
      <c r="J44" s="16"/>
      <c r="K44" s="16"/>
      <c r="L44" s="12"/>
    </row>
    <row r="45" spans="1:12" x14ac:dyDescent="0.25">
      <c r="A45" s="31"/>
      <c r="B45" s="16"/>
      <c r="C45" s="16"/>
      <c r="D45" s="16"/>
      <c r="E45" s="16"/>
      <c r="F45" s="46"/>
      <c r="G45" s="46"/>
      <c r="H45" s="46" t="s">
        <v>79</v>
      </c>
      <c r="I45" s="16"/>
      <c r="J45" s="16"/>
      <c r="K45" s="16"/>
      <c r="L45" s="12"/>
    </row>
    <row r="46" spans="1:12" x14ac:dyDescent="0.25">
      <c r="A46" s="47"/>
      <c r="B46" s="46"/>
      <c r="C46" s="46" t="s">
        <v>1</v>
      </c>
      <c r="D46" s="48">
        <f>MAX(C4:C44)</f>
        <v>0.55281010092580252</v>
      </c>
      <c r="E46" s="48">
        <f>MAX(D4:D44)</f>
        <v>1.6045241680549935</v>
      </c>
      <c r="F46" s="46"/>
      <c r="G46" s="46"/>
      <c r="H46" s="46">
        <f>AVERAGE(H4:H44)</f>
        <v>159111.97191588368</v>
      </c>
      <c r="I46" s="46"/>
      <c r="J46" s="46"/>
      <c r="K46" s="46"/>
      <c r="L46" s="49"/>
    </row>
    <row r="47" spans="1:12" x14ac:dyDescent="0.25">
      <c r="A47" t="s">
        <v>3</v>
      </c>
      <c r="B47">
        <f>_xlfn.STDEV.S(B4:B44)</f>
        <v>546.52349722140445</v>
      </c>
      <c r="C47" t="s">
        <v>2</v>
      </c>
      <c r="D47" s="50">
        <f>MIN(C4:C44)</f>
        <v>-1.6045241680549935</v>
      </c>
      <c r="E47" s="50">
        <f>MIN(D4:D44)</f>
        <v>1.9114386416285998E-3</v>
      </c>
    </row>
  </sheetData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36"/>
  <sheetViews>
    <sheetView topLeftCell="N1" zoomScale="60" zoomScaleNormal="60" workbookViewId="0">
      <selection activeCell="S24" sqref="S24"/>
    </sheetView>
  </sheetViews>
  <sheetFormatPr defaultRowHeight="15" x14ac:dyDescent="0.25"/>
  <cols>
    <col min="1" max="1" width="10" bestFit="1" customWidth="1"/>
    <col min="2" max="2" width="14.85546875" bestFit="1" customWidth="1"/>
    <col min="3" max="7" width="14.85546875" customWidth="1"/>
    <col min="8" max="8" width="15.85546875" bestFit="1" customWidth="1"/>
    <col min="12" max="12" width="12.42578125" bestFit="1" customWidth="1"/>
    <col min="13" max="14" width="14.85546875" bestFit="1" customWidth="1"/>
    <col min="16" max="16" width="12.42578125" bestFit="1" customWidth="1"/>
    <col min="17" max="18" width="14.85546875" bestFit="1" customWidth="1"/>
    <col min="19" max="19" width="15.85546875" bestFit="1" customWidth="1"/>
    <col min="22" max="22" width="14.85546875" bestFit="1" customWidth="1"/>
    <col min="23" max="23" width="11.140625" bestFit="1" customWidth="1"/>
    <col min="24" max="24" width="9.7109375" bestFit="1" customWidth="1"/>
    <col min="25" max="25" width="9.140625" bestFit="1" customWidth="1"/>
    <col min="26" max="26" width="8.7109375" bestFit="1" customWidth="1"/>
    <col min="27" max="27" width="14.7109375" bestFit="1" customWidth="1"/>
    <col min="28" max="28" width="16.85546875" bestFit="1" customWidth="1"/>
    <col min="31" max="34" width="10.42578125" bestFit="1" customWidth="1"/>
  </cols>
  <sheetData>
    <row r="1" spans="1:34" x14ac:dyDescent="0.25">
      <c r="A1" s="78" t="s">
        <v>59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  <c r="P1" s="59" t="s">
        <v>60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 spans="1:34" x14ac:dyDescent="0.25">
      <c r="A2" s="31"/>
      <c r="B2" s="16"/>
      <c r="C2" s="34"/>
      <c r="D2" s="34"/>
      <c r="E2" s="34"/>
      <c r="F2" s="34"/>
      <c r="G2" s="34"/>
      <c r="H2" s="34"/>
      <c r="I2" s="16"/>
      <c r="J2" s="16"/>
      <c r="K2" s="16"/>
      <c r="L2" s="12"/>
      <c r="P2" s="6"/>
      <c r="Q2" s="35" t="s">
        <v>82</v>
      </c>
      <c r="R2" s="6" t="s">
        <v>83</v>
      </c>
      <c r="S2" s="85" t="s">
        <v>61</v>
      </c>
      <c r="T2" s="59"/>
      <c r="U2" s="59" t="s">
        <v>62</v>
      </c>
      <c r="V2" s="59"/>
      <c r="W2" s="86" t="s">
        <v>63</v>
      </c>
      <c r="X2" s="86"/>
      <c r="Y2" s="86" t="s">
        <v>64</v>
      </c>
      <c r="Z2" s="86"/>
      <c r="AA2" s="86" t="s">
        <v>65</v>
      </c>
      <c r="AB2" s="86"/>
      <c r="AC2" s="86" t="s">
        <v>66</v>
      </c>
      <c r="AD2" s="86"/>
      <c r="AE2" s="86" t="s">
        <v>67</v>
      </c>
      <c r="AF2" s="86"/>
      <c r="AG2" s="86" t="s">
        <v>68</v>
      </c>
      <c r="AH2" s="86"/>
    </row>
    <row r="3" spans="1:34" x14ac:dyDescent="0.25">
      <c r="A3" s="31" t="s">
        <v>69</v>
      </c>
      <c r="B3" s="16" t="s">
        <v>70</v>
      </c>
      <c r="C3" s="16" t="s">
        <v>61</v>
      </c>
      <c r="D3" s="16" t="s">
        <v>62</v>
      </c>
      <c r="E3" s="16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68</v>
      </c>
      <c r="L3" s="12"/>
      <c r="P3" s="6" t="s">
        <v>71</v>
      </c>
      <c r="Q3" s="6" t="s">
        <v>82</v>
      </c>
      <c r="R3" s="6" t="s">
        <v>83</v>
      </c>
      <c r="S3" s="36" t="s">
        <v>72</v>
      </c>
      <c r="T3" s="36" t="s">
        <v>73</v>
      </c>
      <c r="U3" s="36" t="s">
        <v>74</v>
      </c>
      <c r="V3" s="36" t="s">
        <v>75</v>
      </c>
      <c r="W3" s="36" t="s">
        <v>76</v>
      </c>
      <c r="X3" s="36" t="s">
        <v>77</v>
      </c>
      <c r="Y3" s="36" t="s">
        <v>76</v>
      </c>
      <c r="Z3" s="36" t="s">
        <v>77</v>
      </c>
      <c r="AA3" s="36" t="s">
        <v>76</v>
      </c>
      <c r="AB3" s="36" t="s">
        <v>78</v>
      </c>
      <c r="AC3" s="36" t="s">
        <v>76</v>
      </c>
      <c r="AD3" s="36" t="s">
        <v>77</v>
      </c>
      <c r="AE3" s="36" t="s">
        <v>76</v>
      </c>
      <c r="AF3" s="36" t="s">
        <v>77</v>
      </c>
      <c r="AG3" s="36" t="s">
        <v>76</v>
      </c>
      <c r="AH3" s="36" t="s">
        <v>77</v>
      </c>
    </row>
    <row r="4" spans="1:34" x14ac:dyDescent="0.25">
      <c r="A4" s="31">
        <v>348.78500000000003</v>
      </c>
      <c r="B4" s="16">
        <v>649.08174911273397</v>
      </c>
      <c r="C4" s="37">
        <f>(A4-B4)/A4</f>
        <v>-0.86097954072776617</v>
      </c>
      <c r="D4" s="37">
        <f>ABS(C4)</f>
        <v>0.86097954072776617</v>
      </c>
      <c r="E4" s="37"/>
      <c r="F4" s="38">
        <f>AVERAGE(C4:C33)</f>
        <v>-0.15656421953071076</v>
      </c>
      <c r="G4" s="39">
        <f>AVERAGE(D4:D33)</f>
        <v>0.228274097388701</v>
      </c>
      <c r="H4" s="16">
        <f>(A4-B4)^2</f>
        <v>90178.137527676285</v>
      </c>
      <c r="I4" s="16">
        <f>SQRT(H35)</f>
        <v>239.37235519273852</v>
      </c>
      <c r="J4" s="16">
        <f>CORREL(A4:A33,B4:B33)</f>
        <v>0.98456038161314452</v>
      </c>
      <c r="K4" s="16">
        <f>J4^2</f>
        <v>0.96935914504222076</v>
      </c>
      <c r="L4" s="12"/>
      <c r="P4">
        <v>82</v>
      </c>
      <c r="Q4">
        <v>148.95909177132165</v>
      </c>
      <c r="R4" s="6">
        <v>51.689256468580588</v>
      </c>
      <c r="S4">
        <f>(P4-Q4)/P4</f>
        <v>-0.81657428989416647</v>
      </c>
      <c r="T4">
        <f>(P4-R4)/P4</f>
        <v>0.36964321379779769</v>
      </c>
      <c r="U4">
        <f>ABS(S4)</f>
        <v>0.81657428989416647</v>
      </c>
      <c r="V4">
        <f>ABS(T4)</f>
        <v>0.36964321379779769</v>
      </c>
      <c r="W4" s="40">
        <f>AVERAGE(S4:S15)</f>
        <v>-0.24393028302263273</v>
      </c>
      <c r="X4" s="40">
        <f>AVERAGE(T4:T15)</f>
        <v>0.17609058011725809</v>
      </c>
      <c r="Y4" s="41">
        <f>AVERAGE(U4:U15)</f>
        <v>0.37961642396427203</v>
      </c>
      <c r="Z4" s="41">
        <f>AVERAGE(V4:V15)</f>
        <v>0.50921332020007215</v>
      </c>
      <c r="AA4" s="53">
        <f>($P4-Q4)^2</f>
        <v>4483.5199708402752</v>
      </c>
      <c r="AB4" s="53">
        <f>($P4-R4)^2</f>
        <v>918.74117342748377</v>
      </c>
      <c r="AC4">
        <f>SQRT(AA17)</f>
        <v>199.6488204454435</v>
      </c>
      <c r="AD4">
        <f>SQRT(AB17)</f>
        <v>504.97655947626373</v>
      </c>
      <c r="AE4" s="54">
        <f>CORREL(P4:P15,Q4:Q15)</f>
        <v>0.93285093258455909</v>
      </c>
      <c r="AF4" s="54">
        <f>CORREL(P4:P15,R4:R15)</f>
        <v>0.74066362900955607</v>
      </c>
      <c r="AG4" s="54">
        <f>AE4^2</f>
        <v>0.87021086242388157</v>
      </c>
      <c r="AH4" s="54">
        <f>AF4^2</f>
        <v>0.54858261133760533</v>
      </c>
    </row>
    <row r="5" spans="1:34" x14ac:dyDescent="0.25">
      <c r="A5" s="31">
        <v>3264</v>
      </c>
      <c r="B5" s="16">
        <v>3584.46871303131</v>
      </c>
      <c r="C5" s="37">
        <f t="shared" ref="C5:C32" si="0">(A5-B5)/A5</f>
        <v>-9.8182816492435668E-2</v>
      </c>
      <c r="D5" s="37">
        <f t="shared" ref="D5:D33" si="1">ABS(C5)</f>
        <v>9.8182816492435668E-2</v>
      </c>
      <c r="E5" s="37"/>
      <c r="F5" s="16"/>
      <c r="G5" s="42"/>
      <c r="H5" s="16">
        <f t="shared" ref="H5:H33" si="2">(A5-B5)^2</f>
        <v>102700.19603194413</v>
      </c>
      <c r="I5" s="16"/>
      <c r="J5" s="16"/>
      <c r="K5" s="16"/>
      <c r="L5" s="12"/>
      <c r="P5">
        <v>968</v>
      </c>
      <c r="Q5">
        <v>758.37166491931032</v>
      </c>
      <c r="R5" s="6">
        <v>342.1165943404265</v>
      </c>
      <c r="S5">
        <f t="shared" ref="S5:S15" si="3">(P5-Q5)/P5</f>
        <v>0.2165581973974067</v>
      </c>
      <c r="T5">
        <f t="shared" ref="T5:T15" si="4">(P5-R5)/P5</f>
        <v>0.64657376617724538</v>
      </c>
      <c r="U5">
        <f t="shared" ref="U5:V15" si="5">ABS(S5)</f>
        <v>0.2165581973974067</v>
      </c>
      <c r="V5">
        <f t="shared" si="5"/>
        <v>0.64657376617724538</v>
      </c>
      <c r="AA5" s="53">
        <f t="shared" ref="AA5:AB15" si="6">($P5-Q5)^2</f>
        <v>43944.038868701915</v>
      </c>
      <c r="AB5" s="53">
        <f t="shared" si="6"/>
        <v>391730.03748002631</v>
      </c>
    </row>
    <row r="6" spans="1:34" x14ac:dyDescent="0.25">
      <c r="A6" s="31">
        <v>1005</v>
      </c>
      <c r="B6" s="16">
        <v>1050.2163609582001</v>
      </c>
      <c r="C6" s="37">
        <f t="shared" si="0"/>
        <v>-4.4991403938507549E-2</v>
      </c>
      <c r="D6" s="37">
        <f t="shared" si="1"/>
        <v>4.4991403938507549E-2</v>
      </c>
      <c r="E6" s="37"/>
      <c r="F6" s="16"/>
      <c r="G6" s="42"/>
      <c r="H6" s="16">
        <f t="shared" si="2"/>
        <v>2044.5192983022409</v>
      </c>
      <c r="I6" s="16"/>
      <c r="J6" s="16"/>
      <c r="K6" s="16"/>
      <c r="L6" s="12"/>
      <c r="P6">
        <v>417</v>
      </c>
      <c r="Q6">
        <v>772.82388504108735</v>
      </c>
      <c r="R6" s="6">
        <v>288.32158845451761</v>
      </c>
      <c r="S6">
        <f t="shared" si="3"/>
        <v>-0.85329468834793132</v>
      </c>
      <c r="T6">
        <f t="shared" si="4"/>
        <v>0.30858132265103688</v>
      </c>
      <c r="U6">
        <f t="shared" si="5"/>
        <v>0.85329468834793132</v>
      </c>
      <c r="V6">
        <f t="shared" si="5"/>
        <v>0.30858132265103688</v>
      </c>
      <c r="AA6" s="53">
        <f t="shared" si="6"/>
        <v>126610.63716573294</v>
      </c>
      <c r="AB6" s="53">
        <f t="shared" si="6"/>
        <v>16558.133597868535</v>
      </c>
    </row>
    <row r="7" spans="1:34" x14ac:dyDescent="0.25">
      <c r="A7" s="31">
        <v>302.86500000000001</v>
      </c>
      <c r="B7" s="16">
        <v>388.495904306586</v>
      </c>
      <c r="C7" s="37">
        <f t="shared" si="0"/>
        <v>-0.28273621681800798</v>
      </c>
      <c r="D7" s="37">
        <f t="shared" si="1"/>
        <v>0.28273621681800798</v>
      </c>
      <c r="E7" s="37"/>
      <c r="F7" s="16"/>
      <c r="G7" s="42" t="s">
        <v>1</v>
      </c>
      <c r="H7" s="16">
        <f t="shared" si="2"/>
        <v>7332.6517723636871</v>
      </c>
      <c r="I7" s="16"/>
      <c r="J7" s="16"/>
      <c r="K7" s="16"/>
      <c r="L7" s="12"/>
      <c r="P7">
        <v>875</v>
      </c>
      <c r="Q7">
        <v>791.76195898535775</v>
      </c>
      <c r="R7" s="6">
        <v>325.24405023392632</v>
      </c>
      <c r="S7">
        <f t="shared" si="3"/>
        <v>9.512918973101972E-2</v>
      </c>
      <c r="T7">
        <f t="shared" si="4"/>
        <v>0.62829251401836983</v>
      </c>
      <c r="U7">
        <f t="shared" si="5"/>
        <v>9.512918973101972E-2</v>
      </c>
      <c r="V7">
        <f t="shared" si="5"/>
        <v>0.62829251401836983</v>
      </c>
      <c r="AA7" s="53">
        <f t="shared" si="6"/>
        <v>6928.5714719552652</v>
      </c>
      <c r="AB7" s="53">
        <f t="shared" si="6"/>
        <v>302231.60430319764</v>
      </c>
    </row>
    <row r="8" spans="1:34" x14ac:dyDescent="0.25">
      <c r="A8" s="31">
        <v>2105</v>
      </c>
      <c r="B8" s="16">
        <v>1960.64128157147</v>
      </c>
      <c r="C8" s="37">
        <f t="shared" si="0"/>
        <v>6.8578963624004743E-2</v>
      </c>
      <c r="D8" s="37">
        <f t="shared" si="1"/>
        <v>6.8578963624004743E-2</v>
      </c>
      <c r="E8" s="37"/>
      <c r="F8" s="16"/>
      <c r="G8" s="42">
        <f>MAX(D4:D33)</f>
        <v>2.349187338595673</v>
      </c>
      <c r="H8" s="16">
        <f t="shared" si="2"/>
        <v>20839.4395863276</v>
      </c>
      <c r="I8" s="16"/>
      <c r="J8" s="16"/>
      <c r="K8" s="16"/>
      <c r="L8" s="12"/>
      <c r="P8">
        <v>346</v>
      </c>
      <c r="Q8">
        <v>324.29039866417952</v>
      </c>
      <c r="R8" s="6">
        <v>164.52341730981831</v>
      </c>
      <c r="S8">
        <f t="shared" si="3"/>
        <v>6.2744512531273069E-2</v>
      </c>
      <c r="T8">
        <f t="shared" si="4"/>
        <v>0.52449879390225917</v>
      </c>
      <c r="U8">
        <f t="shared" si="5"/>
        <v>6.2744512531273069E-2</v>
      </c>
      <c r="V8">
        <f t="shared" si="5"/>
        <v>0.52449879390225917</v>
      </c>
      <c r="AA8" s="53">
        <f t="shared" si="6"/>
        <v>471.30679016025834</v>
      </c>
      <c r="AB8" s="53">
        <f t="shared" si="6"/>
        <v>32933.750064906351</v>
      </c>
    </row>
    <row r="9" spans="1:34" x14ac:dyDescent="0.25">
      <c r="A9" s="31">
        <v>2975</v>
      </c>
      <c r="B9" s="16">
        <v>3158.1557840661799</v>
      </c>
      <c r="C9" s="37">
        <f t="shared" si="0"/>
        <v>-6.156496943401004E-2</v>
      </c>
      <c r="D9" s="37">
        <f t="shared" si="1"/>
        <v>6.156496943401004E-2</v>
      </c>
      <c r="E9" s="37"/>
      <c r="F9" s="16"/>
      <c r="G9" s="42" t="s">
        <v>2</v>
      </c>
      <c r="H9" s="16">
        <f t="shared" si="2"/>
        <v>33546.041236897108</v>
      </c>
      <c r="I9" s="16"/>
      <c r="J9" s="16"/>
      <c r="K9" s="16"/>
      <c r="L9" s="12"/>
      <c r="P9">
        <v>263</v>
      </c>
      <c r="Q9">
        <v>291.14493927117553</v>
      </c>
      <c r="R9" s="6">
        <v>411.0373798714644</v>
      </c>
      <c r="S9">
        <f t="shared" si="3"/>
        <v>-0.10701497821739746</v>
      </c>
      <c r="T9">
        <f t="shared" si="4"/>
        <v>-0.56287977137438938</v>
      </c>
      <c r="U9">
        <f t="shared" si="5"/>
        <v>0.10701497821739746</v>
      </c>
      <c r="V9">
        <f t="shared" si="5"/>
        <v>0.56287977137438938</v>
      </c>
      <c r="AA9" s="53">
        <f t="shared" si="6"/>
        <v>792.13760657815862</v>
      </c>
      <c r="AB9" s="53">
        <f>($P9-R9)^2</f>
        <v>21915.065839208251</v>
      </c>
    </row>
    <row r="10" spans="1:34" x14ac:dyDescent="0.25">
      <c r="A10" s="31">
        <v>1898</v>
      </c>
      <c r="B10" s="16">
        <v>1969.9578738272401</v>
      </c>
      <c r="C10" s="37">
        <f t="shared" si="0"/>
        <v>-3.7912473038588024E-2</v>
      </c>
      <c r="D10" s="37">
        <f t="shared" si="1"/>
        <v>3.7912473038588024E-2</v>
      </c>
      <c r="E10" s="37"/>
      <c r="F10" s="16"/>
      <c r="G10" s="42">
        <f>MIN(D4:D33)</f>
        <v>6.8444033909731926E-4</v>
      </c>
      <c r="H10" s="16">
        <f t="shared" si="2"/>
        <v>5177.9356057370005</v>
      </c>
      <c r="I10" s="16"/>
      <c r="J10" s="16"/>
      <c r="K10" s="16"/>
      <c r="L10" s="12"/>
      <c r="P10">
        <v>173</v>
      </c>
      <c r="Q10">
        <v>113.78956729303827</v>
      </c>
      <c r="R10" s="6">
        <v>169.87446144652029</v>
      </c>
      <c r="S10">
        <f t="shared" si="3"/>
        <v>0.34225683645642618</v>
      </c>
      <c r="T10">
        <f t="shared" si="4"/>
        <v>1.8066696840923203E-2</v>
      </c>
      <c r="U10">
        <f t="shared" si="5"/>
        <v>0.34225683645642618</v>
      </c>
      <c r="V10">
        <f t="shared" si="5"/>
        <v>1.8066696840923203E-2</v>
      </c>
      <c r="AA10" s="53">
        <f>($P10-Q10)^2</f>
        <v>3505.8753413456429</v>
      </c>
      <c r="AB10" s="53">
        <f t="shared" si="6"/>
        <v>9.7689912492880637</v>
      </c>
    </row>
    <row r="11" spans="1:34" x14ac:dyDescent="0.25">
      <c r="A11" s="31">
        <v>2511</v>
      </c>
      <c r="B11" s="16">
        <v>2222.5628574580301</v>
      </c>
      <c r="C11" s="37">
        <f t="shared" si="0"/>
        <v>0.1148694315181083</v>
      </c>
      <c r="D11" s="37">
        <f t="shared" si="1"/>
        <v>0.1148694315181083</v>
      </c>
      <c r="E11" s="37"/>
      <c r="F11" s="16"/>
      <c r="G11" s="42"/>
      <c r="H11" s="16">
        <f t="shared" si="2"/>
        <v>83195.985197776681</v>
      </c>
      <c r="I11" s="16"/>
      <c r="J11" s="16"/>
      <c r="K11" s="16"/>
      <c r="L11" s="12"/>
      <c r="P11">
        <v>290</v>
      </c>
      <c r="Q11">
        <v>334.28542064335221</v>
      </c>
      <c r="R11" s="6">
        <v>476.70952360150687</v>
      </c>
      <c r="S11">
        <f t="shared" si="3"/>
        <v>-0.15270834704604211</v>
      </c>
      <c r="T11">
        <f t="shared" si="4"/>
        <v>-0.64382594345347199</v>
      </c>
      <c r="U11">
        <f t="shared" si="5"/>
        <v>0.15270834704604211</v>
      </c>
      <c r="V11">
        <f t="shared" si="5"/>
        <v>0.64382594345347199</v>
      </c>
      <c r="AA11" s="53">
        <f t="shared" si="6"/>
        <v>1961.1984815586461</v>
      </c>
      <c r="AB11" s="53">
        <f t="shared" si="6"/>
        <v>34860.446203501655</v>
      </c>
    </row>
    <row r="12" spans="1:34" x14ac:dyDescent="0.25">
      <c r="A12" s="31">
        <v>5503</v>
      </c>
      <c r="B12" s="16">
        <v>4857.5307655974402</v>
      </c>
      <c r="C12" s="37">
        <f t="shared" si="0"/>
        <v>0.11729406403826273</v>
      </c>
      <c r="D12" s="37">
        <f t="shared" si="1"/>
        <v>0.11729406403826273</v>
      </c>
      <c r="E12" s="37"/>
      <c r="F12" s="16"/>
      <c r="G12" s="16"/>
      <c r="H12" s="16">
        <f t="shared" si="2"/>
        <v>416630.53256022668</v>
      </c>
      <c r="I12" s="16"/>
      <c r="J12" s="16"/>
      <c r="K12" s="16"/>
      <c r="L12" s="12"/>
      <c r="P12">
        <v>441</v>
      </c>
      <c r="Q12">
        <v>616.25983571750237</v>
      </c>
      <c r="R12" s="6">
        <v>282.13651118247316</v>
      </c>
      <c r="S12">
        <f t="shared" si="3"/>
        <v>-0.39741459346372421</v>
      </c>
      <c r="T12">
        <f t="shared" si="4"/>
        <v>0.36023466852046904</v>
      </c>
      <c r="U12">
        <f t="shared" si="5"/>
        <v>0.39741459346372421</v>
      </c>
      <c r="V12">
        <f t="shared" si="5"/>
        <v>0.36023466852046904</v>
      </c>
      <c r="AA12" s="53">
        <f t="shared" si="6"/>
        <v>30716.010015725918</v>
      </c>
      <c r="AB12" s="53">
        <f t="shared" si="6"/>
        <v>25237.608079276477</v>
      </c>
    </row>
    <row r="13" spans="1:34" x14ac:dyDescent="0.25">
      <c r="A13" s="31">
        <v>2271</v>
      </c>
      <c r="B13" s="16">
        <v>2269.44563598991</v>
      </c>
      <c r="C13" s="37">
        <f t="shared" si="0"/>
        <v>6.8444033909731926E-4</v>
      </c>
      <c r="D13" s="37">
        <f t="shared" si="1"/>
        <v>6.8444033909731926E-4</v>
      </c>
      <c r="E13" s="37"/>
      <c r="F13" s="16"/>
      <c r="G13" s="16"/>
      <c r="H13" s="16">
        <f t="shared" si="2"/>
        <v>2.416047475863103</v>
      </c>
      <c r="I13" s="16"/>
      <c r="J13" s="16"/>
      <c r="K13" s="16"/>
      <c r="L13" s="12"/>
      <c r="P13">
        <v>1069</v>
      </c>
      <c r="Q13">
        <v>1539.0978935044841</v>
      </c>
      <c r="R13" s="6">
        <v>474.94041273941525</v>
      </c>
      <c r="S13">
        <f t="shared" si="3"/>
        <v>-0.43975481151027512</v>
      </c>
      <c r="T13">
        <f t="shared" si="4"/>
        <v>0.55571523597809613</v>
      </c>
      <c r="U13">
        <f t="shared" si="5"/>
        <v>0.43975481151027512</v>
      </c>
      <c r="V13">
        <f t="shared" si="5"/>
        <v>0.55571523597809613</v>
      </c>
      <c r="AA13" s="53">
        <f t="shared" si="6"/>
        <v>220992.02947735327</v>
      </c>
      <c r="AB13" s="53">
        <f t="shared" si="6"/>
        <v>352906.79321621632</v>
      </c>
    </row>
    <row r="14" spans="1:34" x14ac:dyDescent="0.25">
      <c r="A14" s="31">
        <v>3303</v>
      </c>
      <c r="B14" s="16">
        <v>3683.8020060362001</v>
      </c>
      <c r="C14" s="37">
        <f t="shared" si="0"/>
        <v>-0.11528973843057828</v>
      </c>
      <c r="D14" s="37">
        <f t="shared" si="1"/>
        <v>0.11528973843057828</v>
      </c>
      <c r="E14" s="37"/>
      <c r="F14" s="16"/>
      <c r="G14" s="16"/>
      <c r="H14" s="16">
        <f t="shared" si="2"/>
        <v>145010.16780119415</v>
      </c>
      <c r="I14" s="16"/>
      <c r="J14" s="16"/>
      <c r="K14" s="16"/>
      <c r="L14" s="12"/>
      <c r="P14">
        <v>1958</v>
      </c>
      <c r="Q14">
        <v>1767.2357615329954</v>
      </c>
      <c r="R14" s="6">
        <v>586.97474194517849</v>
      </c>
      <c r="S14">
        <f t="shared" si="3"/>
        <v>9.7428109533710214E-2</v>
      </c>
      <c r="T14">
        <f t="shared" si="4"/>
        <v>0.70021719001778426</v>
      </c>
      <c r="U14">
        <f t="shared" si="5"/>
        <v>9.7428109533710214E-2</v>
      </c>
      <c r="V14">
        <f t="shared" si="5"/>
        <v>0.70021719001778426</v>
      </c>
      <c r="AA14" s="53">
        <f t="shared" si="6"/>
        <v>36390.994677896197</v>
      </c>
      <c r="AB14" s="53">
        <f t="shared" si="6"/>
        <v>1879710.2582242899</v>
      </c>
    </row>
    <row r="15" spans="1:34" x14ac:dyDescent="0.25">
      <c r="A15" s="31">
        <v>1761</v>
      </c>
      <c r="B15" s="16">
        <v>1607.33454085471</v>
      </c>
      <c r="C15" s="37">
        <f t="shared" si="0"/>
        <v>8.7260340230147657E-2</v>
      </c>
      <c r="D15" s="37">
        <f t="shared" si="1"/>
        <v>8.7260340230147657E-2</v>
      </c>
      <c r="E15" s="37"/>
      <c r="F15" s="16"/>
      <c r="G15" s="16"/>
      <c r="H15" s="16">
        <f t="shared" si="2"/>
        <v>23613.073334332796</v>
      </c>
      <c r="I15" s="16"/>
      <c r="J15" s="16"/>
      <c r="K15" s="16"/>
      <c r="L15" s="12"/>
      <c r="P15">
        <v>40</v>
      </c>
      <c r="Q15">
        <v>78.980741337675653</v>
      </c>
      <c r="R15" s="6">
        <v>71.681229026760917</v>
      </c>
      <c r="S15">
        <f t="shared" si="3"/>
        <v>-0.97451853344189132</v>
      </c>
      <c r="T15">
        <f t="shared" si="4"/>
        <v>-0.79203072566902288</v>
      </c>
      <c r="U15">
        <f t="shared" si="5"/>
        <v>0.97451853344189132</v>
      </c>
      <c r="V15">
        <f t="shared" si="5"/>
        <v>0.79203072566902288</v>
      </c>
      <c r="AA15" s="53">
        <f t="shared" si="6"/>
        <v>1519.4981952347755</v>
      </c>
      <c r="AB15" s="53">
        <f t="shared" si="6"/>
        <v>1003.7002726460785</v>
      </c>
    </row>
    <row r="16" spans="1:34" x14ac:dyDescent="0.25">
      <c r="A16" s="31">
        <v>3109</v>
      </c>
      <c r="B16" s="16">
        <v>2936.8724147785902</v>
      </c>
      <c r="C16" s="37">
        <f t="shared" si="0"/>
        <v>5.5364292448185859E-2</v>
      </c>
      <c r="D16" s="37">
        <f t="shared" si="1"/>
        <v>5.5364292448185859E-2</v>
      </c>
      <c r="E16" s="37"/>
      <c r="F16" s="16"/>
      <c r="G16" s="16"/>
      <c r="H16" s="16">
        <f t="shared" si="2"/>
        <v>29627.905594153708</v>
      </c>
      <c r="I16" s="16"/>
      <c r="J16" s="16"/>
      <c r="K16" s="16"/>
      <c r="L16" s="12"/>
      <c r="Q16" s="46"/>
      <c r="AA16" s="59" t="s">
        <v>79</v>
      </c>
      <c r="AB16" s="59"/>
    </row>
    <row r="17" spans="1:28" x14ac:dyDescent="0.25">
      <c r="A17" s="31">
        <v>132.51</v>
      </c>
      <c r="B17" s="16">
        <v>252.36015342779999</v>
      </c>
      <c r="C17" s="37">
        <f t="shared" si="0"/>
        <v>-0.90446119860991625</v>
      </c>
      <c r="D17" s="37">
        <f t="shared" si="1"/>
        <v>0.90446119860991625</v>
      </c>
      <c r="E17" s="37"/>
      <c r="F17" s="16"/>
      <c r="G17" s="16"/>
      <c r="H17" s="16">
        <f t="shared" si="2"/>
        <v>14364.0592766672</v>
      </c>
      <c r="I17" s="16"/>
      <c r="J17" s="16"/>
      <c r="K17" s="16"/>
      <c r="L17" s="12"/>
      <c r="AA17" s="43">
        <f>AVERAGE(AA4:AA15)</f>
        <v>39859.651505256938</v>
      </c>
      <c r="AB17" s="43">
        <f>AVERAGE(AB4:AB15)</f>
        <v>255001.32562048454</v>
      </c>
    </row>
    <row r="18" spans="1:28" x14ac:dyDescent="0.25">
      <c r="A18" s="31">
        <v>138.29</v>
      </c>
      <c r="B18" s="16">
        <v>237.68191402933101</v>
      </c>
      <c r="C18" s="37">
        <f t="shared" si="0"/>
        <v>-0.71872090555594059</v>
      </c>
      <c r="D18" s="37">
        <f t="shared" si="1"/>
        <v>0.71872090555594059</v>
      </c>
      <c r="E18" s="37"/>
      <c r="F18" s="16"/>
      <c r="G18" s="16"/>
      <c r="H18" s="16">
        <f t="shared" si="2"/>
        <v>9878.7525744139275</v>
      </c>
      <c r="I18" s="16"/>
      <c r="J18" s="16"/>
      <c r="K18" s="16"/>
      <c r="L18" s="12"/>
      <c r="P18" t="s">
        <v>3</v>
      </c>
      <c r="Q18">
        <f>_xlfn.STDEV.S(Q4:Q15)</f>
        <v>546.07506668372184</v>
      </c>
      <c r="R18" t="s">
        <v>3</v>
      </c>
      <c r="S18">
        <f>_xlfn.STDEV.S(R4:R15)</f>
        <v>167.40923944142406</v>
      </c>
    </row>
    <row r="19" spans="1:28" x14ac:dyDescent="0.25">
      <c r="A19" s="31">
        <v>2908</v>
      </c>
      <c r="B19" s="16">
        <v>2971.59934845622</v>
      </c>
      <c r="C19" s="37">
        <f t="shared" si="0"/>
        <v>-2.1870477460873457E-2</v>
      </c>
      <c r="D19" s="37">
        <f t="shared" si="1"/>
        <v>2.1870477460873457E-2</v>
      </c>
      <c r="E19" s="37"/>
      <c r="F19" s="16"/>
      <c r="G19" s="16"/>
      <c r="H19" s="16">
        <f t="shared" si="2"/>
        <v>4044.8771240556948</v>
      </c>
      <c r="I19" s="16"/>
      <c r="J19" s="16"/>
      <c r="K19" s="16"/>
      <c r="L19" s="12"/>
      <c r="U19" t="s">
        <v>80</v>
      </c>
      <c r="V19" s="44">
        <f>MAX(S4:S15)</f>
        <v>0.34225683645642618</v>
      </c>
      <c r="W19" s="44">
        <f>MAX(T4:T15)</f>
        <v>0.70021719001778426</v>
      </c>
      <c r="X19" s="41">
        <f t="shared" ref="X19:Y19" si="7">MAX(U4:U15)</f>
        <v>0.97451853344189132</v>
      </c>
      <c r="Y19" s="41">
        <f t="shared" si="7"/>
        <v>0.79203072566902288</v>
      </c>
    </row>
    <row r="20" spans="1:28" x14ac:dyDescent="0.25">
      <c r="A20" s="31">
        <v>2851</v>
      </c>
      <c r="B20" s="16">
        <v>2606.9310995268702</v>
      </c>
      <c r="C20" s="37">
        <f t="shared" si="0"/>
        <v>8.5608172736979946E-2</v>
      </c>
      <c r="D20" s="37">
        <f t="shared" si="1"/>
        <v>8.5608172736979946E-2</v>
      </c>
      <c r="E20" s="37"/>
      <c r="F20" s="16"/>
      <c r="G20" s="16"/>
      <c r="H20" s="16">
        <f t="shared" si="2"/>
        <v>59569.628178162544</v>
      </c>
      <c r="I20" s="16"/>
      <c r="J20" s="16"/>
      <c r="K20" s="16"/>
      <c r="L20" s="12"/>
      <c r="U20" t="s">
        <v>81</v>
      </c>
      <c r="V20" s="44">
        <f>MIN(S4:S15)</f>
        <v>-0.97451853344189132</v>
      </c>
      <c r="W20" s="44">
        <f>MIN(T4:T15)</f>
        <v>-0.79203072566902288</v>
      </c>
      <c r="X20" s="41">
        <f t="shared" ref="X20" si="8">MIN(U4:U15)</f>
        <v>6.2744512531273069E-2</v>
      </c>
      <c r="Y20" s="45">
        <f>MIN(V4:V15)</f>
        <v>1.8066696840923203E-2</v>
      </c>
    </row>
    <row r="21" spans="1:28" x14ac:dyDescent="0.25">
      <c r="A21" s="31">
        <v>2195</v>
      </c>
      <c r="B21" s="16">
        <v>2320.2631493448698</v>
      </c>
      <c r="C21" s="37">
        <f t="shared" si="0"/>
        <v>-5.7067494006774404E-2</v>
      </c>
      <c r="D21" s="37">
        <f t="shared" si="1"/>
        <v>5.7067494006774404E-2</v>
      </c>
      <c r="E21" s="37"/>
      <c r="F21" s="16"/>
      <c r="G21" s="16"/>
      <c r="H21" s="16">
        <f t="shared" si="2"/>
        <v>15690.856583795159</v>
      </c>
      <c r="I21" s="16"/>
      <c r="J21" s="16"/>
      <c r="K21" s="16"/>
      <c r="L21" s="12"/>
    </row>
    <row r="22" spans="1:28" x14ac:dyDescent="0.25">
      <c r="A22" s="31">
        <v>1965.7</v>
      </c>
      <c r="B22" s="16">
        <v>1612.1812827313499</v>
      </c>
      <c r="C22" s="37">
        <f t="shared" si="0"/>
        <v>0.1798436777070001</v>
      </c>
      <c r="D22" s="37">
        <f t="shared" si="1"/>
        <v>0.1798436777070001</v>
      </c>
      <c r="E22" s="37"/>
      <c r="F22" s="16"/>
      <c r="G22" s="16"/>
      <c r="H22" s="16">
        <f t="shared" si="2"/>
        <v>124975.48345927177</v>
      </c>
      <c r="I22" s="16"/>
      <c r="J22" s="16"/>
      <c r="K22" s="16"/>
      <c r="L22" s="12"/>
    </row>
    <row r="23" spans="1:28" x14ac:dyDescent="0.25">
      <c r="A23" s="31">
        <v>2723</v>
      </c>
      <c r="B23" s="16">
        <v>2799.7464544295799</v>
      </c>
      <c r="C23" s="37">
        <f t="shared" si="0"/>
        <v>-2.8184522375901543E-2</v>
      </c>
      <c r="D23" s="37">
        <f t="shared" si="1"/>
        <v>2.8184522375901543E-2</v>
      </c>
      <c r="E23" s="37"/>
      <c r="F23" s="16"/>
      <c r="G23" s="16"/>
      <c r="H23" s="16">
        <f t="shared" si="2"/>
        <v>5890.0182675115839</v>
      </c>
      <c r="I23" s="16"/>
      <c r="J23" s="16"/>
      <c r="K23" s="16"/>
      <c r="L23" s="12"/>
    </row>
    <row r="24" spans="1:28" x14ac:dyDescent="0.25">
      <c r="A24" s="31">
        <v>1574</v>
      </c>
      <c r="B24" s="16">
        <v>1103.1689373793299</v>
      </c>
      <c r="C24" s="37">
        <f t="shared" si="0"/>
        <v>0.29913028120754137</v>
      </c>
      <c r="D24" s="37">
        <f t="shared" si="1"/>
        <v>0.29913028120754137</v>
      </c>
      <c r="E24" s="37"/>
      <c r="F24" s="16"/>
      <c r="G24" s="16"/>
      <c r="H24" s="16">
        <f t="shared" si="2"/>
        <v>221681.88952850935</v>
      </c>
      <c r="I24" s="16"/>
      <c r="J24" s="16"/>
      <c r="K24" s="16"/>
      <c r="L24" s="12"/>
    </row>
    <row r="25" spans="1:28" x14ac:dyDescent="0.25">
      <c r="A25" s="31">
        <v>2919</v>
      </c>
      <c r="B25" s="16">
        <v>2887.0599406999399</v>
      </c>
      <c r="C25" s="37">
        <f t="shared" si="0"/>
        <v>1.0942123775286076E-2</v>
      </c>
      <c r="D25" s="37">
        <f t="shared" si="1"/>
        <v>1.0942123775286076E-2</v>
      </c>
      <c r="E25" s="37"/>
      <c r="F25" s="16"/>
      <c r="G25" s="16"/>
      <c r="H25" s="16">
        <f t="shared" si="2"/>
        <v>1020.1673880913529</v>
      </c>
      <c r="I25" s="16"/>
      <c r="J25" s="16"/>
      <c r="K25" s="16"/>
      <c r="L25" s="12"/>
    </row>
    <row r="26" spans="1:28" x14ac:dyDescent="0.25">
      <c r="A26" s="31">
        <v>139.83000000000001</v>
      </c>
      <c r="B26" s="16">
        <v>468.31686555583298</v>
      </c>
      <c r="C26" s="37">
        <f t="shared" si="0"/>
        <v>-2.349187338595673</v>
      </c>
      <c r="D26" s="37">
        <f t="shared" si="1"/>
        <v>2.349187338595673</v>
      </c>
      <c r="E26" s="37"/>
      <c r="F26" s="16"/>
      <c r="G26" s="16"/>
      <c r="H26" s="16">
        <f t="shared" si="2"/>
        <v>107903.62084269591</v>
      </c>
      <c r="I26" s="16"/>
      <c r="J26" s="16"/>
      <c r="K26" s="16"/>
      <c r="L26" s="12"/>
    </row>
    <row r="27" spans="1:28" x14ac:dyDescent="0.25">
      <c r="A27" s="31">
        <v>2706</v>
      </c>
      <c r="B27" s="16">
        <v>2673.3446882021299</v>
      </c>
      <c r="C27" s="37">
        <f t="shared" si="0"/>
        <v>1.2067742719094651E-2</v>
      </c>
      <c r="D27" s="37">
        <f t="shared" si="1"/>
        <v>1.2067742719094651E-2</v>
      </c>
      <c r="E27" s="37"/>
      <c r="F27" s="16"/>
      <c r="G27" s="16"/>
      <c r="H27" s="16">
        <f t="shared" si="2"/>
        <v>1066.3693886161159</v>
      </c>
      <c r="I27" s="16"/>
      <c r="J27" s="16"/>
      <c r="K27" s="16"/>
      <c r="L27" s="12"/>
    </row>
    <row r="28" spans="1:28" x14ac:dyDescent="0.25">
      <c r="A28" s="31">
        <v>2316</v>
      </c>
      <c r="B28" s="16">
        <v>2749.7647812055502</v>
      </c>
      <c r="C28" s="37">
        <f>(A28-B28)/A28</f>
        <v>-0.18729049274851045</v>
      </c>
      <c r="D28" s="37">
        <f t="shared" si="1"/>
        <v>0.18729049274851045</v>
      </c>
      <c r="E28" s="37"/>
      <c r="F28" s="16"/>
      <c r="G28" s="16"/>
      <c r="H28" s="16">
        <f t="shared" si="2"/>
        <v>188151.88541429886</v>
      </c>
      <c r="I28" s="16"/>
      <c r="J28" s="16"/>
      <c r="K28" s="16"/>
      <c r="L28" s="12"/>
    </row>
    <row r="29" spans="1:28" x14ac:dyDescent="0.25">
      <c r="A29" s="31">
        <v>2155</v>
      </c>
      <c r="B29" s="16">
        <v>2105.8930815396002</v>
      </c>
      <c r="C29" s="37">
        <f t="shared" si="0"/>
        <v>2.2787433160278335E-2</v>
      </c>
      <c r="D29" s="37">
        <f t="shared" si="1"/>
        <v>2.2787433160278335E-2</v>
      </c>
      <c r="E29" s="37"/>
      <c r="F29" s="16"/>
      <c r="G29" s="16"/>
      <c r="H29" s="16">
        <f t="shared" si="2"/>
        <v>2411.4894406763556</v>
      </c>
      <c r="I29" s="16"/>
      <c r="J29" s="16"/>
      <c r="K29" s="16"/>
      <c r="L29" s="12"/>
    </row>
    <row r="30" spans="1:28" x14ac:dyDescent="0.25">
      <c r="A30" s="31">
        <v>5921</v>
      </c>
      <c r="B30" s="16">
        <v>5916.3095324760397</v>
      </c>
      <c r="C30" s="37">
        <f t="shared" si="0"/>
        <v>7.9217489004564285E-4</v>
      </c>
      <c r="D30" s="37">
        <f t="shared" si="1"/>
        <v>7.9217489004564285E-4</v>
      </c>
      <c r="E30" s="37"/>
      <c r="F30" s="16"/>
      <c r="G30" s="16"/>
      <c r="H30" s="16">
        <f t="shared" si="2"/>
        <v>22.000485593325809</v>
      </c>
      <c r="I30" s="16"/>
      <c r="J30" s="16"/>
      <c r="K30" s="16"/>
      <c r="L30" s="12"/>
    </row>
    <row r="31" spans="1:28" x14ac:dyDescent="0.25">
      <c r="A31" s="31">
        <v>2820</v>
      </c>
      <c r="B31" s="16">
        <v>2775.2201907386502</v>
      </c>
      <c r="C31" s="37">
        <f t="shared" si="0"/>
        <v>1.5879364986294248E-2</v>
      </c>
      <c r="D31" s="37">
        <f t="shared" si="1"/>
        <v>1.5879364986294248E-2</v>
      </c>
      <c r="E31" s="37"/>
      <c r="F31" s="16"/>
      <c r="G31" s="16"/>
      <c r="H31" s="16">
        <f t="shared" si="2"/>
        <v>2005.2313174828678</v>
      </c>
      <c r="I31" s="16"/>
      <c r="J31" s="16"/>
      <c r="K31" s="16"/>
      <c r="L31" s="12"/>
    </row>
    <row r="32" spans="1:28" x14ac:dyDescent="0.25">
      <c r="A32" s="31">
        <v>2809</v>
      </c>
      <c r="B32" s="16">
        <v>2796.2312284489199</v>
      </c>
      <c r="C32" s="37">
        <f t="shared" si="0"/>
        <v>4.5456644895265699E-3</v>
      </c>
      <c r="D32" s="37">
        <f t="shared" si="1"/>
        <v>4.5456644895265699E-3</v>
      </c>
      <c r="E32" s="37"/>
      <c r="F32" s="16"/>
      <c r="G32" s="16"/>
      <c r="H32" s="16">
        <f t="shared" si="2"/>
        <v>163.04152692367342</v>
      </c>
      <c r="I32" s="16"/>
      <c r="J32" s="16"/>
      <c r="K32" s="16"/>
      <c r="L32" s="12"/>
    </row>
    <row r="33" spans="1:12" x14ac:dyDescent="0.25">
      <c r="A33" s="31">
        <v>3710</v>
      </c>
      <c r="B33" s="16">
        <v>3725.3414642190401</v>
      </c>
      <c r="C33" s="37">
        <f>(A33-B33)/A33</f>
        <v>-4.1351655576927389E-3</v>
      </c>
      <c r="D33" s="37">
        <f t="shared" si="1"/>
        <v>4.1351655576927389E-3</v>
      </c>
      <c r="E33" s="37"/>
      <c r="F33" s="16"/>
      <c r="G33" s="16"/>
      <c r="H33" s="16">
        <f t="shared" si="2"/>
        <v>235.36052438408652</v>
      </c>
      <c r="I33" s="16"/>
      <c r="J33" s="16"/>
      <c r="K33" s="16"/>
      <c r="L33" s="12"/>
    </row>
    <row r="34" spans="1:12" x14ac:dyDescent="0.25">
      <c r="A34" s="31"/>
      <c r="B34" s="16"/>
      <c r="C34" s="16"/>
      <c r="D34" s="16"/>
      <c r="E34" s="16"/>
      <c r="F34" s="46"/>
      <c r="G34" s="46"/>
      <c r="H34" s="46" t="s">
        <v>79</v>
      </c>
      <c r="I34" s="16"/>
      <c r="J34" s="16"/>
      <c r="K34" s="16"/>
      <c r="L34" s="12"/>
    </row>
    <row r="35" spans="1:12" x14ac:dyDescent="0.25">
      <c r="A35" s="47"/>
      <c r="B35" s="46"/>
      <c r="C35" s="46" t="s">
        <v>1</v>
      </c>
      <c r="D35" s="48">
        <f>MAX(C4:C33)</f>
        <v>0.29913028120754137</v>
      </c>
      <c r="E35" s="48">
        <f>MAX(D4:D33)</f>
        <v>2.349187338595673</v>
      </c>
      <c r="F35" s="46"/>
      <c r="G35" s="46"/>
      <c r="H35" s="46">
        <f>AVERAGE(H4:H33)</f>
        <v>57299.124430518576</v>
      </c>
      <c r="I35" s="46"/>
      <c r="J35" s="46"/>
      <c r="K35" s="46"/>
      <c r="L35" s="49"/>
    </row>
    <row r="36" spans="1:12" x14ac:dyDescent="0.25">
      <c r="A36" t="s">
        <v>3</v>
      </c>
      <c r="B36">
        <f>_xlfn.STDEV.S(B4:B33)</f>
        <v>1321.5375610078011</v>
      </c>
      <c r="C36" t="s">
        <v>2</v>
      </c>
      <c r="D36" s="50">
        <f>MIN(C4:C33)</f>
        <v>-2.349187338595673</v>
      </c>
      <c r="E36" s="50">
        <f>MIN(D4:D33)</f>
        <v>6.8444033909731926E-4</v>
      </c>
    </row>
  </sheetData>
  <mergeCells count="11">
    <mergeCell ref="AA16:AB16"/>
    <mergeCell ref="A1:L1"/>
    <mergeCell ref="P1:AH1"/>
    <mergeCell ref="S2:T2"/>
    <mergeCell ref="U2:V2"/>
    <mergeCell ref="W2:X2"/>
    <mergeCell ref="Y2:Z2"/>
    <mergeCell ref="AA2:AB2"/>
    <mergeCell ref="AC2:AD2"/>
    <mergeCell ref="AE2:AF2"/>
    <mergeCell ref="AG2:A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BubblePointPressure</vt:lpstr>
      <vt:lpstr>StatsPob</vt:lpstr>
      <vt:lpstr>PobAnalyxe</vt:lpstr>
      <vt:lpstr>OilFormationVolumeFactor</vt:lpstr>
      <vt:lpstr>BobAnalyxe</vt:lpstr>
      <vt:lpstr>StatsOfvf</vt:lpstr>
      <vt:lpstr>GasOilRatio</vt:lpstr>
      <vt:lpstr>GorAnalyxe</vt:lpstr>
      <vt:lpstr>Pob</vt:lpstr>
      <vt:lpstr>StatsRs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Arnauld</cp:lastModifiedBy>
  <dcterms:created xsi:type="dcterms:W3CDTF">2019-09-10T21:25:40Z</dcterms:created>
  <dcterms:modified xsi:type="dcterms:W3CDTF">2020-06-18T14:14:13Z</dcterms:modified>
</cp:coreProperties>
</file>