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Cours\Cours\S5\"/>
    </mc:Choice>
  </mc:AlternateContent>
  <xr:revisionPtr revIDLastSave="0" documentId="13_ncr:1_{8B5CA8D5-117A-4DB3-BCD7-A78127BBEE8B}" xr6:coauthVersionLast="47" xr6:coauthVersionMax="47" xr10:uidLastSave="{00000000-0000-0000-0000-000000000000}"/>
  <bookViews>
    <workbookView xWindow="-120" yWindow="-120" windowWidth="38640" windowHeight="21120" activeTab="6" xr2:uid="{2E8E7208-82B7-4409-9720-F3A463F8A593}"/>
  </bookViews>
  <sheets>
    <sheet name="Charges Indirects" sheetId="1" r:id="rId1"/>
    <sheet name="Données" sheetId="3" r:id="rId2"/>
    <sheet name="Stocks" sheetId="2" r:id="rId3"/>
    <sheet name="Coûts d'achat" sheetId="4" r:id="rId4"/>
    <sheet name="Coûts de production" sheetId="5" r:id="rId5"/>
    <sheet name="Coût de revient" sheetId="6" r:id="rId6"/>
    <sheet name="Résultats analytiqu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2" l="1"/>
  <c r="M14" i="2"/>
  <c r="M6" i="2"/>
  <c r="H22" i="2"/>
  <c r="H14" i="2"/>
  <c r="H6" i="2"/>
  <c r="M19" i="2"/>
  <c r="N19" i="2" s="1"/>
  <c r="H3" i="7"/>
  <c r="I3" i="7"/>
  <c r="D3" i="7"/>
  <c r="C3" i="7"/>
  <c r="G5" i="7"/>
  <c r="G3" i="7"/>
  <c r="B5" i="7"/>
  <c r="B3" i="7"/>
  <c r="G4" i="7"/>
  <c r="B4" i="7"/>
  <c r="G4" i="6"/>
  <c r="B4" i="6"/>
  <c r="L15" i="2"/>
  <c r="L23" i="2"/>
  <c r="L22" i="2"/>
  <c r="L20" i="2"/>
  <c r="L19" i="2"/>
  <c r="L14" i="2"/>
  <c r="G10" i="5"/>
  <c r="B10" i="5"/>
  <c r="L12" i="2"/>
  <c r="M11" i="2"/>
  <c r="L11" i="2"/>
  <c r="B8" i="6"/>
  <c r="G8" i="6"/>
  <c r="H7" i="6"/>
  <c r="G7" i="6"/>
  <c r="I7" i="6" s="1"/>
  <c r="C7" i="6"/>
  <c r="B7" i="6"/>
  <c r="D7" i="6" s="1"/>
  <c r="H6" i="6"/>
  <c r="G6" i="6"/>
  <c r="I6" i="6" s="1"/>
  <c r="C6" i="6"/>
  <c r="B6" i="6"/>
  <c r="D6" i="6" s="1"/>
  <c r="H23" i="2"/>
  <c r="C5" i="5" s="1"/>
  <c r="H9" i="5"/>
  <c r="G9" i="5"/>
  <c r="H8" i="5"/>
  <c r="G8" i="5"/>
  <c r="H4" i="5"/>
  <c r="I9" i="5"/>
  <c r="I8" i="5"/>
  <c r="G5" i="5"/>
  <c r="G6" i="5" s="1"/>
  <c r="G4" i="5" s="1"/>
  <c r="I4" i="5" s="1"/>
  <c r="D8" i="5"/>
  <c r="D9" i="5"/>
  <c r="C9" i="5"/>
  <c r="B9" i="5"/>
  <c r="B8" i="5"/>
  <c r="C8" i="5"/>
  <c r="M3" i="2"/>
  <c r="L7" i="2"/>
  <c r="L3" i="2"/>
  <c r="M5" i="2" s="1"/>
  <c r="N4" i="2"/>
  <c r="L5" i="2"/>
  <c r="H19" i="2"/>
  <c r="G23" i="2"/>
  <c r="G19" i="2"/>
  <c r="H21" i="2"/>
  <c r="B5" i="5"/>
  <c r="H12" i="2"/>
  <c r="G12" i="2"/>
  <c r="G15" i="2"/>
  <c r="H11" i="2"/>
  <c r="G11" i="2"/>
  <c r="H4" i="2"/>
  <c r="G4" i="2"/>
  <c r="H3" i="2"/>
  <c r="G3" i="2"/>
  <c r="G5" i="2" s="1"/>
  <c r="G7" i="2"/>
  <c r="H3" i="4"/>
  <c r="H6" i="4" s="1"/>
  <c r="G3" i="4"/>
  <c r="G6" i="4" s="1"/>
  <c r="D6" i="4"/>
  <c r="C6" i="4"/>
  <c r="B6" i="4"/>
  <c r="D3" i="4"/>
  <c r="C3" i="4"/>
  <c r="B3" i="4"/>
  <c r="J5" i="1"/>
  <c r="H5" i="1"/>
  <c r="D5" i="1"/>
  <c r="B5" i="1" s="1"/>
  <c r="B6" i="1" s="1"/>
  <c r="N4" i="1"/>
  <c r="N6" i="1" s="1"/>
  <c r="N9" i="1" s="1"/>
  <c r="L4" i="1"/>
  <c r="F4" i="1"/>
  <c r="F6" i="1" s="1"/>
  <c r="F9" i="1" s="1"/>
  <c r="D4" i="1"/>
  <c r="B4" i="1"/>
  <c r="N8" i="1"/>
  <c r="L8" i="1"/>
  <c r="J8" i="1"/>
  <c r="H8" i="1"/>
  <c r="F8" i="1"/>
  <c r="L6" i="1"/>
  <c r="L9" i="1" s="1"/>
  <c r="D6" i="1"/>
  <c r="J6" i="1"/>
  <c r="J9" i="1" s="1"/>
  <c r="H6" i="1"/>
  <c r="H9" i="1" s="1"/>
  <c r="B4" i="3"/>
  <c r="B3" i="3"/>
  <c r="H5" i="5" l="1"/>
  <c r="I5" i="5" s="1"/>
  <c r="D5" i="5"/>
  <c r="L21" i="2"/>
  <c r="N11" i="2"/>
  <c r="L13" i="2"/>
  <c r="B6" i="5"/>
  <c r="L6" i="2"/>
  <c r="N5" i="2"/>
  <c r="N3" i="2"/>
  <c r="G21" i="2"/>
  <c r="I19" i="2"/>
  <c r="I20" i="2"/>
  <c r="H5" i="2"/>
  <c r="I5" i="2"/>
  <c r="G6" i="2"/>
  <c r="I4" i="2"/>
  <c r="I3" i="2"/>
  <c r="H13" i="2"/>
  <c r="I11" i="2"/>
  <c r="I12" i="2"/>
  <c r="G13" i="2"/>
  <c r="I3" i="4"/>
  <c r="I6" i="4" s="1"/>
  <c r="B4" i="5" l="1"/>
  <c r="N6" i="2"/>
  <c r="M7" i="2"/>
  <c r="I21" i="2"/>
  <c r="G22" i="2"/>
  <c r="H7" i="2"/>
  <c r="I6" i="2"/>
  <c r="G14" i="2"/>
  <c r="I13" i="2"/>
  <c r="N7" i="2" l="1"/>
  <c r="C6" i="5"/>
  <c r="D6" i="5" s="1"/>
  <c r="H6" i="5"/>
  <c r="I6" i="5" s="1"/>
  <c r="I10" i="5" s="1"/>
  <c r="H10" i="5" s="1"/>
  <c r="M20" i="2" s="1"/>
  <c r="N20" i="2" s="1"/>
  <c r="I7" i="2"/>
  <c r="C4" i="5"/>
  <c r="D4" i="5" s="1"/>
  <c r="D10" i="5" s="1"/>
  <c r="C10" i="5" s="1"/>
  <c r="M12" i="2" s="1"/>
  <c r="I22" i="2"/>
  <c r="I23" i="2"/>
  <c r="H15" i="2"/>
  <c r="I15" i="2" s="1"/>
  <c r="I14" i="2"/>
  <c r="M21" i="2" l="1"/>
  <c r="N21" i="2" s="1"/>
  <c r="M13" i="2"/>
  <c r="N12" i="2"/>
  <c r="H4" i="6" l="1"/>
  <c r="I4" i="6" s="1"/>
  <c r="I8" i="6" s="1"/>
  <c r="N22" i="2"/>
  <c r="M23" i="2"/>
  <c r="N23" i="2" s="1"/>
  <c r="N14" i="2"/>
  <c r="C4" i="6"/>
  <c r="D4" i="6" s="1"/>
  <c r="D8" i="6" s="1"/>
  <c r="N13" i="2"/>
  <c r="M15" i="2"/>
  <c r="N15" i="2" s="1"/>
  <c r="I4" i="7" l="1"/>
  <c r="H8" i="6"/>
  <c r="H4" i="7" s="1"/>
  <c r="H5" i="7" s="1"/>
  <c r="I5" i="7" s="1"/>
  <c r="D4" i="7"/>
  <c r="C8" i="6"/>
  <c r="C4" i="7" s="1"/>
  <c r="C5" i="7" s="1"/>
  <c r="D5" i="7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<sst xmlns="http://schemas.openxmlformats.org/spreadsheetml/2006/main" count="188" uniqueCount="87">
  <si>
    <t>Centres auxiliaires</t>
  </si>
  <si>
    <t>Entretien</t>
  </si>
  <si>
    <t>Transport</t>
  </si>
  <si>
    <t>Centres principaux</t>
  </si>
  <si>
    <t>Approvisionnement</t>
  </si>
  <si>
    <t>Atelier tri séchage</t>
  </si>
  <si>
    <t>Atelier conditionnement</t>
  </si>
  <si>
    <t>Distribution</t>
  </si>
  <si>
    <t>Centre de structure</t>
  </si>
  <si>
    <t>Administration</t>
  </si>
  <si>
    <t>Répartition primaire</t>
  </si>
  <si>
    <t>Centre Transport</t>
  </si>
  <si>
    <t>Centre entretien</t>
  </si>
  <si>
    <t>Nature de l'U.O.</t>
  </si>
  <si>
    <t>Coût d'U.O.</t>
  </si>
  <si>
    <t>Nb d'U.O.</t>
  </si>
  <si>
    <t>Kg plantes fraîches achetées</t>
  </si>
  <si>
    <t>Kg plantes fraîches traitées</t>
  </si>
  <si>
    <t>Nombres de sachets fabriqués</t>
  </si>
  <si>
    <t>100€ de chiffre d'affaires</t>
  </si>
  <si>
    <t>Coût de production des produits vendus</t>
  </si>
  <si>
    <t>Stocks au 1 er Décembre</t>
  </si>
  <si>
    <t>Stock réèl au 31 décembre</t>
  </si>
  <si>
    <t>Plantes séchées amincissantes</t>
  </si>
  <si>
    <t>Plantes séchées relaxantes</t>
  </si>
  <si>
    <t>Boîtes d’infusion ELFI</t>
  </si>
  <si>
    <t>Boîtes d’infusion MELISSA</t>
  </si>
  <si>
    <t>Boîtes vides</t>
  </si>
  <si>
    <t>Sachets vides</t>
  </si>
  <si>
    <t>Quantités</t>
  </si>
  <si>
    <t>Prix unitaire</t>
  </si>
  <si>
    <t>quantités</t>
  </si>
  <si>
    <t>Achats du mois de décembre</t>
  </si>
  <si>
    <t>plantes fraîches amincissantes</t>
  </si>
  <si>
    <t>plantes fraîches relaxantes</t>
  </si>
  <si>
    <t>Masse</t>
  </si>
  <si>
    <t>prix au kg</t>
  </si>
  <si>
    <t>Production du mois de décembre</t>
  </si>
  <si>
    <t>Infusion MELISSA</t>
  </si>
  <si>
    <t>Infusion ELFI</t>
  </si>
  <si>
    <t>Ventes du mois de décembre</t>
  </si>
  <si>
    <t>boîtes d’infusion ELFI</t>
  </si>
  <si>
    <t>boîtes d’infusion MELISSA</t>
  </si>
  <si>
    <t>Nombre de boîtes</t>
  </si>
  <si>
    <t>Charges directes du mois de décembre</t>
  </si>
  <si>
    <t>Atelier tri-séchage</t>
  </si>
  <si>
    <t>Plantes amincissantes</t>
  </si>
  <si>
    <t>Plantes relaxantes</t>
  </si>
  <si>
    <t>Nombre d'heures</t>
  </si>
  <si>
    <t>rémunération €/h</t>
  </si>
  <si>
    <t>Totaux après répartition secondaire</t>
  </si>
  <si>
    <t>Coût d'achat des plantes fraîches amincissantes</t>
  </si>
  <si>
    <t>Charges  directes</t>
  </si>
  <si>
    <t>Achats</t>
  </si>
  <si>
    <t>Charges indirectes</t>
  </si>
  <si>
    <t>Centre approvisionnement</t>
  </si>
  <si>
    <t>Total</t>
  </si>
  <si>
    <t>Quantité</t>
  </si>
  <si>
    <t>Prix Unitaire</t>
  </si>
  <si>
    <t>Montant</t>
  </si>
  <si>
    <t>Stock de plantes séchées amincissantes</t>
  </si>
  <si>
    <t>Stock Initial</t>
  </si>
  <si>
    <t>Entrée</t>
  </si>
  <si>
    <t>Sorties</t>
  </si>
  <si>
    <t>Stock final</t>
  </si>
  <si>
    <t>Stock de plantes séchées relaxantes</t>
  </si>
  <si>
    <t>Charges Directes</t>
  </si>
  <si>
    <t>Charges Indirectes</t>
  </si>
  <si>
    <t>Coût de production d'infusion ELFI</t>
  </si>
  <si>
    <t>Stock de boîtes</t>
  </si>
  <si>
    <t>Stock de sachets</t>
  </si>
  <si>
    <t>MOD Atelier tri-séchage</t>
  </si>
  <si>
    <t>MOD Atelier de conditionnement</t>
  </si>
  <si>
    <t>Coût de production d'infusion Melissa</t>
  </si>
  <si>
    <t>Coût de revient des infusions ELFI</t>
  </si>
  <si>
    <t>Coût de revient des infusions Melissa</t>
  </si>
  <si>
    <t>Infusions ELFI</t>
  </si>
  <si>
    <t>Infusions Melissa</t>
  </si>
  <si>
    <t>Stock d'infusion ELFI</t>
  </si>
  <si>
    <t>Stock d'infusion Melissa</t>
  </si>
  <si>
    <t>Coût d'achat des plantes fraîches relaxante</t>
  </si>
  <si>
    <t>Différence de 20 entre le final et le résultat attendu</t>
  </si>
  <si>
    <t>Résultat analytique des infusions ELFI</t>
  </si>
  <si>
    <t>CA</t>
  </si>
  <si>
    <t>Coût de revient</t>
  </si>
  <si>
    <t>Résultat analytique</t>
  </si>
  <si>
    <t>Résultat analytique des infusions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</si>
</sst>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0&quot; kg&quot;"/>
    <numFmt numFmtId="165" formatCode="0&quot; boîtes&quot;"/>
    <numFmt numFmtId="166" formatCode="0&quot; €&quot;"/>
    <numFmt numFmtId="167" formatCode="0&quot; H&quot;"/>
    <numFmt numFmtId="168" formatCode="0&quot; sachets&quot;"/>
    <numFmt numFmtId="169" formatCode="0&quot; unités&quot;"/>
    <numFmt numFmtId="170" formatCode="0.000&quot; €&quot;"/>
    <numFmt numFmtId="171" formatCode="0.00&quot; €&quot;"/>
    <numFmt numFmtId="172" formatCode="0.0&quot; €&quot;"/>
    <numFmt numFmtId="173" formatCode="0&quot; infusions&quot;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9C000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rgb="FF7F7F7F"/>
      </left>
      <right/>
      <top style="thick">
        <color theme="4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ck">
        <color theme="4"/>
      </top>
      <bottom style="thin">
        <color rgb="FF7F7F7F"/>
      </bottom>
      <diagonal/>
    </border>
    <border>
      <left style="medium">
        <color indexed="64"/>
      </left>
      <right/>
      <top style="thick">
        <color theme="4"/>
      </top>
      <bottom style="thick">
        <color theme="4" tint="0.499984740745262"/>
      </bottom>
      <diagonal/>
    </border>
    <border>
      <left/>
      <right style="medium">
        <color indexed="64"/>
      </right>
      <top style="thick">
        <color theme="4"/>
      </top>
      <bottom style="thick">
        <color theme="4" tint="0.499984740745262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ck">
        <color theme="4" tint="0.39994506668294322"/>
      </bottom>
      <diagonal/>
    </border>
    <border>
      <left/>
      <right/>
      <top style="medium">
        <color theme="1"/>
      </top>
      <bottom style="thick">
        <color theme="4" tint="0.39994506668294322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medium">
        <color theme="1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theme="1"/>
      </right>
      <top/>
      <bottom style="thin">
        <color rgb="FF7F7F7F"/>
      </bottom>
      <diagonal/>
    </border>
    <border>
      <left style="medium">
        <color theme="1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theme="1"/>
      </right>
      <top style="thin">
        <color rgb="FF7F7F7F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ck">
        <color theme="4" tint="0.499984740745262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double">
        <color theme="4"/>
      </bottom>
      <diagonal/>
    </border>
    <border>
      <left style="medium">
        <color theme="1"/>
      </left>
      <right style="medium">
        <color theme="1"/>
      </right>
      <top/>
      <bottom style="thick">
        <color theme="4" tint="0.499984740745262"/>
      </bottom>
      <diagonal/>
    </border>
    <border>
      <left style="medium">
        <color theme="1"/>
      </left>
      <right/>
      <top style="medium">
        <color indexed="64"/>
      </top>
      <bottom style="thick">
        <color theme="4"/>
      </bottom>
      <diagonal/>
    </border>
    <border>
      <left/>
      <right style="medium">
        <color theme="1"/>
      </right>
      <top style="medium">
        <color indexed="64"/>
      </top>
      <bottom style="thick">
        <color theme="4"/>
      </bottom>
      <diagonal/>
    </border>
    <border>
      <left style="medium">
        <color theme="1"/>
      </left>
      <right style="medium">
        <color indexed="64"/>
      </right>
      <top/>
      <bottom style="thick">
        <color theme="4" tint="0.499984740745262"/>
      </bottom>
      <diagonal/>
    </border>
    <border>
      <left style="thick">
        <color theme="1"/>
      </left>
      <right/>
      <top style="thick">
        <color theme="1"/>
      </top>
      <bottom style="thick">
        <color theme="4"/>
      </bottom>
      <diagonal/>
    </border>
    <border>
      <left/>
      <right/>
      <top style="thick">
        <color theme="1"/>
      </top>
      <bottom style="thick">
        <color theme="4"/>
      </bottom>
      <diagonal/>
    </border>
    <border>
      <left/>
      <right style="thick">
        <color theme="1"/>
      </right>
      <top style="thick">
        <color theme="1"/>
      </top>
      <bottom style="thick">
        <color theme="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1" fillId="3" borderId="5" applyNumberFormat="0" applyFont="0" applyAlignment="0" applyProtection="0"/>
    <xf numFmtId="0" fontId="6" fillId="0" borderId="6" applyNumberFormat="0" applyFill="0" applyAlignment="0" applyProtection="0"/>
    <xf numFmtId="0" fontId="8" fillId="4" borderId="0" applyNumberFormat="0" applyBorder="0" applyAlignment="0" applyProtection="0"/>
  </cellStyleXfs>
  <cellXfs count="127">
    <xf numFmtId="0" fontId="0" fillId="0" borderId="0" xfId="0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1" xfId="2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2" xfId="3" applyAlignment="1">
      <alignment horizontal="center" vertical="center" wrapText="1"/>
    </xf>
    <xf numFmtId="0" fontId="3" fillId="0" borderId="13" xfId="3" applyBorder="1" applyAlignment="1">
      <alignment horizontal="center" vertical="center" wrapText="1"/>
    </xf>
    <xf numFmtId="0" fontId="3" fillId="3" borderId="14" xfId="6" applyFont="1" applyBorder="1" applyAlignment="1">
      <alignment horizontal="center" vertical="center" wrapText="1"/>
    </xf>
    <xf numFmtId="0" fontId="3" fillId="3" borderId="16" xfId="6" applyFont="1" applyBorder="1" applyAlignment="1">
      <alignment horizontal="center" vertical="center" wrapText="1"/>
    </xf>
    <xf numFmtId="0" fontId="5" fillId="2" borderId="15" xfId="5" applyBorder="1" applyAlignment="1">
      <alignment horizontal="center" vertical="center" wrapText="1"/>
    </xf>
    <xf numFmtId="0" fontId="0" fillId="0" borderId="12" xfId="0" applyBorder="1"/>
    <xf numFmtId="0" fontId="4" fillId="0" borderId="3" xfId="4" applyAlignment="1">
      <alignment horizontal="center" vertical="center" wrapText="1"/>
    </xf>
    <xf numFmtId="0" fontId="4" fillId="0" borderId="22" xfId="4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5" fillId="2" borderId="15" xfId="5" applyNumberFormat="1" applyBorder="1" applyAlignment="1">
      <alignment horizontal="center" vertical="center" wrapText="1"/>
    </xf>
    <xf numFmtId="164" fontId="5" fillId="2" borderId="4" xfId="5" applyNumberFormat="1" applyAlignment="1">
      <alignment horizontal="center" vertical="center" wrapText="1"/>
    </xf>
    <xf numFmtId="164" fontId="5" fillId="2" borderId="17" xfId="5" applyNumberFormat="1" applyBorder="1" applyAlignment="1">
      <alignment horizontal="center" vertical="center" wrapText="1"/>
    </xf>
    <xf numFmtId="165" fontId="5" fillId="2" borderId="17" xfId="5" applyNumberFormat="1" applyBorder="1" applyAlignment="1">
      <alignment horizontal="center" vertical="center" wrapText="1"/>
    </xf>
    <xf numFmtId="165" fontId="5" fillId="2" borderId="4" xfId="5" applyNumberFormat="1" applyAlignment="1">
      <alignment horizontal="center" vertical="center" wrapText="1"/>
    </xf>
    <xf numFmtId="166" fontId="5" fillId="2" borderId="15" xfId="5" applyNumberFormat="1" applyBorder="1" applyAlignment="1">
      <alignment horizontal="center" vertical="center" wrapText="1"/>
    </xf>
    <xf numFmtId="166" fontId="5" fillId="2" borderId="18" xfId="5" applyNumberFormat="1" applyBorder="1" applyAlignment="1">
      <alignment horizontal="center" vertical="center" wrapText="1"/>
    </xf>
    <xf numFmtId="167" fontId="5" fillId="2" borderId="4" xfId="5" applyNumberFormat="1" applyAlignment="1">
      <alignment horizontal="center" vertical="center" wrapText="1"/>
    </xf>
    <xf numFmtId="167" fontId="5" fillId="2" borderId="17" xfId="5" applyNumberFormat="1" applyBorder="1" applyAlignment="1">
      <alignment horizontal="center" vertical="center" wrapText="1"/>
    </xf>
    <xf numFmtId="168" fontId="0" fillId="0" borderId="26" xfId="0" applyNumberForma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5" fillId="2" borderId="29" xfId="5" applyBorder="1" applyAlignment="1">
      <alignment horizontal="center" vertical="center" wrapText="1"/>
    </xf>
    <xf numFmtId="0" fontId="5" fillId="2" borderId="32" xfId="5" applyBorder="1" applyAlignment="1">
      <alignment horizontal="center" vertical="center" wrapText="1"/>
    </xf>
    <xf numFmtId="0" fontId="5" fillId="2" borderId="34" xfId="5" applyBorder="1" applyAlignment="1">
      <alignment horizontal="center" vertical="center" wrapText="1"/>
    </xf>
    <xf numFmtId="9" fontId="5" fillId="2" borderId="34" xfId="5" applyNumberFormat="1" applyBorder="1" applyAlignment="1">
      <alignment horizontal="center" vertical="center" wrapText="1"/>
    </xf>
    <xf numFmtId="0" fontId="5" fillId="2" borderId="36" xfId="5" applyBorder="1" applyAlignment="1">
      <alignment horizontal="center" vertical="center" wrapText="1"/>
    </xf>
    <xf numFmtId="9" fontId="5" fillId="2" borderId="37" xfId="5" applyNumberFormat="1" applyBorder="1" applyAlignment="1">
      <alignment horizontal="center" vertical="center" wrapText="1"/>
    </xf>
    <xf numFmtId="9" fontId="5" fillId="2" borderId="38" xfId="5" applyNumberFormat="1" applyBorder="1" applyAlignment="1">
      <alignment horizontal="center" vertical="center" wrapText="1"/>
    </xf>
    <xf numFmtId="0" fontId="5" fillId="2" borderId="38" xfId="5" applyBorder="1" applyAlignment="1">
      <alignment horizontal="center" vertical="center" wrapText="1"/>
    </xf>
    <xf numFmtId="0" fontId="5" fillId="2" borderId="42" xfId="5" applyBorder="1" applyAlignment="1">
      <alignment horizontal="center" vertical="center" wrapText="1"/>
    </xf>
    <xf numFmtId="0" fontId="2" fillId="3" borderId="44" xfId="6" applyFont="1" applyBorder="1" applyAlignment="1">
      <alignment horizontal="center" vertical="center" wrapText="1"/>
    </xf>
    <xf numFmtId="0" fontId="2" fillId="3" borderId="45" xfId="6" applyFont="1" applyBorder="1" applyAlignment="1">
      <alignment horizontal="center" vertical="center" wrapText="1"/>
    </xf>
    <xf numFmtId="0" fontId="2" fillId="3" borderId="28" xfId="6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54" xfId="3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3" fillId="0" borderId="24" xfId="3" applyBorder="1" applyAlignment="1">
      <alignment horizontal="center" vertical="center" wrapText="1"/>
    </xf>
    <xf numFmtId="0" fontId="2" fillId="3" borderId="39" xfId="6" applyFont="1" applyBorder="1" applyAlignment="1">
      <alignment horizontal="center" vertical="center" wrapText="1"/>
    </xf>
    <xf numFmtId="0" fontId="6" fillId="0" borderId="57" xfId="7" applyBorder="1" applyAlignment="1">
      <alignment horizontal="center" vertical="center"/>
    </xf>
    <xf numFmtId="0" fontId="5" fillId="2" borderId="28" xfId="5" applyBorder="1" applyAlignment="1">
      <alignment horizontal="center" vertical="center"/>
    </xf>
    <xf numFmtId="168" fontId="0" fillId="0" borderId="28" xfId="0" applyNumberFormat="1" applyBorder="1" applyAlignment="1">
      <alignment horizontal="center" vertical="center" wrapText="1"/>
    </xf>
    <xf numFmtId="170" fontId="0" fillId="0" borderId="28" xfId="1" applyNumberFormat="1" applyFont="1" applyBorder="1" applyAlignment="1">
      <alignment horizontal="center" vertical="center" wrapText="1"/>
    </xf>
    <xf numFmtId="169" fontId="0" fillId="0" borderId="28" xfId="0" applyNumberFormat="1" applyBorder="1" applyAlignment="1">
      <alignment horizontal="center" vertical="center" wrapText="1"/>
    </xf>
    <xf numFmtId="171" fontId="0" fillId="0" borderId="28" xfId="1" applyNumberFormat="1" applyFont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 wrapText="1"/>
    </xf>
    <xf numFmtId="172" fontId="0" fillId="0" borderId="28" xfId="1" applyNumberFormat="1" applyFon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66" fontId="0" fillId="0" borderId="28" xfId="1" applyNumberFormat="1" applyFont="1" applyBorder="1" applyAlignment="1">
      <alignment horizontal="center" vertical="center" wrapText="1"/>
    </xf>
    <xf numFmtId="0" fontId="3" fillId="0" borderId="58" xfId="3" applyBorder="1" applyAlignment="1">
      <alignment horizontal="center" vertical="center" wrapText="1"/>
    </xf>
    <xf numFmtId="0" fontId="3" fillId="0" borderId="58" xfId="3" applyBorder="1" applyAlignment="1">
      <alignment horizontal="center" vertical="center"/>
    </xf>
    <xf numFmtId="0" fontId="3" fillId="0" borderId="61" xfId="3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66" fontId="0" fillId="0" borderId="27" xfId="0" applyNumberForma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2" fillId="3" borderId="28" xfId="6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5" fontId="0" fillId="0" borderId="26" xfId="0" applyNumberFormat="1" applyBorder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6" fontId="0" fillId="0" borderId="2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173" fontId="0" fillId="0" borderId="26" xfId="0" applyNumberFormat="1" applyBorder="1" applyAlignment="1">
      <alignment horizontal="center" vertical="center"/>
    </xf>
    <xf numFmtId="167" fontId="0" fillId="0" borderId="46" xfId="0" applyNumberFormat="1" applyBorder="1" applyAlignment="1">
      <alignment horizontal="center" vertical="center"/>
    </xf>
    <xf numFmtId="170" fontId="0" fillId="0" borderId="26" xfId="0" applyNumberFormat="1" applyBorder="1" applyAlignment="1">
      <alignment horizontal="center" vertical="center" wrapText="1"/>
    </xf>
    <xf numFmtId="170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30" xfId="3" applyBorder="1" applyAlignment="1">
      <alignment horizontal="center" vertical="center" wrapText="1"/>
    </xf>
    <xf numFmtId="0" fontId="3" fillId="0" borderId="33" xfId="3" applyBorder="1" applyAlignment="1">
      <alignment horizontal="center" vertical="center" wrapText="1"/>
    </xf>
    <xf numFmtId="0" fontId="3" fillId="0" borderId="31" xfId="3" applyBorder="1" applyAlignment="1">
      <alignment horizontal="center" vertical="center" wrapText="1"/>
    </xf>
    <xf numFmtId="0" fontId="2" fillId="0" borderId="39" xfId="2" applyBorder="1" applyAlignment="1">
      <alignment horizontal="center" vertical="center" wrapText="1"/>
    </xf>
    <xf numFmtId="0" fontId="2" fillId="0" borderId="40" xfId="2" applyBorder="1" applyAlignment="1">
      <alignment horizontal="center" vertical="center" wrapText="1"/>
    </xf>
    <xf numFmtId="0" fontId="2" fillId="0" borderId="41" xfId="2" applyBorder="1" applyAlignment="1">
      <alignment horizontal="center" vertical="center" wrapText="1"/>
    </xf>
    <xf numFmtId="0" fontId="6" fillId="0" borderId="39" xfId="7" applyBorder="1" applyAlignment="1">
      <alignment horizontal="center" vertical="center"/>
    </xf>
    <xf numFmtId="0" fontId="6" fillId="0" borderId="41" xfId="7" applyBorder="1" applyAlignment="1">
      <alignment horizontal="center" vertical="center"/>
    </xf>
    <xf numFmtId="0" fontId="6" fillId="0" borderId="24" xfId="7" applyBorder="1" applyAlignment="1">
      <alignment horizontal="center" vertical="center"/>
    </xf>
    <xf numFmtId="0" fontId="6" fillId="0" borderId="35" xfId="7" applyBorder="1" applyAlignment="1">
      <alignment horizontal="center" vertical="center"/>
    </xf>
    <xf numFmtId="0" fontId="6" fillId="0" borderId="40" xfId="7" applyBorder="1" applyAlignment="1">
      <alignment horizontal="center" vertical="center"/>
    </xf>
    <xf numFmtId="0" fontId="5" fillId="2" borderId="43" xfId="5" applyBorder="1" applyAlignment="1">
      <alignment horizontal="center" vertical="center" wrapText="1"/>
    </xf>
    <xf numFmtId="0" fontId="5" fillId="2" borderId="17" xfId="5" applyBorder="1" applyAlignment="1">
      <alignment horizontal="center" vertical="center" wrapText="1"/>
    </xf>
    <xf numFmtId="0" fontId="5" fillId="2" borderId="29" xfId="5" applyBorder="1" applyAlignment="1">
      <alignment horizontal="center" vertical="center" wrapText="1"/>
    </xf>
    <xf numFmtId="0" fontId="5" fillId="2" borderId="4" xfId="5" applyAlignment="1">
      <alignment horizontal="center" vertical="center" wrapText="1"/>
    </xf>
    <xf numFmtId="0" fontId="5" fillId="2" borderId="49" xfId="5" applyBorder="1" applyAlignment="1">
      <alignment horizontal="center" vertical="center" wrapText="1"/>
    </xf>
    <xf numFmtId="0" fontId="5" fillId="2" borderId="34" xfId="5" applyBorder="1" applyAlignment="1">
      <alignment horizontal="center" vertical="center" wrapText="1"/>
    </xf>
    <xf numFmtId="0" fontId="5" fillId="2" borderId="52" xfId="5" applyBorder="1" applyAlignment="1">
      <alignment horizontal="center" vertical="center" wrapText="1"/>
    </xf>
    <xf numFmtId="0" fontId="5" fillId="2" borderId="53" xfId="5" applyBorder="1" applyAlignment="1">
      <alignment horizontal="center" vertical="center" wrapText="1"/>
    </xf>
    <xf numFmtId="0" fontId="5" fillId="2" borderId="50" xfId="5" applyBorder="1" applyAlignment="1">
      <alignment horizontal="center" vertical="center" wrapText="1"/>
    </xf>
    <xf numFmtId="0" fontId="5" fillId="2" borderId="51" xfId="5" applyBorder="1" applyAlignment="1">
      <alignment horizontal="center" vertical="center" wrapText="1"/>
    </xf>
    <xf numFmtId="0" fontId="3" fillId="0" borderId="47" xfId="3" applyBorder="1" applyAlignment="1">
      <alignment horizontal="center" vertical="center" wrapText="1"/>
    </xf>
    <xf numFmtId="0" fontId="3" fillId="0" borderId="48" xfId="3" applyBorder="1" applyAlignment="1">
      <alignment horizontal="center" vertical="center" wrapText="1"/>
    </xf>
    <xf numFmtId="0" fontId="3" fillId="0" borderId="2" xfId="3" applyAlignment="1">
      <alignment horizontal="center" vertical="center" wrapText="1"/>
    </xf>
    <xf numFmtId="0" fontId="2" fillId="0" borderId="62" xfId="2" applyBorder="1" applyAlignment="1">
      <alignment horizontal="center" vertical="center" wrapText="1"/>
    </xf>
    <xf numFmtId="0" fontId="2" fillId="0" borderId="63" xfId="2" applyBorder="1" applyAlignment="1">
      <alignment horizontal="center" vertical="center" wrapText="1"/>
    </xf>
    <xf numFmtId="0" fontId="2" fillId="0" borderId="64" xfId="2" applyBorder="1" applyAlignment="1">
      <alignment horizontal="center" vertical="center" wrapText="1"/>
    </xf>
    <xf numFmtId="0" fontId="2" fillId="0" borderId="59" xfId="2" applyBorder="1" applyAlignment="1">
      <alignment horizontal="center" vertical="center" wrapText="1"/>
    </xf>
    <xf numFmtId="0" fontId="2" fillId="0" borderId="60" xfId="2" applyBorder="1" applyAlignment="1">
      <alignment horizontal="center" vertical="center" wrapText="1"/>
    </xf>
    <xf numFmtId="0" fontId="2" fillId="0" borderId="9" xfId="2" applyBorder="1" applyAlignment="1">
      <alignment horizontal="center" vertical="center" wrapText="1"/>
    </xf>
    <xf numFmtId="0" fontId="2" fillId="0" borderId="10" xfId="2" applyBorder="1" applyAlignment="1">
      <alignment horizontal="center" vertical="center" wrapText="1"/>
    </xf>
    <xf numFmtId="0" fontId="2" fillId="0" borderId="11" xfId="2" applyBorder="1" applyAlignment="1">
      <alignment horizontal="center" vertical="center" wrapText="1"/>
    </xf>
    <xf numFmtId="165" fontId="5" fillId="2" borderId="17" xfId="5" applyNumberFormat="1" applyBorder="1" applyAlignment="1">
      <alignment horizontal="center" vertical="center" wrapText="1"/>
    </xf>
    <xf numFmtId="165" fontId="5" fillId="2" borderId="18" xfId="5" applyNumberFormat="1" applyBorder="1" applyAlignment="1">
      <alignment horizontal="center" vertical="center" wrapText="1"/>
    </xf>
    <xf numFmtId="0" fontId="3" fillId="0" borderId="23" xfId="3" applyBorder="1" applyAlignment="1">
      <alignment horizontal="center" vertical="center" wrapText="1"/>
    </xf>
    <xf numFmtId="0" fontId="3" fillId="0" borderId="13" xfId="3" applyBorder="1" applyAlignment="1">
      <alignment horizontal="center" vertical="center" wrapText="1"/>
    </xf>
    <xf numFmtId="165" fontId="5" fillId="2" borderId="8" xfId="5" applyNumberFormat="1" applyBorder="1" applyAlignment="1">
      <alignment horizontal="center" vertical="center" wrapText="1"/>
    </xf>
    <xf numFmtId="165" fontId="5" fillId="2" borderId="19" xfId="5" applyNumberFormat="1" applyBorder="1" applyAlignment="1">
      <alignment horizontal="center" vertical="center" wrapText="1"/>
    </xf>
    <xf numFmtId="0" fontId="3" fillId="0" borderId="20" xfId="3" applyBorder="1" applyAlignment="1">
      <alignment horizontal="center" vertical="center" wrapText="1"/>
    </xf>
    <xf numFmtId="0" fontId="3" fillId="0" borderId="7" xfId="3" applyBorder="1" applyAlignment="1">
      <alignment horizontal="center" vertical="center" wrapText="1"/>
    </xf>
    <xf numFmtId="0" fontId="3" fillId="0" borderId="21" xfId="3" applyBorder="1" applyAlignment="1">
      <alignment horizontal="center" vertical="center" wrapText="1"/>
    </xf>
    <xf numFmtId="173" fontId="0" fillId="0" borderId="0" xfId="0" applyNumberFormat="1" applyAlignment="1">
      <alignment horizontal="center" vertical="center" wrapText="1"/>
    </xf>
    <xf numFmtId="173" fontId="0" fillId="0" borderId="26" xfId="0" applyNumberFormat="1" applyBorder="1" applyAlignment="1">
      <alignment horizontal="center" vertical="center" wrapText="1"/>
    </xf>
    <xf numFmtId="173" fontId="0" fillId="0" borderId="0" xfId="0" applyNumberFormat="1" applyAlignment="1">
      <alignment horizontal="center" vertical="center"/>
    </xf>
    <xf numFmtId="0" fontId="8" fillId="4" borderId="0" xfId="8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173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 wrapText="1"/>
    </xf>
    <xf numFmtId="173" fontId="0" fillId="0" borderId="0" xfId="0" applyNumberFormat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 vertical="center"/>
    </xf>
  </cellXfs>
  <cellStyles count="9">
    <cellStyle name="Bad" xfId="8" builtinId="27"/>
    <cellStyle name="Calculation" xfId="5" builtinId="22"/>
    <cellStyle name="Currency" xfId="1" builtinId="4"/>
    <cellStyle name="Heading 1" xfId="2" builtinId="16"/>
    <cellStyle name="Heading 2" xfId="3" builtinId="17"/>
    <cellStyle name="Heading 3" xfId="4" builtinId="18"/>
    <cellStyle name="Normal" xfId="0" builtinId="0"/>
    <cellStyle name="Note" xfId="6" builtinId="10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F521-0C07-4772-9C22-A7EED6D910CF}">
  <sheetPr>
    <pageSetUpPr fitToPage="1"/>
  </sheetPr>
  <dimension ref="A1:S12"/>
  <sheetViews>
    <sheetView zoomScaleNormal="100" workbookViewId="0">
      <selection activeCell="F15" sqref="F15"/>
    </sheetView>
  </sheetViews>
  <sheetFormatPr defaultColWidth="25.7109375" defaultRowHeight="35.1" customHeight="1" x14ac:dyDescent="0.25"/>
  <cols>
    <col min="1" max="1" width="25.7109375" style="1"/>
    <col min="2" max="15" width="12.7109375" style="1" customWidth="1"/>
    <col min="16" max="16384" width="25.7109375" style="1"/>
  </cols>
  <sheetData>
    <row r="1" spans="1:19" ht="35.1" customHeight="1" thickBot="1" x14ac:dyDescent="0.3">
      <c r="A1" s="13"/>
      <c r="B1" s="79" t="s">
        <v>0</v>
      </c>
      <c r="C1" s="80"/>
      <c r="D1" s="80"/>
      <c r="E1" s="81"/>
      <c r="F1" s="79" t="s">
        <v>3</v>
      </c>
      <c r="G1" s="80"/>
      <c r="H1" s="80"/>
      <c r="I1" s="80"/>
      <c r="J1" s="80"/>
      <c r="K1" s="80"/>
      <c r="L1" s="80"/>
      <c r="M1" s="81"/>
      <c r="N1" s="79" t="s">
        <v>8</v>
      </c>
      <c r="O1" s="81"/>
      <c r="Q1" s="75" t="e" vm="1">
        <v>#VALUE!</v>
      </c>
      <c r="R1" s="75"/>
      <c r="S1" s="75"/>
    </row>
    <row r="2" spans="1:19" ht="35.1" customHeight="1" thickBot="1" x14ac:dyDescent="0.3">
      <c r="A2" s="4"/>
      <c r="B2" s="76" t="s">
        <v>2</v>
      </c>
      <c r="C2" s="77"/>
      <c r="D2" s="76" t="s">
        <v>1</v>
      </c>
      <c r="E2" s="78"/>
      <c r="F2" s="76" t="s">
        <v>4</v>
      </c>
      <c r="G2" s="78"/>
      <c r="H2" s="76" t="s">
        <v>5</v>
      </c>
      <c r="I2" s="78"/>
      <c r="J2" s="76" t="s">
        <v>6</v>
      </c>
      <c r="K2" s="78"/>
      <c r="L2" s="76" t="s">
        <v>7</v>
      </c>
      <c r="M2" s="78"/>
      <c r="N2" s="76" t="s">
        <v>9</v>
      </c>
      <c r="O2" s="78"/>
      <c r="Q2" s="75"/>
      <c r="R2" s="75"/>
      <c r="S2" s="75"/>
    </row>
    <row r="3" spans="1:19" ht="35.1" customHeight="1" thickTop="1" thickBot="1" x14ac:dyDescent="0.3">
      <c r="A3" s="36" t="s">
        <v>10</v>
      </c>
      <c r="B3" s="25">
        <v>2000</v>
      </c>
      <c r="C3" s="27"/>
      <c r="D3" s="26">
        <v>4875</v>
      </c>
      <c r="E3" s="9"/>
      <c r="F3" s="26">
        <v>1700</v>
      </c>
      <c r="G3" s="9"/>
      <c r="H3" s="26">
        <v>4600</v>
      </c>
      <c r="I3" s="9"/>
      <c r="J3" s="26">
        <v>15000</v>
      </c>
      <c r="K3" s="9"/>
      <c r="L3" s="26">
        <v>6900</v>
      </c>
      <c r="M3" s="9"/>
      <c r="N3" s="26">
        <v>10267</v>
      </c>
      <c r="O3" s="9"/>
      <c r="Q3" s="75"/>
      <c r="R3" s="75"/>
      <c r="S3" s="75"/>
    </row>
    <row r="4" spans="1:19" ht="35.1" customHeight="1" thickBot="1" x14ac:dyDescent="0.3">
      <c r="A4" s="36" t="s">
        <v>11</v>
      </c>
      <c r="B4" s="25">
        <f>2500*C4</f>
        <v>-2500</v>
      </c>
      <c r="C4" s="28">
        <v>-1</v>
      </c>
      <c r="D4" s="26">
        <f>-B4*E4</f>
        <v>125</v>
      </c>
      <c r="E4" s="14">
        <v>0.05</v>
      </c>
      <c r="F4" s="26">
        <f>-B4*G4</f>
        <v>500</v>
      </c>
      <c r="G4" s="14">
        <v>0.2</v>
      </c>
      <c r="H4" s="26"/>
      <c r="I4" s="9"/>
      <c r="J4" s="26"/>
      <c r="K4" s="9"/>
      <c r="L4" s="26">
        <f>-B4*M4</f>
        <v>1750</v>
      </c>
      <c r="M4" s="14">
        <v>0.7</v>
      </c>
      <c r="N4" s="26">
        <f>-B4*O4</f>
        <v>125</v>
      </c>
      <c r="O4" s="14">
        <v>0.05</v>
      </c>
      <c r="Q4" s="75"/>
      <c r="R4" s="75"/>
      <c r="S4" s="75"/>
    </row>
    <row r="5" spans="1:19" ht="35.1" customHeight="1" thickBot="1" x14ac:dyDescent="0.3">
      <c r="A5" s="36" t="s">
        <v>12</v>
      </c>
      <c r="B5" s="33">
        <f>-D5*C5</f>
        <v>500</v>
      </c>
      <c r="C5" s="30">
        <v>0.1</v>
      </c>
      <c r="D5" s="29">
        <f>5000*E5</f>
        <v>-5000</v>
      </c>
      <c r="E5" s="31">
        <v>-1</v>
      </c>
      <c r="F5" s="29"/>
      <c r="G5" s="32"/>
      <c r="H5" s="29">
        <f>-D5*I5</f>
        <v>2000</v>
      </c>
      <c r="I5" s="31">
        <v>0.4</v>
      </c>
      <c r="J5" s="29">
        <f>-D5*K5</f>
        <v>2500</v>
      </c>
      <c r="K5" s="31">
        <v>0.5</v>
      </c>
      <c r="L5" s="29"/>
      <c r="M5" s="32"/>
      <c r="N5" s="29"/>
      <c r="O5" s="32"/>
      <c r="Q5" s="75"/>
      <c r="R5" s="75"/>
      <c r="S5" s="75"/>
    </row>
    <row r="6" spans="1:19" ht="35.1" customHeight="1" thickBot="1" x14ac:dyDescent="0.3">
      <c r="A6" s="36" t="s">
        <v>50</v>
      </c>
      <c r="B6" s="86">
        <f>SUM(B3:B5)</f>
        <v>0</v>
      </c>
      <c r="C6" s="86"/>
      <c r="D6" s="82">
        <f>SUM(D3:D5)</f>
        <v>0</v>
      </c>
      <c r="E6" s="83"/>
      <c r="F6" s="84">
        <f t="shared" ref="F6" si="0">SUM(F3:F5)</f>
        <v>2200</v>
      </c>
      <c r="G6" s="85"/>
      <c r="H6" s="82">
        <f t="shared" ref="H6" si="1">SUM(H3:H5)</f>
        <v>6600</v>
      </c>
      <c r="I6" s="83"/>
      <c r="J6" s="82">
        <f t="shared" ref="J6" si="2">SUM(J3:J5)</f>
        <v>17500</v>
      </c>
      <c r="K6" s="83"/>
      <c r="L6" s="82">
        <f t="shared" ref="L6" si="3">SUM(L3:L5)</f>
        <v>8650</v>
      </c>
      <c r="M6" s="83"/>
      <c r="N6" s="82">
        <f t="shared" ref="N6" si="4">SUM(N3:N5)</f>
        <v>10392</v>
      </c>
      <c r="O6" s="83"/>
      <c r="Q6" s="75"/>
      <c r="R6" s="75"/>
      <c r="S6" s="75"/>
    </row>
    <row r="7" spans="1:19" ht="35.1" customHeight="1" thickBot="1" x14ac:dyDescent="0.3">
      <c r="A7" s="36" t="s">
        <v>13</v>
      </c>
      <c r="B7" s="99"/>
      <c r="C7" s="99"/>
      <c r="D7" s="99"/>
      <c r="E7" s="99"/>
      <c r="F7" s="97" t="s">
        <v>16</v>
      </c>
      <c r="G7" s="98"/>
      <c r="H7" s="76" t="s">
        <v>17</v>
      </c>
      <c r="I7" s="78"/>
      <c r="J7" s="76" t="s">
        <v>18</v>
      </c>
      <c r="K7" s="78"/>
      <c r="L7" s="76" t="s">
        <v>19</v>
      </c>
      <c r="M7" s="78"/>
      <c r="N7" s="76" t="s">
        <v>20</v>
      </c>
      <c r="O7" s="78"/>
      <c r="Q7" s="75"/>
      <c r="R7" s="75"/>
      <c r="S7" s="75"/>
    </row>
    <row r="8" spans="1:19" ht="35.1" customHeight="1" thickBot="1" x14ac:dyDescent="0.3">
      <c r="A8" s="36" t="s">
        <v>15</v>
      </c>
      <c r="B8" s="89"/>
      <c r="C8" s="90"/>
      <c r="D8" s="90"/>
      <c r="E8" s="92"/>
      <c r="F8" s="95">
        <f>Données!B3+Données!B4</f>
        <v>2200</v>
      </c>
      <c r="G8" s="96"/>
      <c r="H8" s="95">
        <f>(Données!B3+Données!B4)*0.75</f>
        <v>1650</v>
      </c>
      <c r="I8" s="96"/>
      <c r="J8" s="95">
        <f>(Données!B7+Données!B8)*20</f>
        <v>700000</v>
      </c>
      <c r="K8" s="96"/>
      <c r="L8" s="95">
        <f>(Données!B12*Données!C12+Données!B13*Données!C13)/100</f>
        <v>1730</v>
      </c>
      <c r="M8" s="96"/>
      <c r="N8" s="95">
        <f>Données!F4*Données!G4+Données!F5*Données!G5+Données!F8*Données!G8+Données!F9*Données!G9</f>
        <v>19700</v>
      </c>
      <c r="O8" s="96"/>
      <c r="Q8" s="75"/>
      <c r="R8" s="75"/>
      <c r="S8" s="75"/>
    </row>
    <row r="9" spans="1:19" ht="35.1" customHeight="1" thickBot="1" x14ac:dyDescent="0.3">
      <c r="A9" s="36" t="s">
        <v>14</v>
      </c>
      <c r="B9" s="87"/>
      <c r="C9" s="88"/>
      <c r="D9" s="88"/>
      <c r="E9" s="91"/>
      <c r="F9" s="93">
        <f>F6/F8</f>
        <v>1</v>
      </c>
      <c r="G9" s="94"/>
      <c r="H9" s="93">
        <f>H6/H8</f>
        <v>4</v>
      </c>
      <c r="I9" s="94"/>
      <c r="J9" s="93">
        <f>J6/J8</f>
        <v>2.5000000000000001E-2</v>
      </c>
      <c r="K9" s="94"/>
      <c r="L9" s="93">
        <f t="shared" ref="L9" si="5">L6/L8</f>
        <v>5</v>
      </c>
      <c r="M9" s="94"/>
      <c r="N9" s="93">
        <f t="shared" ref="N9" si="6">N6/N8</f>
        <v>0.52751269035532999</v>
      </c>
      <c r="O9" s="94"/>
      <c r="Q9" s="75"/>
      <c r="R9" s="75"/>
      <c r="S9" s="75"/>
    </row>
    <row r="10" spans="1:19" ht="35.1" customHeight="1" x14ac:dyDescent="0.25">
      <c r="Q10" s="24"/>
      <c r="R10" s="24"/>
      <c r="S10" s="24"/>
    </row>
    <row r="11" spans="1:19" ht="35.1" customHeight="1" x14ac:dyDescent="0.25">
      <c r="Q11" s="24"/>
      <c r="R11" s="24"/>
      <c r="S11" s="24"/>
    </row>
    <row r="12" spans="1:19" ht="35.1" customHeight="1" x14ac:dyDescent="0.25">
      <c r="Q12" s="24"/>
      <c r="R12" s="24"/>
      <c r="S12" s="24"/>
    </row>
  </sheetData>
  <mergeCells count="39">
    <mergeCell ref="J7:K7"/>
    <mergeCell ref="H7:I7"/>
    <mergeCell ref="F7:G7"/>
    <mergeCell ref="D7:E7"/>
    <mergeCell ref="B7:C7"/>
    <mergeCell ref="N9:O9"/>
    <mergeCell ref="L9:M9"/>
    <mergeCell ref="L8:M8"/>
    <mergeCell ref="N8:O8"/>
    <mergeCell ref="N7:O7"/>
    <mergeCell ref="L7:M7"/>
    <mergeCell ref="F9:G9"/>
    <mergeCell ref="F8:G8"/>
    <mergeCell ref="H9:I9"/>
    <mergeCell ref="H8:I8"/>
    <mergeCell ref="J8:K8"/>
    <mergeCell ref="J9:K9"/>
    <mergeCell ref="D6:E6"/>
    <mergeCell ref="B6:C6"/>
    <mergeCell ref="B9:C9"/>
    <mergeCell ref="B8:C8"/>
    <mergeCell ref="D9:E9"/>
    <mergeCell ref="D8:E8"/>
    <mergeCell ref="Q1:S9"/>
    <mergeCell ref="B2:C2"/>
    <mergeCell ref="D2:E2"/>
    <mergeCell ref="B1:E1"/>
    <mergeCell ref="F2:G2"/>
    <mergeCell ref="H2:I2"/>
    <mergeCell ref="L2:M2"/>
    <mergeCell ref="N2:O2"/>
    <mergeCell ref="N1:O1"/>
    <mergeCell ref="F1:M1"/>
    <mergeCell ref="N6:O6"/>
    <mergeCell ref="L6:M6"/>
    <mergeCell ref="J6:K6"/>
    <mergeCell ref="H6:I6"/>
    <mergeCell ref="F6:G6"/>
    <mergeCell ref="J2:K2"/>
  </mergeCells>
  <pageMargins left="0.7" right="0.7" top="0.75" bottom="0.75" header="0.3" footer="0.3"/>
  <pageSetup paperSize="9" scale="51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E566-085C-44FA-B9A2-75DD164A2BC1}">
  <dimension ref="A1:K13"/>
  <sheetViews>
    <sheetView workbookViewId="0">
      <selection activeCell="C13" sqref="C13"/>
    </sheetView>
  </sheetViews>
  <sheetFormatPr defaultColWidth="25.7109375" defaultRowHeight="35.1" customHeight="1" x14ac:dyDescent="0.25"/>
  <cols>
    <col min="1" max="16384" width="25.7109375" style="2"/>
  </cols>
  <sheetData>
    <row r="1" spans="1:11" ht="35.1" customHeight="1" thickBot="1" x14ac:dyDescent="0.3">
      <c r="A1" s="105" t="s">
        <v>32</v>
      </c>
      <c r="B1" s="106"/>
      <c r="C1" s="107"/>
      <c r="E1" s="105" t="s">
        <v>44</v>
      </c>
      <c r="F1" s="106"/>
      <c r="G1" s="107"/>
      <c r="I1"/>
      <c r="J1"/>
      <c r="K1"/>
    </row>
    <row r="2" spans="1:11" ht="35.1" customHeight="1" thickTop="1" thickBot="1" x14ac:dyDescent="0.3">
      <c r="A2" s="4"/>
      <c r="B2" s="5" t="s">
        <v>35</v>
      </c>
      <c r="C2" s="6" t="s">
        <v>36</v>
      </c>
      <c r="E2" s="114" t="s">
        <v>45</v>
      </c>
      <c r="F2" s="115"/>
      <c r="G2" s="116"/>
      <c r="I2"/>
      <c r="J2"/>
      <c r="K2"/>
    </row>
    <row r="3" spans="1:11" ht="35.1" customHeight="1" thickTop="1" thickBot="1" x14ac:dyDescent="0.3">
      <c r="A3" s="7" t="s">
        <v>33</v>
      </c>
      <c r="B3" s="15">
        <f>1200</f>
        <v>1200</v>
      </c>
      <c r="C3" s="19">
        <v>19</v>
      </c>
      <c r="E3" s="10"/>
      <c r="F3" s="11" t="s">
        <v>48</v>
      </c>
      <c r="G3" s="12" t="s">
        <v>49</v>
      </c>
      <c r="I3"/>
      <c r="J3"/>
      <c r="K3"/>
    </row>
    <row r="4" spans="1:11" ht="35.1" customHeight="1" thickBot="1" x14ac:dyDescent="0.3">
      <c r="A4" s="8" t="s">
        <v>34</v>
      </c>
      <c r="B4" s="16">
        <f>1000</f>
        <v>1000</v>
      </c>
      <c r="C4" s="20">
        <v>11.5</v>
      </c>
      <c r="E4" s="7" t="s">
        <v>46</v>
      </c>
      <c r="F4" s="21">
        <v>48</v>
      </c>
      <c r="G4" s="19">
        <v>25</v>
      </c>
      <c r="I4"/>
      <c r="J4"/>
      <c r="K4"/>
    </row>
    <row r="5" spans="1:11" ht="35.1" customHeight="1" thickBot="1" x14ac:dyDescent="0.3">
      <c r="E5" s="7" t="s">
        <v>47</v>
      </c>
      <c r="F5" s="21">
        <v>40</v>
      </c>
      <c r="G5" s="19">
        <v>25</v>
      </c>
    </row>
    <row r="6" spans="1:11" ht="35.1" customHeight="1" thickBot="1" x14ac:dyDescent="0.3">
      <c r="A6" s="105" t="s">
        <v>37</v>
      </c>
      <c r="B6" s="106"/>
      <c r="C6" s="107"/>
      <c r="E6" s="110" t="s">
        <v>6</v>
      </c>
      <c r="F6" s="99"/>
      <c r="G6" s="111"/>
    </row>
    <row r="7" spans="1:11" ht="35.1" customHeight="1" thickTop="1" thickBot="1" x14ac:dyDescent="0.3">
      <c r="A7" s="7" t="s">
        <v>39</v>
      </c>
      <c r="B7" s="112">
        <v>20000</v>
      </c>
      <c r="C7" s="113"/>
      <c r="E7" s="4"/>
      <c r="F7" s="11" t="s">
        <v>48</v>
      </c>
      <c r="G7" s="12" t="s">
        <v>49</v>
      </c>
    </row>
    <row r="8" spans="1:11" ht="35.1" customHeight="1" thickBot="1" x14ac:dyDescent="0.3">
      <c r="A8" s="8" t="s">
        <v>38</v>
      </c>
      <c r="B8" s="108">
        <v>15000</v>
      </c>
      <c r="C8" s="109"/>
      <c r="E8" s="7" t="s">
        <v>39</v>
      </c>
      <c r="F8" s="21">
        <v>400</v>
      </c>
      <c r="G8" s="19">
        <v>25</v>
      </c>
    </row>
    <row r="9" spans="1:11" ht="35.1" customHeight="1" thickBot="1" x14ac:dyDescent="0.3">
      <c r="E9" s="8" t="s">
        <v>38</v>
      </c>
      <c r="F9" s="22">
        <v>300</v>
      </c>
      <c r="G9" s="20">
        <v>25</v>
      </c>
    </row>
    <row r="10" spans="1:11" ht="35.1" customHeight="1" thickBot="1" x14ac:dyDescent="0.3">
      <c r="A10" s="105" t="s">
        <v>40</v>
      </c>
      <c r="B10" s="106"/>
      <c r="C10" s="107"/>
    </row>
    <row r="11" spans="1:11" ht="35.1" customHeight="1" thickTop="1" thickBot="1" x14ac:dyDescent="0.3">
      <c r="A11" s="4"/>
      <c r="B11" s="5" t="s">
        <v>43</v>
      </c>
      <c r="C11" s="6" t="s">
        <v>30</v>
      </c>
    </row>
    <row r="12" spans="1:11" ht="35.1" customHeight="1" thickTop="1" x14ac:dyDescent="0.25">
      <c r="A12" s="7" t="s">
        <v>41</v>
      </c>
      <c r="B12" s="18">
        <v>22000</v>
      </c>
      <c r="C12" s="19">
        <v>5</v>
      </c>
    </row>
    <row r="13" spans="1:11" ht="35.1" customHeight="1" thickBot="1" x14ac:dyDescent="0.3">
      <c r="A13" s="8" t="s">
        <v>42</v>
      </c>
      <c r="B13" s="17">
        <v>14000</v>
      </c>
      <c r="C13" s="20">
        <v>4.5</v>
      </c>
    </row>
  </sheetData>
  <mergeCells count="8">
    <mergeCell ref="E1:G1"/>
    <mergeCell ref="E2:G2"/>
    <mergeCell ref="A1:C1"/>
    <mergeCell ref="A10:C10"/>
    <mergeCell ref="B8:C8"/>
    <mergeCell ref="E6:G6"/>
    <mergeCell ref="A6:C6"/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357E-365A-4A30-88F6-A782E314ADFC}">
  <dimension ref="A1:N23"/>
  <sheetViews>
    <sheetView topLeftCell="A2" workbookViewId="0">
      <selection activeCell="M23" sqref="M23"/>
    </sheetView>
  </sheetViews>
  <sheetFormatPr defaultColWidth="25.7109375" defaultRowHeight="35.1" customHeight="1" x14ac:dyDescent="0.25"/>
  <cols>
    <col min="1" max="16384" width="25.7109375" style="2"/>
  </cols>
  <sheetData>
    <row r="1" spans="1:14" ht="35.1" customHeight="1" thickTop="1" thickBot="1" x14ac:dyDescent="0.3">
      <c r="A1" s="13"/>
      <c r="B1" s="103" t="s">
        <v>21</v>
      </c>
      <c r="C1" s="104"/>
      <c r="D1" s="3" t="s">
        <v>22</v>
      </c>
      <c r="F1" s="100" t="s">
        <v>60</v>
      </c>
      <c r="G1" s="101"/>
      <c r="H1" s="101"/>
      <c r="I1" s="102"/>
      <c r="K1" s="100" t="s">
        <v>70</v>
      </c>
      <c r="L1" s="101"/>
      <c r="M1" s="101"/>
      <c r="N1" s="102"/>
    </row>
    <row r="2" spans="1:14" ht="35.1" customHeight="1" thickTop="1" thickBot="1" x14ac:dyDescent="0.3">
      <c r="A2" s="4"/>
      <c r="B2" s="53" t="s">
        <v>29</v>
      </c>
      <c r="C2" s="53" t="s">
        <v>30</v>
      </c>
      <c r="D2" s="53" t="s">
        <v>31</v>
      </c>
      <c r="F2" s="4"/>
      <c r="G2" s="54" t="s">
        <v>57</v>
      </c>
      <c r="H2" s="54" t="s">
        <v>58</v>
      </c>
      <c r="I2" s="55" t="s">
        <v>59</v>
      </c>
      <c r="K2" s="4"/>
      <c r="L2" s="54" t="s">
        <v>57</v>
      </c>
      <c r="M2" s="54" t="s">
        <v>58</v>
      </c>
      <c r="N2" s="55" t="s">
        <v>59</v>
      </c>
    </row>
    <row r="3" spans="1:14" ht="35.1" customHeight="1" thickTop="1" thickBot="1" x14ac:dyDescent="0.3">
      <c r="A3" s="42" t="s">
        <v>23</v>
      </c>
      <c r="B3" s="51">
        <v>40</v>
      </c>
      <c r="C3" s="48">
        <v>29.65</v>
      </c>
      <c r="D3" s="51">
        <v>130</v>
      </c>
      <c r="F3" s="34" t="s">
        <v>61</v>
      </c>
      <c r="G3" s="57">
        <f>B3</f>
        <v>40</v>
      </c>
      <c r="H3" s="74">
        <f>C3</f>
        <v>29.65</v>
      </c>
      <c r="I3" s="58">
        <f>G3*H3</f>
        <v>1186</v>
      </c>
      <c r="K3" s="34" t="s">
        <v>61</v>
      </c>
      <c r="L3" s="64">
        <f>B8</f>
        <v>1000000</v>
      </c>
      <c r="M3" s="74">
        <f>C8</f>
        <v>2.5000000000000001E-2</v>
      </c>
      <c r="N3" s="58">
        <f>L3*M3</f>
        <v>25000</v>
      </c>
    </row>
    <row r="4" spans="1:14" ht="35.1" customHeight="1" thickBot="1" x14ac:dyDescent="0.3">
      <c r="A4" s="42" t="s">
        <v>24</v>
      </c>
      <c r="B4" s="51">
        <v>50</v>
      </c>
      <c r="C4" s="52">
        <v>26</v>
      </c>
      <c r="D4" s="51">
        <v>200</v>
      </c>
      <c r="F4" s="36" t="s">
        <v>62</v>
      </c>
      <c r="G4" s="57">
        <f>Données!B3*0.75</f>
        <v>900</v>
      </c>
      <c r="H4" s="74">
        <f>Données!C3</f>
        <v>19</v>
      </c>
      <c r="I4" s="58">
        <f t="shared" ref="I4:I7" si="0">G4*H4</f>
        <v>17100</v>
      </c>
      <c r="K4" s="36" t="s">
        <v>62</v>
      </c>
      <c r="L4" s="64">
        <v>0</v>
      </c>
      <c r="M4" s="74">
        <v>0</v>
      </c>
      <c r="N4" s="58">
        <f>L4*M4</f>
        <v>0</v>
      </c>
    </row>
    <row r="5" spans="1:14" ht="35.1" customHeight="1" thickBot="1" x14ac:dyDescent="0.3">
      <c r="A5" s="42" t="s">
        <v>25</v>
      </c>
      <c r="B5" s="49">
        <v>4000</v>
      </c>
      <c r="C5" s="48">
        <v>3.17</v>
      </c>
      <c r="D5" s="49">
        <v>2000</v>
      </c>
      <c r="F5" s="35" t="s">
        <v>56</v>
      </c>
      <c r="G5" s="57">
        <f>G3+G4</f>
        <v>940</v>
      </c>
      <c r="H5" s="74">
        <f>(G3*H3+G4*H4)/(G3+G4)</f>
        <v>19.453191489361704</v>
      </c>
      <c r="I5" s="58">
        <f t="shared" si="0"/>
        <v>18286</v>
      </c>
      <c r="K5" s="35" t="s">
        <v>56</v>
      </c>
      <c r="L5" s="64">
        <f>L3+L4</f>
        <v>1000000</v>
      </c>
      <c r="M5" s="74">
        <f>(L3*M3+L4*M4)/(L3+L4)</f>
        <v>2.5000000000000001E-2</v>
      </c>
      <c r="N5" s="58">
        <f>L5*M5</f>
        <v>25000</v>
      </c>
    </row>
    <row r="6" spans="1:14" ht="35.1" customHeight="1" thickBot="1" x14ac:dyDescent="0.3">
      <c r="A6" s="42" t="s">
        <v>26</v>
      </c>
      <c r="B6" s="49">
        <v>5000</v>
      </c>
      <c r="C6" s="50">
        <v>2.6</v>
      </c>
      <c r="D6" s="49">
        <v>5980</v>
      </c>
      <c r="F6" s="36" t="s">
        <v>63</v>
      </c>
      <c r="G6" s="57">
        <f>G5-G7</f>
        <v>810</v>
      </c>
      <c r="H6" s="74">
        <f>H5</f>
        <v>19.453191489361704</v>
      </c>
      <c r="I6" s="58">
        <f t="shared" si="0"/>
        <v>15757.08510638298</v>
      </c>
      <c r="K6" s="36" t="s">
        <v>63</v>
      </c>
      <c r="L6" s="64">
        <f>L5-L7</f>
        <v>700000</v>
      </c>
      <c r="M6" s="74">
        <f>M5</f>
        <v>2.5000000000000001E-2</v>
      </c>
      <c r="N6" s="58">
        <f>L6*M6</f>
        <v>17500</v>
      </c>
    </row>
    <row r="7" spans="1:14" ht="35.1" customHeight="1" thickBot="1" x14ac:dyDescent="0.3">
      <c r="A7" s="42" t="s">
        <v>27</v>
      </c>
      <c r="B7" s="49">
        <v>50000</v>
      </c>
      <c r="C7" s="48">
        <v>0.25</v>
      </c>
      <c r="D7" s="47">
        <v>15000</v>
      </c>
      <c r="F7" s="36" t="s">
        <v>64</v>
      </c>
      <c r="G7" s="56">
        <f>D3</f>
        <v>130</v>
      </c>
      <c r="H7" s="73">
        <f t="shared" ref="H6:H7" si="1">(G5*H5+G6*H6)/(G5+G6)</f>
        <v>19.4531914893617</v>
      </c>
      <c r="I7" s="59">
        <f t="shared" si="0"/>
        <v>2528.9148936170209</v>
      </c>
      <c r="K7" s="36" t="s">
        <v>64</v>
      </c>
      <c r="L7" s="23">
        <f>D8</f>
        <v>300000</v>
      </c>
      <c r="M7" s="73">
        <f>(L5*M5+L6*M6)/(L5+L6)</f>
        <v>2.5000000000000001E-2</v>
      </c>
      <c r="N7" s="59">
        <f>L7*M7</f>
        <v>7500</v>
      </c>
    </row>
    <row r="8" spans="1:14" ht="35.1" customHeight="1" thickBot="1" x14ac:dyDescent="0.3">
      <c r="A8" s="42" t="s">
        <v>28</v>
      </c>
      <c r="B8" s="45">
        <v>1000000</v>
      </c>
      <c r="C8" s="46">
        <v>2.5000000000000001E-2</v>
      </c>
      <c r="D8" s="47">
        <v>300000</v>
      </c>
    </row>
    <row r="9" spans="1:14" ht="35.1" customHeight="1" thickTop="1" thickBot="1" x14ac:dyDescent="0.3">
      <c r="F9" s="100" t="s">
        <v>65</v>
      </c>
      <c r="G9" s="101"/>
      <c r="H9" s="101"/>
      <c r="I9" s="102"/>
      <c r="K9" s="100" t="s">
        <v>78</v>
      </c>
      <c r="L9" s="101"/>
      <c r="M9" s="101"/>
      <c r="N9" s="102"/>
    </row>
    <row r="10" spans="1:14" ht="35.1" customHeight="1" thickTop="1" thickBot="1" x14ac:dyDescent="0.3">
      <c r="F10" s="4"/>
      <c r="G10" s="54" t="s">
        <v>57</v>
      </c>
      <c r="H10" s="54" t="s">
        <v>58</v>
      </c>
      <c r="I10" s="55" t="s">
        <v>59</v>
      </c>
      <c r="K10" s="4"/>
      <c r="L10" s="54" t="s">
        <v>57</v>
      </c>
      <c r="M10" s="54" t="s">
        <v>58</v>
      </c>
      <c r="N10" s="55" t="s">
        <v>59</v>
      </c>
    </row>
    <row r="11" spans="1:14" ht="35.1" customHeight="1" thickTop="1" thickBot="1" x14ac:dyDescent="0.3">
      <c r="F11" s="34" t="s">
        <v>61</v>
      </c>
      <c r="G11" s="57">
        <f>B4</f>
        <v>50</v>
      </c>
      <c r="H11" s="74">
        <f>C4</f>
        <v>26</v>
      </c>
      <c r="I11" s="58">
        <f>G11*H11</f>
        <v>1300</v>
      </c>
      <c r="K11" s="34" t="s">
        <v>61</v>
      </c>
      <c r="L11" s="117">
        <f>B5</f>
        <v>4000</v>
      </c>
      <c r="M11" s="74">
        <f>C5</f>
        <v>3.17</v>
      </c>
      <c r="N11" s="58">
        <f>L11*M11</f>
        <v>12680</v>
      </c>
    </row>
    <row r="12" spans="1:14" ht="35.1" customHeight="1" thickBot="1" x14ac:dyDescent="0.3">
      <c r="F12" s="36" t="s">
        <v>62</v>
      </c>
      <c r="G12" s="57">
        <f>Données!B4*0.75</f>
        <v>750</v>
      </c>
      <c r="H12" s="74">
        <f>Données!C4</f>
        <v>11.5</v>
      </c>
      <c r="I12" s="58">
        <f>G12*H12</f>
        <v>8625</v>
      </c>
      <c r="K12" s="36" t="s">
        <v>62</v>
      </c>
      <c r="L12" s="117">
        <f>Données!B7</f>
        <v>20000</v>
      </c>
      <c r="M12" s="74">
        <f>'Coûts de production'!C10</f>
        <v>2.0372185686653768</v>
      </c>
      <c r="N12" s="58">
        <f>L12*M12</f>
        <v>40744.371373307535</v>
      </c>
    </row>
    <row r="13" spans="1:14" ht="35.1" customHeight="1" thickBot="1" x14ac:dyDescent="0.3">
      <c r="F13" s="35" t="s">
        <v>56</v>
      </c>
      <c r="G13" s="57">
        <f>G11+G12</f>
        <v>800</v>
      </c>
      <c r="H13" s="74">
        <f>(G11*H11+G12*H12)/(G11+G12)</f>
        <v>12.40625</v>
      </c>
      <c r="I13" s="58">
        <f>G13*H13</f>
        <v>9925</v>
      </c>
      <c r="K13" s="35" t="s">
        <v>56</v>
      </c>
      <c r="L13" s="117">
        <f>L11+L12</f>
        <v>24000</v>
      </c>
      <c r="M13" s="74">
        <f>(L11*M11+L12*M12)/(L11+L12)</f>
        <v>2.2260154738878137</v>
      </c>
      <c r="N13" s="58">
        <f>L13*M13</f>
        <v>53424.371373307527</v>
      </c>
    </row>
    <row r="14" spans="1:14" ht="35.1" customHeight="1" thickBot="1" x14ac:dyDescent="0.3">
      <c r="F14" s="36" t="s">
        <v>63</v>
      </c>
      <c r="G14" s="57">
        <f>G13-G15</f>
        <v>600</v>
      </c>
      <c r="H14" s="74">
        <f>H13</f>
        <v>12.40625</v>
      </c>
      <c r="I14" s="58">
        <f>G14*H14</f>
        <v>7443.75</v>
      </c>
      <c r="K14" s="36" t="s">
        <v>63</v>
      </c>
      <c r="L14" s="117">
        <f>Données!B12</f>
        <v>22000</v>
      </c>
      <c r="M14" s="74">
        <f>M13</f>
        <v>2.2260154738878137</v>
      </c>
      <c r="N14" s="58">
        <f>L14*M14</f>
        <v>48972.340425531904</v>
      </c>
    </row>
    <row r="15" spans="1:14" ht="35.1" customHeight="1" thickBot="1" x14ac:dyDescent="0.3">
      <c r="F15" s="36" t="s">
        <v>64</v>
      </c>
      <c r="G15" s="56">
        <f>D4</f>
        <v>200</v>
      </c>
      <c r="H15" s="73">
        <f>(G13*H13+G14*H14)/(G13+G14)</f>
        <v>12.40625</v>
      </c>
      <c r="I15" s="59">
        <f>G15*H15</f>
        <v>2481.25</v>
      </c>
      <c r="K15" s="36" t="s">
        <v>64</v>
      </c>
      <c r="L15" s="118">
        <f>D5</f>
        <v>2000</v>
      </c>
      <c r="M15" s="73">
        <f>(L13*M13+L14*M14)/(L13+L14)</f>
        <v>2.2260154738878137</v>
      </c>
      <c r="N15" s="59">
        <f>L15*M15</f>
        <v>4452.0309477756273</v>
      </c>
    </row>
    <row r="16" spans="1:14" ht="35.1" customHeight="1" thickBot="1" x14ac:dyDescent="0.3"/>
    <row r="17" spans="6:14" ht="35.1" customHeight="1" thickTop="1" thickBot="1" x14ac:dyDescent="0.3">
      <c r="F17" s="100" t="s">
        <v>69</v>
      </c>
      <c r="G17" s="101"/>
      <c r="H17" s="101"/>
      <c r="I17" s="102"/>
      <c r="K17" s="100" t="s">
        <v>79</v>
      </c>
      <c r="L17" s="101"/>
      <c r="M17" s="101"/>
      <c r="N17" s="102"/>
    </row>
    <row r="18" spans="6:14" ht="35.1" customHeight="1" thickTop="1" thickBot="1" x14ac:dyDescent="0.3">
      <c r="F18" s="4"/>
      <c r="G18" s="54" t="s">
        <v>57</v>
      </c>
      <c r="H18" s="54" t="s">
        <v>58</v>
      </c>
      <c r="I18" s="55" t="s">
        <v>59</v>
      </c>
      <c r="K18" s="4"/>
      <c r="L18" s="54" t="s">
        <v>57</v>
      </c>
      <c r="M18" s="54" t="s">
        <v>58</v>
      </c>
      <c r="N18" s="55" t="s">
        <v>59</v>
      </c>
    </row>
    <row r="19" spans="6:14" ht="35.1" customHeight="1" thickTop="1" thickBot="1" x14ac:dyDescent="0.3">
      <c r="F19" s="34" t="s">
        <v>61</v>
      </c>
      <c r="G19" s="62">
        <f>B7</f>
        <v>50000</v>
      </c>
      <c r="H19" s="74">
        <f>C7</f>
        <v>0.25</v>
      </c>
      <c r="I19" s="58">
        <f>G19*H19</f>
        <v>12500</v>
      </c>
      <c r="K19" s="34" t="s">
        <v>61</v>
      </c>
      <c r="L19" s="117">
        <f>B6</f>
        <v>5000</v>
      </c>
      <c r="M19" s="74">
        <f>C6</f>
        <v>2.6</v>
      </c>
      <c r="N19" s="58">
        <f>L19*M19</f>
        <v>13000</v>
      </c>
    </row>
    <row r="20" spans="6:14" ht="35.1" customHeight="1" thickBot="1" x14ac:dyDescent="0.3">
      <c r="F20" s="36" t="s">
        <v>62</v>
      </c>
      <c r="G20" s="62">
        <v>0</v>
      </c>
      <c r="H20" s="74">
        <v>0</v>
      </c>
      <c r="I20" s="58">
        <f>G20*H20</f>
        <v>0</v>
      </c>
      <c r="K20" s="36" t="s">
        <v>62</v>
      </c>
      <c r="L20" s="117">
        <f>Données!B8</f>
        <v>15000</v>
      </c>
      <c r="M20" s="74">
        <f>'Coûts de production'!H10</f>
        <v>2.3971428571428572</v>
      </c>
      <c r="N20" s="58">
        <f>L20*M20</f>
        <v>35957.142857142855</v>
      </c>
    </row>
    <row r="21" spans="6:14" ht="35.1" customHeight="1" thickBot="1" x14ac:dyDescent="0.3">
      <c r="F21" s="35" t="s">
        <v>56</v>
      </c>
      <c r="G21" s="62">
        <f>G19+G20</f>
        <v>50000</v>
      </c>
      <c r="H21" s="74">
        <f>(G19*H19+G20*H20)/(G19+G20)</f>
        <v>0.25</v>
      </c>
      <c r="I21" s="58">
        <f>G21*H21</f>
        <v>12500</v>
      </c>
      <c r="K21" s="35" t="s">
        <v>56</v>
      </c>
      <c r="L21" s="117">
        <f>L19+L20</f>
        <v>20000</v>
      </c>
      <c r="M21" s="74">
        <f>(L19*M19+L20*M20)/(L19+L20)</f>
        <v>2.447857142857143</v>
      </c>
      <c r="N21" s="58">
        <f>L21*M21</f>
        <v>48957.142857142862</v>
      </c>
    </row>
    <row r="22" spans="6:14" ht="35.1" customHeight="1" thickBot="1" x14ac:dyDescent="0.3">
      <c r="F22" s="36" t="s">
        <v>63</v>
      </c>
      <c r="G22" s="62">
        <f>G21-G23</f>
        <v>35000</v>
      </c>
      <c r="H22" s="74">
        <f>H21</f>
        <v>0.25</v>
      </c>
      <c r="I22" s="58">
        <f>G22*H22</f>
        <v>8750</v>
      </c>
      <c r="K22" s="36" t="s">
        <v>63</v>
      </c>
      <c r="L22" s="117">
        <f>Données!B13</f>
        <v>14000</v>
      </c>
      <c r="M22" s="74">
        <f>M21</f>
        <v>2.447857142857143</v>
      </c>
      <c r="N22" s="58">
        <f>L22*M22</f>
        <v>34270</v>
      </c>
    </row>
    <row r="23" spans="6:14" ht="35.1" customHeight="1" thickBot="1" x14ac:dyDescent="0.3">
      <c r="F23" s="36" t="s">
        <v>64</v>
      </c>
      <c r="G23" s="63">
        <f>D7</f>
        <v>15000</v>
      </c>
      <c r="H23" s="73">
        <f>(G21*H21+G22*H22)/(G21+G22)</f>
        <v>0.25</v>
      </c>
      <c r="I23" s="59">
        <f>G23*H23</f>
        <v>3750</v>
      </c>
      <c r="J23" s="120" t="s">
        <v>81</v>
      </c>
      <c r="K23" s="36" t="s">
        <v>64</v>
      </c>
      <c r="L23" s="118">
        <f>D6</f>
        <v>5980</v>
      </c>
      <c r="M23" s="73">
        <f>(L21*M21+L22*M22)/(L21+L22)</f>
        <v>2.4478571428571434</v>
      </c>
      <c r="N23" s="59">
        <f>L23*M23</f>
        <v>14638.185714285717</v>
      </c>
    </row>
  </sheetData>
  <mergeCells count="7">
    <mergeCell ref="K1:N1"/>
    <mergeCell ref="B1:C1"/>
    <mergeCell ref="F1:I1"/>
    <mergeCell ref="F9:I9"/>
    <mergeCell ref="F17:I17"/>
    <mergeCell ref="K9:N9"/>
    <mergeCell ref="K17:N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2FF4-8AD2-42EA-8ED7-E01C696A45BB}">
  <dimension ref="A1:I6"/>
  <sheetViews>
    <sheetView workbookViewId="0">
      <selection activeCell="H3" sqref="H3"/>
    </sheetView>
  </sheetViews>
  <sheetFormatPr defaultColWidth="13.7109375" defaultRowHeight="35.1" customHeight="1" x14ac:dyDescent="0.25"/>
  <cols>
    <col min="1" max="1" width="30.7109375" style="2" customWidth="1"/>
    <col min="2" max="5" width="13.7109375" style="37"/>
    <col min="6" max="6" width="30.7109375" style="37" customWidth="1"/>
    <col min="7" max="16384" width="13.7109375" style="37"/>
  </cols>
  <sheetData>
    <row r="1" spans="1:9" ht="35.1" customHeight="1" thickBot="1" x14ac:dyDescent="0.3">
      <c r="A1" s="41" t="s">
        <v>51</v>
      </c>
      <c r="B1" s="38" t="s">
        <v>57</v>
      </c>
      <c r="C1" s="38" t="s">
        <v>58</v>
      </c>
      <c r="D1" s="38" t="s">
        <v>59</v>
      </c>
      <c r="F1" s="41" t="s">
        <v>80</v>
      </c>
      <c r="G1" s="38" t="s">
        <v>57</v>
      </c>
      <c r="H1" s="38" t="s">
        <v>58</v>
      </c>
      <c r="I1" s="38" t="s">
        <v>59</v>
      </c>
    </row>
    <row r="2" spans="1:9" ht="35.1" customHeight="1" thickTop="1" thickBot="1" x14ac:dyDescent="0.3">
      <c r="A2" s="34" t="s">
        <v>52</v>
      </c>
      <c r="B2" s="40"/>
      <c r="C2" s="39"/>
      <c r="D2" s="39"/>
      <c r="F2" s="34" t="s">
        <v>52</v>
      </c>
      <c r="G2" s="40"/>
      <c r="H2" s="39"/>
      <c r="I2" s="39"/>
    </row>
    <row r="3" spans="1:9" ht="35.1" customHeight="1" thickBot="1" x14ac:dyDescent="0.3">
      <c r="A3" s="36" t="s">
        <v>53</v>
      </c>
      <c r="B3" s="44">
        <f>Données!B3</f>
        <v>1200</v>
      </c>
      <c r="C3" s="44">
        <f>Données!C3</f>
        <v>19</v>
      </c>
      <c r="D3" s="44">
        <f>B3*C3</f>
        <v>22800</v>
      </c>
      <c r="F3" s="36" t="s">
        <v>53</v>
      </c>
      <c r="G3" s="44">
        <f>Données!B4</f>
        <v>1000</v>
      </c>
      <c r="H3" s="44">
        <f>Données!C4</f>
        <v>11.5</v>
      </c>
      <c r="I3" s="44">
        <f>G3*H3</f>
        <v>11500</v>
      </c>
    </row>
    <row r="4" spans="1:9" ht="35.1" customHeight="1" thickBot="1" x14ac:dyDescent="0.3">
      <c r="A4" s="35" t="s">
        <v>54</v>
      </c>
      <c r="B4" s="40"/>
      <c r="C4" s="39"/>
      <c r="D4" s="39"/>
      <c r="F4" s="35" t="s">
        <v>54</v>
      </c>
      <c r="G4" s="40"/>
      <c r="H4" s="39"/>
      <c r="I4" s="39"/>
    </row>
    <row r="5" spans="1:9" ht="35.1" customHeight="1" thickBot="1" x14ac:dyDescent="0.3">
      <c r="A5" s="36" t="s">
        <v>55</v>
      </c>
      <c r="B5" s="40"/>
      <c r="C5" s="39"/>
      <c r="D5" s="39"/>
      <c r="F5" s="36" t="s">
        <v>55</v>
      </c>
      <c r="G5" s="40"/>
      <c r="H5" s="39"/>
      <c r="I5" s="39"/>
    </row>
    <row r="6" spans="1:9" ht="35.1" customHeight="1" thickBot="1" x14ac:dyDescent="0.3">
      <c r="A6" s="42" t="s">
        <v>56</v>
      </c>
      <c r="B6" s="43">
        <f>B3</f>
        <v>1200</v>
      </c>
      <c r="C6" s="43">
        <f>C3</f>
        <v>19</v>
      </c>
      <c r="D6" s="43">
        <f>D3</f>
        <v>22800</v>
      </c>
      <c r="F6" s="42" t="s">
        <v>56</v>
      </c>
      <c r="G6" s="43">
        <f>G3</f>
        <v>1000</v>
      </c>
      <c r="H6" s="43">
        <f>H3</f>
        <v>11.5</v>
      </c>
      <c r="I6" s="43">
        <f>I3</f>
        <v>11500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0F0B-BCDB-4CE5-B1B7-09190D3EF75E}">
  <dimension ref="A1:I10"/>
  <sheetViews>
    <sheetView workbookViewId="0">
      <selection activeCell="B4" sqref="B4"/>
    </sheetView>
  </sheetViews>
  <sheetFormatPr defaultColWidth="25.7109375" defaultRowHeight="35.1" customHeight="1" x14ac:dyDescent="0.25"/>
  <cols>
    <col min="1" max="16384" width="25.7109375" style="37"/>
  </cols>
  <sheetData>
    <row r="1" spans="1:9" ht="35.1" customHeight="1" thickBot="1" x14ac:dyDescent="0.3">
      <c r="A1" s="105" t="s">
        <v>68</v>
      </c>
      <c r="B1" s="106"/>
      <c r="C1" s="106"/>
      <c r="D1" s="107"/>
      <c r="F1" s="105" t="s">
        <v>73</v>
      </c>
      <c r="G1" s="106"/>
      <c r="H1" s="106"/>
      <c r="I1" s="107"/>
    </row>
    <row r="2" spans="1:9" ht="35.1" customHeight="1" thickTop="1" thickBot="1" x14ac:dyDescent="0.3">
      <c r="A2" s="4"/>
      <c r="B2" s="54" t="s">
        <v>57</v>
      </c>
      <c r="C2" s="54" t="s">
        <v>58</v>
      </c>
      <c r="D2" s="55" t="s">
        <v>59</v>
      </c>
      <c r="F2" s="4"/>
      <c r="G2" s="54" t="s">
        <v>57</v>
      </c>
      <c r="H2" s="54" t="s">
        <v>58</v>
      </c>
      <c r="I2" s="55" t="s">
        <v>59</v>
      </c>
    </row>
    <row r="3" spans="1:9" ht="35.1" customHeight="1" thickTop="1" thickBot="1" x14ac:dyDescent="0.3">
      <c r="A3" s="34" t="s">
        <v>66</v>
      </c>
      <c r="B3" s="57"/>
      <c r="C3" s="60"/>
      <c r="D3" s="58"/>
      <c r="F3" s="34" t="s">
        <v>66</v>
      </c>
      <c r="G3" s="57"/>
      <c r="H3" s="60"/>
      <c r="I3" s="58"/>
    </row>
    <row r="4" spans="1:9" ht="35.1" customHeight="1" thickBot="1" x14ac:dyDescent="0.3">
      <c r="A4" s="34" t="s">
        <v>23</v>
      </c>
      <c r="B4" s="57">
        <f>(B6*2)/1000</f>
        <v>880</v>
      </c>
      <c r="C4" s="60">
        <f>Stocks!H7</f>
        <v>19.4531914893617</v>
      </c>
      <c r="D4" s="58">
        <f>B4*C4</f>
        <v>17118.808510638297</v>
      </c>
      <c r="F4" s="34" t="s">
        <v>23</v>
      </c>
      <c r="G4" s="57">
        <f>(G6*2)/1000</f>
        <v>560</v>
      </c>
      <c r="H4" s="60">
        <f>Stocks!C4</f>
        <v>26</v>
      </c>
      <c r="I4" s="58">
        <f>G4*H4</f>
        <v>14560</v>
      </c>
    </row>
    <row r="5" spans="1:9" ht="35.1" customHeight="1" thickBot="1" x14ac:dyDescent="0.3">
      <c r="A5" s="61" t="s">
        <v>27</v>
      </c>
      <c r="B5" s="68">
        <f>B10</f>
        <v>22000</v>
      </c>
      <c r="C5" s="66">
        <f>Stocks!H23</f>
        <v>0.25</v>
      </c>
      <c r="D5" s="58">
        <f t="shared" ref="D5:D9" si="0">B5*C5</f>
        <v>5500</v>
      </c>
      <c r="F5" s="61" t="s">
        <v>27</v>
      </c>
      <c r="G5" s="68">
        <f>G10</f>
        <v>14000</v>
      </c>
      <c r="H5" s="66">
        <f>Stocks!H23</f>
        <v>0.25</v>
      </c>
      <c r="I5" s="58">
        <f t="shared" ref="I5:I9" si="1">G5*H5</f>
        <v>3500</v>
      </c>
    </row>
    <row r="6" spans="1:9" ht="35.1" customHeight="1" thickBot="1" x14ac:dyDescent="0.3">
      <c r="A6" s="61" t="s">
        <v>28</v>
      </c>
      <c r="B6" s="69">
        <f>B5*20</f>
        <v>440000</v>
      </c>
      <c r="C6" s="66">
        <f>Stocks!M7</f>
        <v>2.5000000000000001E-2</v>
      </c>
      <c r="D6" s="58">
        <f t="shared" si="0"/>
        <v>11000</v>
      </c>
      <c r="F6" s="61" t="s">
        <v>28</v>
      </c>
      <c r="G6" s="69">
        <f>G5*20</f>
        <v>280000</v>
      </c>
      <c r="H6" s="66">
        <f>Stocks!M7</f>
        <v>2.5000000000000001E-2</v>
      </c>
      <c r="I6" s="58">
        <f t="shared" si="1"/>
        <v>7000</v>
      </c>
    </row>
    <row r="7" spans="1:9" ht="35.1" customHeight="1" thickBot="1" x14ac:dyDescent="0.3">
      <c r="A7" s="35" t="s">
        <v>67</v>
      </c>
      <c r="B7" s="57"/>
      <c r="C7" s="60"/>
      <c r="D7" s="58"/>
      <c r="F7" s="35" t="s">
        <v>67</v>
      </c>
      <c r="G7" s="57"/>
      <c r="H7" s="60"/>
      <c r="I7" s="58"/>
    </row>
    <row r="8" spans="1:9" ht="35.1" customHeight="1" thickBot="1" x14ac:dyDescent="0.3">
      <c r="A8" s="36" t="s">
        <v>71</v>
      </c>
      <c r="B8" s="70">
        <f>Données!F4</f>
        <v>48</v>
      </c>
      <c r="C8" s="60">
        <f>Données!G4</f>
        <v>25</v>
      </c>
      <c r="D8" s="58">
        <f t="shared" si="0"/>
        <v>1200</v>
      </c>
      <c r="F8" s="36" t="s">
        <v>71</v>
      </c>
      <c r="G8" s="70">
        <f>Données!F5</f>
        <v>40</v>
      </c>
      <c r="H8" s="60">
        <f>Données!G5</f>
        <v>25</v>
      </c>
      <c r="I8" s="58">
        <f t="shared" si="1"/>
        <v>1000</v>
      </c>
    </row>
    <row r="9" spans="1:9" ht="35.1" customHeight="1" thickBot="1" x14ac:dyDescent="0.3">
      <c r="A9" s="36" t="s">
        <v>72</v>
      </c>
      <c r="B9" s="72">
        <f>Données!F8</f>
        <v>400</v>
      </c>
      <c r="C9" s="66">
        <f>Données!G8</f>
        <v>25</v>
      </c>
      <c r="D9" s="58">
        <f t="shared" si="0"/>
        <v>10000</v>
      </c>
      <c r="F9" s="36" t="s">
        <v>72</v>
      </c>
      <c r="G9" s="72">
        <f>Données!F9</f>
        <v>300</v>
      </c>
      <c r="H9" s="66">
        <f>Données!G9</f>
        <v>25</v>
      </c>
      <c r="I9" s="58">
        <f t="shared" si="1"/>
        <v>7500</v>
      </c>
    </row>
    <row r="10" spans="1:9" ht="35.1" customHeight="1" thickBot="1" x14ac:dyDescent="0.3">
      <c r="A10" s="36" t="s">
        <v>56</v>
      </c>
      <c r="B10" s="71">
        <f>Données!B12</f>
        <v>22000</v>
      </c>
      <c r="C10" s="67">
        <f>D10/B10</f>
        <v>2.0372185686653768</v>
      </c>
      <c r="D10" s="65">
        <f>SUM(D3:D9)</f>
        <v>44818.808510638293</v>
      </c>
      <c r="F10" s="36" t="s">
        <v>56</v>
      </c>
      <c r="G10" s="71">
        <f>Données!B13</f>
        <v>14000</v>
      </c>
      <c r="H10" s="67">
        <f>I10/G10</f>
        <v>2.3971428571428572</v>
      </c>
      <c r="I10" s="65">
        <f>SUM(I3:I9)</f>
        <v>33560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89D4-7F62-4C11-B60A-012431A2B17B}">
  <dimension ref="A1:I10"/>
  <sheetViews>
    <sheetView workbookViewId="0">
      <selection activeCell="H9" sqref="H9"/>
    </sheetView>
  </sheetViews>
  <sheetFormatPr defaultColWidth="25.7109375" defaultRowHeight="35.1" customHeight="1" x14ac:dyDescent="0.25"/>
  <sheetData>
    <row r="1" spans="1:9" ht="35.1" customHeight="1" thickBot="1" x14ac:dyDescent="0.3">
      <c r="A1" s="105" t="s">
        <v>74</v>
      </c>
      <c r="B1" s="106"/>
      <c r="C1" s="106"/>
      <c r="D1" s="107"/>
      <c r="E1" s="37"/>
      <c r="F1" s="105" t="s">
        <v>75</v>
      </c>
      <c r="G1" s="106"/>
      <c r="H1" s="106"/>
      <c r="I1" s="107"/>
    </row>
    <row r="2" spans="1:9" ht="35.1" customHeight="1" thickTop="1" thickBot="1" x14ac:dyDescent="0.3">
      <c r="A2" s="4"/>
      <c r="B2" s="54" t="s">
        <v>57</v>
      </c>
      <c r="C2" s="54" t="s">
        <v>58</v>
      </c>
      <c r="D2" s="55" t="s">
        <v>59</v>
      </c>
      <c r="E2" s="37"/>
      <c r="F2" s="4"/>
      <c r="G2" s="54" t="s">
        <v>57</v>
      </c>
      <c r="H2" s="54" t="s">
        <v>58</v>
      </c>
      <c r="I2" s="55" t="s">
        <v>59</v>
      </c>
    </row>
    <row r="3" spans="1:9" ht="35.1" customHeight="1" thickTop="1" thickBot="1" x14ac:dyDescent="0.3">
      <c r="A3" s="34" t="s">
        <v>66</v>
      </c>
      <c r="B3" s="57"/>
      <c r="C3" s="60"/>
      <c r="D3" s="58"/>
      <c r="E3" s="37"/>
      <c r="F3" s="34" t="s">
        <v>66</v>
      </c>
      <c r="G3" s="57"/>
      <c r="H3" s="60"/>
      <c r="I3" s="58"/>
    </row>
    <row r="4" spans="1:9" ht="35.1" customHeight="1" thickBot="1" x14ac:dyDescent="0.3">
      <c r="A4" s="61" t="s">
        <v>76</v>
      </c>
      <c r="B4" s="119">
        <f>Données!B12</f>
        <v>22000</v>
      </c>
      <c r="C4" s="66">
        <f>Stocks!M14</f>
        <v>2.2260154738878137</v>
      </c>
      <c r="D4" s="58">
        <f>B4*C4</f>
        <v>48972.340425531904</v>
      </c>
      <c r="E4" s="37"/>
      <c r="F4" s="34" t="s">
        <v>77</v>
      </c>
      <c r="G4" s="117">
        <f>Données!B13</f>
        <v>14000</v>
      </c>
      <c r="H4" s="60">
        <f>Stocks!M22</f>
        <v>2.447857142857143</v>
      </c>
      <c r="I4" s="58">
        <f>G4*H4</f>
        <v>34270</v>
      </c>
    </row>
    <row r="5" spans="1:9" ht="35.1" customHeight="1" thickBot="1" x14ac:dyDescent="0.3">
      <c r="A5" s="35" t="s">
        <v>67</v>
      </c>
      <c r="B5" s="57"/>
      <c r="C5" s="60"/>
      <c r="D5" s="58"/>
      <c r="E5" s="37"/>
      <c r="F5" s="36" t="s">
        <v>67</v>
      </c>
      <c r="G5" s="57"/>
      <c r="H5" s="60"/>
      <c r="I5" s="58"/>
    </row>
    <row r="6" spans="1:9" ht="35.1" customHeight="1" thickBot="1" x14ac:dyDescent="0.3">
      <c r="A6" s="36" t="s">
        <v>71</v>
      </c>
      <c r="B6" s="70">
        <f>Données!F4</f>
        <v>48</v>
      </c>
      <c r="C6" s="60">
        <f>Données!G4</f>
        <v>25</v>
      </c>
      <c r="D6" s="58">
        <f>B6*C6</f>
        <v>1200</v>
      </c>
      <c r="E6" s="37"/>
      <c r="F6" s="36" t="s">
        <v>71</v>
      </c>
      <c r="G6" s="70">
        <f>Données!F5</f>
        <v>40</v>
      </c>
      <c r="H6" s="60">
        <f>Données!G5</f>
        <v>25</v>
      </c>
      <c r="I6" s="58">
        <f>G6*H6</f>
        <v>1000</v>
      </c>
    </row>
    <row r="7" spans="1:9" ht="35.1" customHeight="1" thickBot="1" x14ac:dyDescent="0.3">
      <c r="A7" s="36" t="s">
        <v>72</v>
      </c>
      <c r="B7" s="126">
        <f>Données!F8</f>
        <v>400</v>
      </c>
      <c r="C7" s="66">
        <f>Données!G8</f>
        <v>25</v>
      </c>
      <c r="D7" s="58">
        <f>B7*C7</f>
        <v>10000</v>
      </c>
      <c r="E7" s="37"/>
      <c r="F7" s="36" t="s">
        <v>72</v>
      </c>
      <c r="G7" s="126">
        <f>Données!F9</f>
        <v>300</v>
      </c>
      <c r="H7" s="66">
        <f>Données!G9</f>
        <v>25</v>
      </c>
      <c r="I7" s="58">
        <f>G7*H7</f>
        <v>7500</v>
      </c>
    </row>
    <row r="8" spans="1:9" ht="35.1" customHeight="1" thickBot="1" x14ac:dyDescent="0.3">
      <c r="A8" s="36" t="s">
        <v>56</v>
      </c>
      <c r="B8" s="71">
        <f>'Coûts de production'!B10</f>
        <v>22000</v>
      </c>
      <c r="C8" s="67">
        <f>D8/B8</f>
        <v>2.735106382978723</v>
      </c>
      <c r="D8" s="65">
        <f>SUM(D3:D7)</f>
        <v>60172.340425531904</v>
      </c>
      <c r="E8" s="37"/>
      <c r="F8" s="36" t="s">
        <v>56</v>
      </c>
      <c r="G8" s="71">
        <f>G4</f>
        <v>14000</v>
      </c>
      <c r="H8" s="67">
        <f>I8/G8</f>
        <v>3.0550000000000002</v>
      </c>
      <c r="I8" s="65">
        <f>SUM(I3:I7)</f>
        <v>42770</v>
      </c>
    </row>
    <row r="9" spans="1:9" ht="35.1" customHeight="1" x14ac:dyDescent="0.25">
      <c r="E9" s="37"/>
    </row>
    <row r="10" spans="1:9" ht="35.1" customHeight="1" x14ac:dyDescent="0.25">
      <c r="E10" s="37"/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96C0-C4F7-4D92-92A9-A06E2CF82697}">
  <dimension ref="A1:I5"/>
  <sheetViews>
    <sheetView tabSelected="1" workbookViewId="0">
      <selection activeCell="F16" sqref="F16"/>
    </sheetView>
  </sheetViews>
  <sheetFormatPr defaultColWidth="25.7109375" defaultRowHeight="35.1" customHeight="1" x14ac:dyDescent="0.25"/>
  <sheetData>
    <row r="1" spans="1:9" ht="35.1" customHeight="1" thickBot="1" x14ac:dyDescent="0.3">
      <c r="A1" s="105" t="s">
        <v>82</v>
      </c>
      <c r="B1" s="106"/>
      <c r="C1" s="106"/>
      <c r="D1" s="107"/>
      <c r="F1" s="105" t="s">
        <v>86</v>
      </c>
      <c r="G1" s="106"/>
      <c r="H1" s="106"/>
      <c r="I1" s="107"/>
    </row>
    <row r="2" spans="1:9" ht="35.1" customHeight="1" thickTop="1" thickBot="1" x14ac:dyDescent="0.3">
      <c r="A2" s="4"/>
      <c r="B2" s="54" t="s">
        <v>57</v>
      </c>
      <c r="C2" s="54" t="s">
        <v>58</v>
      </c>
      <c r="D2" s="55" t="s">
        <v>59</v>
      </c>
      <c r="F2" s="4"/>
      <c r="G2" s="54" t="s">
        <v>57</v>
      </c>
      <c r="H2" s="54" t="s">
        <v>58</v>
      </c>
      <c r="I2" s="55" t="s">
        <v>59</v>
      </c>
    </row>
    <row r="3" spans="1:9" ht="35.1" customHeight="1" thickTop="1" thickBot="1" x14ac:dyDescent="0.3">
      <c r="A3" s="34" t="s">
        <v>83</v>
      </c>
      <c r="B3" s="125">
        <f>B4</f>
        <v>22000</v>
      </c>
      <c r="C3" s="121">
        <f>Données!C12</f>
        <v>5</v>
      </c>
      <c r="D3" s="58">
        <f>B3*C3</f>
        <v>110000</v>
      </c>
      <c r="F3" s="34" t="s">
        <v>83</v>
      </c>
      <c r="G3" s="125">
        <f>G4</f>
        <v>14000</v>
      </c>
      <c r="H3" s="121">
        <f>Données!C13</f>
        <v>4.5</v>
      </c>
      <c r="I3" s="58">
        <f>G3*H3</f>
        <v>63000</v>
      </c>
    </row>
    <row r="4" spans="1:9" ht="35.1" customHeight="1" thickBot="1" x14ac:dyDescent="0.3">
      <c r="A4" s="61" t="s">
        <v>84</v>
      </c>
      <c r="B4" s="122">
        <f>'Coût de revient'!B8</f>
        <v>22000</v>
      </c>
      <c r="C4" s="123">
        <f>'Coût de revient'!C8</f>
        <v>2.735106382978723</v>
      </c>
      <c r="D4" s="58">
        <f>'Coût de revient'!D8</f>
        <v>60172.340425531904</v>
      </c>
      <c r="F4" s="61" t="s">
        <v>84</v>
      </c>
      <c r="G4" s="122">
        <f>'Coût de revient'!G8</f>
        <v>14000</v>
      </c>
      <c r="H4" s="123">
        <f>'Coût de revient'!H8</f>
        <v>3.0550000000000002</v>
      </c>
      <c r="I4" s="58">
        <f>'Coût de revient'!I8</f>
        <v>42770</v>
      </c>
    </row>
    <row r="5" spans="1:9" ht="35.1" customHeight="1" thickBot="1" x14ac:dyDescent="0.3">
      <c r="A5" s="35" t="s">
        <v>85</v>
      </c>
      <c r="B5" s="118">
        <f>B4</f>
        <v>22000</v>
      </c>
      <c r="C5" s="124">
        <f>C3-C4</f>
        <v>2.264893617021277</v>
      </c>
      <c r="D5" s="59">
        <f>B5*C5</f>
        <v>49827.659574468096</v>
      </c>
      <c r="F5" s="35" t="s">
        <v>85</v>
      </c>
      <c r="G5" s="118">
        <f>G4</f>
        <v>14000</v>
      </c>
      <c r="H5" s="124">
        <f>H3-H4</f>
        <v>1.4449999999999998</v>
      </c>
      <c r="I5" s="59">
        <f>G5*H5</f>
        <v>20229.999999999996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Charges Indirects</vt:lpstr>
      <vt:lpstr>Données</vt:lpstr>
      <vt:lpstr>Stocks</vt:lpstr>
      <vt:lpstr>Coûts d'achat</vt:lpstr>
      <vt:lpstr>Coûts de production</vt:lpstr>
      <vt:lpstr>Coût de revient</vt:lpstr>
      <vt:lpstr>Résultats analytique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Vera</dc:creator>
  <cp:lastModifiedBy>Nicolas Vera</cp:lastModifiedBy>
  <cp:lastPrinted>2024-09-28T19:12:36Z</cp:lastPrinted>
  <dcterms:created xsi:type="dcterms:W3CDTF">2024-09-28T08:13:52Z</dcterms:created>
  <dcterms:modified xsi:type="dcterms:W3CDTF">2024-10-04T20:22:23Z</dcterms:modified>
</cp:coreProperties>
</file>