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min\Desktop\Cours\Cours\S5\"/>
    </mc:Choice>
  </mc:AlternateContent>
  <xr:revisionPtr revIDLastSave="0" documentId="13_ncr:1_{74627D16-4D46-4D97-9127-AAC3758DFF36}" xr6:coauthVersionLast="47" xr6:coauthVersionMax="47" xr10:uidLastSave="{00000000-0000-0000-0000-000000000000}"/>
  <bookViews>
    <workbookView xWindow="-120" yWindow="-120" windowWidth="38640" windowHeight="21120" activeTab="4" xr2:uid="{06E3367C-3394-4678-8E34-7A6D9FB1A358}"/>
  </bookViews>
  <sheets>
    <sheet name="Répartition" sheetId="1" r:id="rId1"/>
    <sheet name="Stock" sheetId="2" r:id="rId2"/>
    <sheet name="Cout de production" sheetId="8" r:id="rId3"/>
    <sheet name="Coût d'achat" sheetId="9" r:id="rId4"/>
    <sheet name="Coût de revient" sheetId="10" r:id="rId5"/>
    <sheet name="Analyse" sheetId="11" r:id="rId6"/>
    <sheet name="MOD" sheetId="7" r:id="rId7"/>
    <sheet name="Consommation" sheetId="4" r:id="rId8"/>
    <sheet name="Vente" sheetId="5" r:id="rId9"/>
    <sheet name="Production" sheetId="6" r:id="rId10"/>
    <sheet name="Charges Direct" sheetId="3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1" l="1"/>
  <c r="I5" i="11"/>
  <c r="H4" i="11"/>
  <c r="G4" i="11"/>
  <c r="I4" i="11" s="1"/>
  <c r="I3" i="11"/>
  <c r="H3" i="11"/>
  <c r="G3" i="11"/>
  <c r="B4" i="11"/>
  <c r="D3" i="11"/>
  <c r="C3" i="11"/>
  <c r="B3" i="11"/>
  <c r="D4" i="11"/>
  <c r="D5" i="11" s="1"/>
  <c r="H7" i="10"/>
  <c r="H6" i="10"/>
  <c r="G7" i="10"/>
  <c r="G6" i="10"/>
  <c r="I6" i="10" s="1"/>
  <c r="I4" i="10"/>
  <c r="G4" i="10"/>
  <c r="H4" i="10"/>
  <c r="B7" i="10"/>
  <c r="B6" i="10"/>
  <c r="I7" i="10"/>
  <c r="D7" i="10"/>
  <c r="C7" i="10"/>
  <c r="C6" i="10"/>
  <c r="C4" i="10"/>
  <c r="D4" i="10" s="1"/>
  <c r="B4" i="10"/>
  <c r="M12" i="2"/>
  <c r="M13" i="2" s="1"/>
  <c r="M5" i="2"/>
  <c r="M4" i="2"/>
  <c r="N12" i="2"/>
  <c r="N4" i="2"/>
  <c r="H11" i="8"/>
  <c r="G11" i="8"/>
  <c r="C12" i="8"/>
  <c r="B12" i="8"/>
  <c r="H4" i="8"/>
  <c r="C5" i="8"/>
  <c r="C4" i="8"/>
  <c r="H7" i="9"/>
  <c r="G7" i="9"/>
  <c r="D7" i="9"/>
  <c r="C7" i="9"/>
  <c r="B7" i="9"/>
  <c r="I7" i="9"/>
  <c r="H6" i="9"/>
  <c r="B6" i="9"/>
  <c r="D6" i="9" s="1"/>
  <c r="G6" i="9"/>
  <c r="I6" i="9"/>
  <c r="M3" i="2"/>
  <c r="M11" i="2"/>
  <c r="N11" i="2" s="1"/>
  <c r="L14" i="2"/>
  <c r="L6" i="2"/>
  <c r="L12" i="2"/>
  <c r="L4" i="2"/>
  <c r="H4" i="9"/>
  <c r="G4" i="9"/>
  <c r="C4" i="9"/>
  <c r="B4" i="9"/>
  <c r="L11" i="2"/>
  <c r="C6" i="9"/>
  <c r="H4" i="2"/>
  <c r="I4" i="2" s="1"/>
  <c r="I5" i="2" s="1"/>
  <c r="I4" i="9"/>
  <c r="D4" i="9"/>
  <c r="N3" i="2"/>
  <c r="L3" i="2"/>
  <c r="G4" i="8"/>
  <c r="H10" i="8"/>
  <c r="H9" i="8"/>
  <c r="I9" i="8" s="1"/>
  <c r="L5" i="2"/>
  <c r="L7" i="2" s="1"/>
  <c r="G10" i="8"/>
  <c r="G9" i="8"/>
  <c r="H7" i="8"/>
  <c r="G7" i="8"/>
  <c r="H6" i="8"/>
  <c r="G6" i="8"/>
  <c r="I10" i="8"/>
  <c r="I7" i="8"/>
  <c r="I5" i="8"/>
  <c r="C11" i="8"/>
  <c r="C10" i="8"/>
  <c r="B11" i="8"/>
  <c r="D11" i="8" s="1"/>
  <c r="B10" i="8"/>
  <c r="D10" i="8" s="1"/>
  <c r="C8" i="8"/>
  <c r="B8" i="8"/>
  <c r="C7" i="8"/>
  <c r="B7" i="8"/>
  <c r="D7" i="8" s="1"/>
  <c r="D8" i="8"/>
  <c r="G13" i="2"/>
  <c r="I11" i="2"/>
  <c r="I12" i="2"/>
  <c r="H12" i="2"/>
  <c r="G12" i="2"/>
  <c r="G15" i="2" s="1"/>
  <c r="H11" i="2"/>
  <c r="G11" i="2"/>
  <c r="G14" i="2"/>
  <c r="G7" i="2"/>
  <c r="G6" i="2"/>
  <c r="G4" i="2"/>
  <c r="I3" i="2"/>
  <c r="H3" i="2"/>
  <c r="G3" i="2"/>
  <c r="C6" i="8"/>
  <c r="D6" i="8" s="1"/>
  <c r="B5" i="8"/>
  <c r="D5" i="8" s="1"/>
  <c r="D5" i="2"/>
  <c r="C4" i="2"/>
  <c r="C3" i="2"/>
  <c r="D2" i="2"/>
  <c r="B4" i="8"/>
  <c r="I8" i="10" l="1"/>
  <c r="D6" i="10"/>
  <c r="D8" i="10" s="1"/>
  <c r="L13" i="2"/>
  <c r="L15" i="2" s="1"/>
  <c r="I6" i="8"/>
  <c r="I13" i="2"/>
  <c r="H13" i="2"/>
  <c r="G5" i="2"/>
  <c r="H14" i="2" l="1"/>
  <c r="I14" i="2" s="1"/>
  <c r="H15" i="2"/>
  <c r="I15" i="2" s="1"/>
  <c r="J8" i="1" l="1"/>
  <c r="J7" i="1"/>
  <c r="N7" i="1"/>
  <c r="N8" i="1" s="1"/>
  <c r="H7" i="1"/>
  <c r="H8" i="1" s="1"/>
  <c r="L8" i="1"/>
  <c r="L7" i="1"/>
  <c r="B2" i="3"/>
  <c r="F7" i="1"/>
  <c r="F8" i="1"/>
  <c r="D5" i="1"/>
  <c r="F5" i="1"/>
  <c r="H5" i="1"/>
  <c r="J5" i="1"/>
  <c r="L5" i="1"/>
  <c r="N5" i="1"/>
  <c r="B5" i="1"/>
  <c r="D4" i="1"/>
  <c r="N4" i="1" s="1"/>
  <c r="B3" i="1"/>
  <c r="J3" i="1" s="1"/>
  <c r="F3" i="1" l="1"/>
  <c r="L3" i="1"/>
  <c r="B4" i="1"/>
  <c r="H3" i="1"/>
  <c r="N3" i="1"/>
  <c r="F4" i="1"/>
  <c r="L4" i="1"/>
  <c r="D3" i="1"/>
  <c r="H5" i="2"/>
  <c r="H7" i="2" l="1"/>
  <c r="H6" i="2"/>
  <c r="I6" i="2" l="1"/>
  <c r="I4" i="8"/>
  <c r="I11" i="8" s="1"/>
  <c r="D4" i="8"/>
  <c r="D12" i="8" s="1"/>
  <c r="I7" i="2"/>
  <c r="N13" i="2" l="1"/>
  <c r="M14" i="2" l="1"/>
  <c r="N14" i="2" s="1"/>
  <c r="M15" i="2"/>
  <c r="N15" i="2" s="1"/>
  <c r="N5" i="2"/>
  <c r="M6" i="2"/>
  <c r="N6" i="2" s="1"/>
  <c r="M7" i="2" l="1"/>
  <c r="N7" i="2" s="1"/>
</calcChain>
</file>

<file path=xl/sharedStrings.xml><?xml version="1.0" encoding="utf-8"?>
<sst xmlns="http://schemas.openxmlformats.org/spreadsheetml/2006/main" count="175" uniqueCount="77">
  <si>
    <t>Total répartition primaire</t>
  </si>
  <si>
    <t>repartition entretien</t>
  </si>
  <si>
    <t>repartition transport</t>
  </si>
  <si>
    <t>nature UO</t>
  </si>
  <si>
    <t>coût d'uo</t>
  </si>
  <si>
    <t>Centre entretien</t>
  </si>
  <si>
    <t>Centre transport</t>
  </si>
  <si>
    <t>Centre approvisionnement</t>
  </si>
  <si>
    <t>Centre malaxage</t>
  </si>
  <si>
    <t>Centre pesage</t>
  </si>
  <si>
    <t>nombre d'UO</t>
  </si>
  <si>
    <t>Centre distribution</t>
  </si>
  <si>
    <t>Centre d'administration</t>
  </si>
  <si>
    <t>kg de beurre et sel acheté</t>
  </si>
  <si>
    <t>nombre d'heure de MOD</t>
  </si>
  <si>
    <t>nombre de kg de beure pesé</t>
  </si>
  <si>
    <t>nombre de plaquettes vendues</t>
  </si>
  <si>
    <t>100€ de vente de produit fini</t>
  </si>
  <si>
    <t>Total</t>
  </si>
  <si>
    <t>Stock au 1er juillet</t>
  </si>
  <si>
    <t>beurre vrac</t>
  </si>
  <si>
    <t>beurre doux conditionné</t>
  </si>
  <si>
    <t>beurre salé conditionné</t>
  </si>
  <si>
    <t>sel</t>
  </si>
  <si>
    <t>Quantité</t>
  </si>
  <si>
    <t>Prix Unitaire</t>
  </si>
  <si>
    <t>Achats du mois de Juillet</t>
  </si>
  <si>
    <t>beurre en vrac</t>
  </si>
  <si>
    <t>Nombre de cubes acheté</t>
  </si>
  <si>
    <t>masse</t>
  </si>
  <si>
    <t>Ventes du mois de juillet</t>
  </si>
  <si>
    <t>Plaquettes de 250g</t>
  </si>
  <si>
    <t>beurre doux</t>
  </si>
  <si>
    <t>beurre salé</t>
  </si>
  <si>
    <t>nb h mod atelier malaxage</t>
  </si>
  <si>
    <t>nb h mod atelier pesage</t>
  </si>
  <si>
    <t>Prix unitaire</t>
  </si>
  <si>
    <t>Consommation du mois de juillet</t>
  </si>
  <si>
    <t>beurre vrac pour beurre doux</t>
  </si>
  <si>
    <t>beurre vrac pour beurre salé</t>
  </si>
  <si>
    <t>papier sulfurisé pour beurre doux</t>
  </si>
  <si>
    <t>papier sulfurisé pour beurre salé</t>
  </si>
  <si>
    <t>Unités</t>
  </si>
  <si>
    <t>Production du mois de juillet</t>
  </si>
  <si>
    <t>Montant</t>
  </si>
  <si>
    <t>Charges Directes</t>
  </si>
  <si>
    <t>Charges Indirectes</t>
  </si>
  <si>
    <t>beurre</t>
  </si>
  <si>
    <t>Coût de production du beurre salé</t>
  </si>
  <si>
    <t>MOD atelier de malaxage</t>
  </si>
  <si>
    <t>MOD Atelier de pesage</t>
  </si>
  <si>
    <t>Papier sulfurisé</t>
  </si>
  <si>
    <t>Stock Initial</t>
  </si>
  <si>
    <t>Entrée</t>
  </si>
  <si>
    <t>Sorties</t>
  </si>
  <si>
    <t>Stock final</t>
  </si>
  <si>
    <t>Stock de beurre</t>
  </si>
  <si>
    <t>Stock de sel</t>
  </si>
  <si>
    <t>Coût de production du beurre doux</t>
  </si>
  <si>
    <t>Stock de beurre doux conditionné</t>
  </si>
  <si>
    <t>Stock de beurre salé conditionné</t>
  </si>
  <si>
    <t>Centre d'approvisonnement</t>
  </si>
  <si>
    <t>achats sel</t>
  </si>
  <si>
    <t>achats beurre</t>
  </si>
  <si>
    <t>atelier de malaxage</t>
  </si>
  <si>
    <t>Atelier de pesage</t>
  </si>
  <si>
    <t>Coût d'achat du beurre</t>
  </si>
  <si>
    <t>Coût d'achat du sel</t>
  </si>
  <si>
    <t>Coût de revient du beurre salé</t>
  </si>
  <si>
    <t>cout de production</t>
  </si>
  <si>
    <t>Administration</t>
  </si>
  <si>
    <t>Distribution</t>
  </si>
  <si>
    <t>Coût de revient du beurre doux</t>
  </si>
  <si>
    <t>CA</t>
  </si>
  <si>
    <t>Resultat Analytique du beurre salé</t>
  </si>
  <si>
    <t>Cout de production</t>
  </si>
  <si>
    <t>Resultat Analytique du beurre doux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</si>
</sst>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0&quot; kg&quot;"/>
    <numFmt numFmtId="165" formatCode="0&quot; €&quot;"/>
    <numFmt numFmtId="166" formatCode="0.000&quot; €&quot;"/>
    <numFmt numFmtId="167" formatCode="0.0&quot; € par cube&quot;"/>
    <numFmt numFmtId="168" formatCode="0.00&quot; €&quot;"/>
    <numFmt numFmtId="169" formatCode="0&quot; plaquettes&quot;"/>
    <numFmt numFmtId="170" formatCode="0.0&quot; €&quot;"/>
    <numFmt numFmtId="171" formatCode="0&quot; h&quot;"/>
    <numFmt numFmtId="174" formatCode="0&quot; H&quot;"/>
    <numFmt numFmtId="176" formatCode="0.0000&quot; €&quot;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rgb="FFFA7D0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CC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/>
      <top style="medium">
        <color indexed="64"/>
      </top>
      <bottom style="thick">
        <color theme="4"/>
      </bottom>
      <diagonal/>
    </border>
    <border>
      <left/>
      <right/>
      <top style="medium">
        <color indexed="64"/>
      </top>
      <bottom style="thick">
        <color theme="4"/>
      </bottom>
      <diagonal/>
    </border>
    <border>
      <left/>
      <right style="medium">
        <color indexed="64"/>
      </right>
      <top style="medium">
        <color indexed="64"/>
      </top>
      <bottom style="thick">
        <color theme="4"/>
      </bottom>
      <diagonal/>
    </border>
    <border>
      <left style="medium">
        <color indexed="64"/>
      </left>
      <right/>
      <top/>
      <bottom/>
      <diagonal/>
    </border>
    <border>
      <left style="medium">
        <color theme="1"/>
      </left>
      <right style="medium">
        <color theme="1"/>
      </right>
      <top/>
      <bottom style="thick">
        <color theme="4" tint="0.499984740745262"/>
      </bottom>
      <diagonal/>
    </border>
    <border>
      <left style="medium">
        <color theme="1"/>
      </left>
      <right style="medium">
        <color indexed="64"/>
      </right>
      <top/>
      <bottom style="thick">
        <color theme="4" tint="0.49998474074526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theme="1"/>
      </left>
      <right/>
      <top style="thick">
        <color theme="1"/>
      </top>
      <bottom style="thick">
        <color theme="4"/>
      </bottom>
      <diagonal/>
    </border>
    <border>
      <left/>
      <right/>
      <top style="thick">
        <color theme="1"/>
      </top>
      <bottom style="thick">
        <color theme="4"/>
      </bottom>
      <diagonal/>
    </border>
    <border>
      <left/>
      <right style="thick">
        <color theme="1"/>
      </right>
      <top style="thick">
        <color theme="1"/>
      </top>
      <bottom style="thick">
        <color theme="4"/>
      </bottom>
      <diagonal/>
    </border>
  </borders>
  <cellStyleXfs count="5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2" borderId="3" applyNumberFormat="0" applyAlignment="0" applyProtection="0"/>
    <xf numFmtId="0" fontId="1" fillId="3" borderId="4" applyNumberFormat="0" applyFont="0" applyAlignment="0" applyProtection="0"/>
  </cellStyleXfs>
  <cellXfs count="53">
    <xf numFmtId="0" fontId="0" fillId="0" borderId="0" xfId="0"/>
    <xf numFmtId="0" fontId="0" fillId="0" borderId="0" xfId="0" applyAlignment="1">
      <alignment horizontal="center" vertical="center" wrapText="1"/>
    </xf>
    <xf numFmtId="0" fontId="0" fillId="3" borderId="4" xfId="4" applyFont="1" applyAlignment="1">
      <alignment horizontal="center" vertical="center" wrapText="1"/>
    </xf>
    <xf numFmtId="0" fontId="4" fillId="2" borderId="3" xfId="3" applyAlignment="1">
      <alignment horizontal="center" vertical="center" wrapText="1"/>
    </xf>
    <xf numFmtId="164" fontId="4" fillId="2" borderId="3" xfId="3" applyNumberFormat="1" applyAlignment="1">
      <alignment horizontal="center" vertical="center" wrapText="1"/>
    </xf>
    <xf numFmtId="167" fontId="4" fillId="2" borderId="3" xfId="3" applyNumberFormat="1" applyAlignment="1">
      <alignment horizontal="center" vertical="center" wrapText="1"/>
    </xf>
    <xf numFmtId="168" fontId="4" fillId="2" borderId="3" xfId="3" applyNumberFormat="1" applyAlignment="1">
      <alignment horizontal="center" vertical="center" wrapText="1"/>
    </xf>
    <xf numFmtId="0" fontId="2" fillId="0" borderId="1" xfId="1" applyAlignment="1">
      <alignment horizontal="center" vertical="center" wrapText="1"/>
    </xf>
    <xf numFmtId="166" fontId="4" fillId="2" borderId="3" xfId="3" applyNumberFormat="1" applyAlignment="1">
      <alignment horizontal="center" vertical="center" wrapText="1"/>
    </xf>
    <xf numFmtId="169" fontId="4" fillId="2" borderId="3" xfId="3" applyNumberFormat="1" applyAlignment="1">
      <alignment horizontal="center" vertical="center" wrapText="1"/>
    </xf>
    <xf numFmtId="170" fontId="4" fillId="2" borderId="3" xfId="3" applyNumberFormat="1" applyAlignment="1">
      <alignment horizontal="center" vertical="center" wrapText="1"/>
    </xf>
    <xf numFmtId="171" fontId="4" fillId="2" borderId="3" xfId="3" applyNumberFormat="1" applyAlignment="1">
      <alignment horizontal="center" vertical="center" wrapText="1"/>
    </xf>
    <xf numFmtId="165" fontId="4" fillId="2" borderId="3" xfId="3" applyNumberFormat="1" applyAlignment="1">
      <alignment horizontal="center" vertical="center" wrapText="1"/>
    </xf>
    <xf numFmtId="0" fontId="4" fillId="2" borderId="3" xfId="3" applyAlignment="1">
      <alignment horizontal="center" vertical="center" wrapText="1"/>
    </xf>
    <xf numFmtId="0" fontId="2" fillId="0" borderId="1" xfId="1" applyAlignment="1">
      <alignment horizontal="center" vertical="center" wrapText="1"/>
    </xf>
    <xf numFmtId="0" fontId="3" fillId="0" borderId="2" xfId="2" applyAlignment="1">
      <alignment horizontal="center" vertical="center" wrapText="1"/>
    </xf>
    <xf numFmtId="0" fontId="2" fillId="0" borderId="5" xfId="1" applyBorder="1" applyAlignment="1">
      <alignment horizontal="center" vertical="center" wrapText="1"/>
    </xf>
    <xf numFmtId="0" fontId="2" fillId="0" borderId="6" xfId="1" applyBorder="1" applyAlignment="1">
      <alignment horizontal="center" vertical="center" wrapText="1"/>
    </xf>
    <xf numFmtId="0" fontId="2" fillId="0" borderId="7" xfId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3" fillId="0" borderId="9" xfId="2" applyBorder="1" applyAlignment="1">
      <alignment horizontal="center" vertical="center"/>
    </xf>
    <xf numFmtId="0" fontId="3" fillId="0" borderId="10" xfId="2" applyBorder="1" applyAlignment="1">
      <alignment horizontal="center" vertical="center"/>
    </xf>
    <xf numFmtId="0" fontId="2" fillId="3" borderId="11" xfId="4" applyFont="1" applyBorder="1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165" fontId="0" fillId="0" borderId="0" xfId="0" applyNumberFormat="1" applyAlignment="1">
      <alignment horizontal="center" vertical="center" wrapText="1"/>
    </xf>
    <xf numFmtId="165" fontId="0" fillId="0" borderId="12" xfId="0" applyNumberFormat="1" applyBorder="1" applyAlignment="1">
      <alignment horizontal="center" vertical="center" wrapText="1"/>
    </xf>
    <xf numFmtId="0" fontId="2" fillId="3" borderId="13" xfId="4" applyFont="1" applyBorder="1" applyAlignment="1">
      <alignment horizontal="center" vertical="center"/>
    </xf>
    <xf numFmtId="0" fontId="2" fillId="3" borderId="14" xfId="4" applyFont="1" applyBorder="1" applyAlignment="1">
      <alignment horizontal="center" vertical="center" wrapText="1"/>
    </xf>
    <xf numFmtId="0" fontId="2" fillId="3" borderId="13" xfId="4" applyFont="1" applyBorder="1" applyAlignment="1">
      <alignment horizontal="center" vertical="center" wrapText="1"/>
    </xf>
    <xf numFmtId="174" fontId="0" fillId="0" borderId="0" xfId="0" applyNumberFormat="1" applyAlignment="1">
      <alignment horizontal="center" vertical="center" wrapText="1"/>
    </xf>
    <xf numFmtId="1" fontId="0" fillId="0" borderId="0" xfId="0" applyNumberFormat="1" applyAlignment="1">
      <alignment horizontal="center" vertical="center" wrapText="1"/>
    </xf>
    <xf numFmtId="164" fontId="0" fillId="0" borderId="0" xfId="0" applyNumberFormat="1" applyAlignment="1">
      <alignment horizontal="center" vertical="center"/>
    </xf>
    <xf numFmtId="0" fontId="2" fillId="0" borderId="17" xfId="1" applyBorder="1" applyAlignment="1">
      <alignment horizontal="center" vertical="center" wrapText="1"/>
    </xf>
    <xf numFmtId="0" fontId="2" fillId="0" borderId="18" xfId="1" applyBorder="1" applyAlignment="1">
      <alignment horizontal="center" vertical="center" wrapText="1"/>
    </xf>
    <xf numFmtId="0" fontId="2" fillId="0" borderId="19" xfId="1" applyBorder="1" applyAlignment="1">
      <alignment horizontal="center" vertical="center" wrapText="1"/>
    </xf>
    <xf numFmtId="164" fontId="0" fillId="0" borderId="15" xfId="0" applyNumberFormat="1" applyBorder="1" applyAlignment="1">
      <alignment horizontal="center" vertical="center" wrapText="1"/>
    </xf>
    <xf numFmtId="176" fontId="0" fillId="0" borderId="12" xfId="0" applyNumberFormat="1" applyBorder="1" applyAlignment="1">
      <alignment horizontal="center" vertical="center" wrapText="1"/>
    </xf>
    <xf numFmtId="176" fontId="0" fillId="0" borderId="16" xfId="0" applyNumberFormat="1" applyBorder="1" applyAlignment="1">
      <alignment horizontal="center" vertical="center" wrapText="1"/>
    </xf>
    <xf numFmtId="176" fontId="0" fillId="0" borderId="0" xfId="0" applyNumberFormat="1" applyAlignment="1">
      <alignment horizontal="center" vertical="center" wrapText="1"/>
    </xf>
    <xf numFmtId="176" fontId="0" fillId="0" borderId="0" xfId="0" applyNumberFormat="1" applyAlignment="1">
      <alignment horizontal="center" vertical="center"/>
    </xf>
    <xf numFmtId="174" fontId="0" fillId="0" borderId="8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169" fontId="0" fillId="0" borderId="0" xfId="0" applyNumberFormat="1" applyAlignment="1">
      <alignment horizontal="center" vertical="center" wrapText="1"/>
    </xf>
    <xf numFmtId="169" fontId="0" fillId="0" borderId="15" xfId="0" applyNumberForma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176" fontId="0" fillId="0" borderId="16" xfId="0" applyNumberFormat="1" applyBorder="1" applyAlignment="1">
      <alignment horizontal="center" vertical="center"/>
    </xf>
    <xf numFmtId="176" fontId="0" fillId="0" borderId="15" xfId="0" applyNumberFormat="1" applyBorder="1" applyAlignment="1">
      <alignment horizontal="center" vertical="center" wrapText="1"/>
    </xf>
    <xf numFmtId="176" fontId="0" fillId="0" borderId="15" xfId="0" applyNumberFormat="1" applyBorder="1" applyAlignment="1">
      <alignment horizontal="center" vertical="center"/>
    </xf>
    <xf numFmtId="164" fontId="0" fillId="0" borderId="15" xfId="0" applyNumberForma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 wrapText="1"/>
    </xf>
    <xf numFmtId="165" fontId="0" fillId="0" borderId="0" xfId="0" applyNumberFormat="1" applyBorder="1" applyAlignment="1">
      <alignment horizontal="center" vertical="center" wrapText="1"/>
    </xf>
    <xf numFmtId="176" fontId="0" fillId="0" borderId="0" xfId="0" applyNumberFormat="1" applyBorder="1" applyAlignment="1">
      <alignment horizontal="center" vertical="center" wrapText="1"/>
    </xf>
    <xf numFmtId="169" fontId="0" fillId="0" borderId="0" xfId="0" applyNumberFormat="1" applyBorder="1" applyAlignment="1">
      <alignment horizontal="center" vertical="center" wrapText="1"/>
    </xf>
  </cellXfs>
  <cellStyles count="5">
    <cellStyle name="Calculation" xfId="3" builtinId="22"/>
    <cellStyle name="Heading 1" xfId="1" builtinId="16"/>
    <cellStyle name="Heading 2" xfId="2" builtinId="17"/>
    <cellStyle name="Normal" xfId="0" builtinId="0"/>
    <cellStyle name="Note" xfId="4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20726-E44A-4DB1-B7C1-AD915D1A380C}">
  <dimension ref="A1:O8"/>
  <sheetViews>
    <sheetView workbookViewId="0">
      <selection activeCell="F8" sqref="F8:G8"/>
    </sheetView>
  </sheetViews>
  <sheetFormatPr defaultColWidth="20.7109375" defaultRowHeight="35.1" customHeight="1" x14ac:dyDescent="0.25"/>
  <cols>
    <col min="1" max="16384" width="20.7109375" style="1"/>
  </cols>
  <sheetData>
    <row r="1" spans="1:15" ht="35.1" customHeight="1" thickBot="1" x14ac:dyDescent="0.3">
      <c r="A1" s="7"/>
      <c r="B1" s="14" t="s">
        <v>5</v>
      </c>
      <c r="C1" s="14"/>
      <c r="D1" s="14" t="s">
        <v>6</v>
      </c>
      <c r="E1" s="14"/>
      <c r="F1" s="14" t="s">
        <v>7</v>
      </c>
      <c r="G1" s="14"/>
      <c r="H1" s="14" t="s">
        <v>8</v>
      </c>
      <c r="I1" s="14"/>
      <c r="J1" s="14" t="s">
        <v>9</v>
      </c>
      <c r="K1" s="14"/>
      <c r="L1" s="14" t="s">
        <v>11</v>
      </c>
      <c r="M1" s="14"/>
      <c r="N1" s="14" t="s">
        <v>12</v>
      </c>
      <c r="O1" s="14"/>
    </row>
    <row r="2" spans="1:15" ht="35.1" customHeight="1" thickTop="1" x14ac:dyDescent="0.25">
      <c r="A2" s="2" t="s">
        <v>0</v>
      </c>
      <c r="B2" s="13">
        <v>2600</v>
      </c>
      <c r="C2" s="13"/>
      <c r="D2" s="13">
        <v>4535</v>
      </c>
      <c r="E2" s="13"/>
      <c r="F2" s="13">
        <v>10584.4</v>
      </c>
      <c r="G2" s="13"/>
      <c r="H2" s="13">
        <v>3600</v>
      </c>
      <c r="I2" s="13"/>
      <c r="J2" s="13">
        <v>13271.5</v>
      </c>
      <c r="K2" s="13"/>
      <c r="L2" s="13">
        <v>3450</v>
      </c>
      <c r="M2" s="13"/>
      <c r="N2" s="13">
        <v>1650.05</v>
      </c>
      <c r="O2" s="13"/>
    </row>
    <row r="3" spans="1:15" ht="35.1" customHeight="1" x14ac:dyDescent="0.25">
      <c r="A3" s="2" t="s">
        <v>1</v>
      </c>
      <c r="B3" s="3">
        <f>3100*C3</f>
        <v>-3100</v>
      </c>
      <c r="C3" s="3">
        <v>-1</v>
      </c>
      <c r="D3" s="3">
        <f>-E3*B3</f>
        <v>465</v>
      </c>
      <c r="E3" s="3">
        <v>0.15</v>
      </c>
      <c r="F3" s="3">
        <f>-G3*B3</f>
        <v>310</v>
      </c>
      <c r="G3" s="3">
        <v>0.1</v>
      </c>
      <c r="H3" s="3">
        <f>-I3*B3</f>
        <v>1240</v>
      </c>
      <c r="I3" s="3">
        <v>0.4</v>
      </c>
      <c r="J3" s="3">
        <f>-K3*B3</f>
        <v>620</v>
      </c>
      <c r="K3" s="3">
        <v>0.2</v>
      </c>
      <c r="L3" s="3">
        <f>-M3*B3</f>
        <v>310</v>
      </c>
      <c r="M3" s="3">
        <v>0.1</v>
      </c>
      <c r="N3" s="3">
        <f>-O3*B3</f>
        <v>155</v>
      </c>
      <c r="O3" s="3">
        <v>0.05</v>
      </c>
    </row>
    <row r="4" spans="1:15" ht="35.1" customHeight="1" x14ac:dyDescent="0.25">
      <c r="A4" s="2" t="s">
        <v>2</v>
      </c>
      <c r="B4" s="3">
        <f>-C4*D4</f>
        <v>500</v>
      </c>
      <c r="C4" s="3">
        <v>0.1</v>
      </c>
      <c r="D4" s="3">
        <f>E4*5000</f>
        <v>-5000</v>
      </c>
      <c r="E4" s="3">
        <v>-1</v>
      </c>
      <c r="F4" s="3">
        <f>-G4*D4</f>
        <v>1000</v>
      </c>
      <c r="G4" s="3">
        <v>0.2</v>
      </c>
      <c r="H4" s="3"/>
      <c r="I4" s="3"/>
      <c r="J4" s="3"/>
      <c r="K4" s="3"/>
      <c r="L4" s="3">
        <f>-M4*D4</f>
        <v>3000</v>
      </c>
      <c r="M4" s="3">
        <v>0.6</v>
      </c>
      <c r="N4" s="3">
        <f>-O4*D4</f>
        <v>500</v>
      </c>
      <c r="O4" s="3">
        <v>0.1</v>
      </c>
    </row>
    <row r="5" spans="1:15" ht="35.1" customHeight="1" x14ac:dyDescent="0.25">
      <c r="A5" s="2" t="s">
        <v>18</v>
      </c>
      <c r="B5" s="13">
        <f>B2+B3+B4</f>
        <v>0</v>
      </c>
      <c r="C5" s="13"/>
      <c r="D5" s="13">
        <f t="shared" ref="D5" si="0">D2+D3+D4</f>
        <v>0</v>
      </c>
      <c r="E5" s="13"/>
      <c r="F5" s="13">
        <f t="shared" ref="F5" si="1">F2+F3+F4</f>
        <v>11894.4</v>
      </c>
      <c r="G5" s="13"/>
      <c r="H5" s="13">
        <f t="shared" ref="H5" si="2">H2+H3+H4</f>
        <v>4840</v>
      </c>
      <c r="I5" s="13"/>
      <c r="J5" s="13">
        <f t="shared" ref="J5" si="3">J2+J3+J4</f>
        <v>13891.5</v>
      </c>
      <c r="K5" s="13"/>
      <c r="L5" s="13">
        <f t="shared" ref="L5" si="4">L2+L3+L4</f>
        <v>6760</v>
      </c>
      <c r="M5" s="13"/>
      <c r="N5" s="13">
        <f t="shared" ref="N5" si="5">N2+N3+N4</f>
        <v>2305.0500000000002</v>
      </c>
      <c r="O5" s="13"/>
    </row>
    <row r="6" spans="1:15" ht="35.1" customHeight="1" thickBot="1" x14ac:dyDescent="0.3">
      <c r="A6" s="2" t="s">
        <v>3</v>
      </c>
      <c r="B6" s="15"/>
      <c r="C6" s="15"/>
      <c r="D6" s="15"/>
      <c r="E6" s="15"/>
      <c r="F6" s="15" t="s">
        <v>13</v>
      </c>
      <c r="G6" s="15"/>
      <c r="H6" s="15" t="s">
        <v>14</v>
      </c>
      <c r="I6" s="15"/>
      <c r="J6" s="15" t="s">
        <v>15</v>
      </c>
      <c r="K6" s="15"/>
      <c r="L6" s="15" t="s">
        <v>16</v>
      </c>
      <c r="M6" s="15"/>
      <c r="N6" s="15" t="s">
        <v>17</v>
      </c>
      <c r="O6" s="15"/>
    </row>
    <row r="7" spans="1:15" ht="35.1" customHeight="1" thickTop="1" x14ac:dyDescent="0.25">
      <c r="A7" s="2" t="s">
        <v>10</v>
      </c>
      <c r="B7" s="13"/>
      <c r="C7" s="13"/>
      <c r="D7" s="13"/>
      <c r="E7" s="13"/>
      <c r="F7" s="13">
        <f>324*25+160</f>
        <v>8260</v>
      </c>
      <c r="G7" s="13"/>
      <c r="H7" s="13">
        <f>MOD!B2+MOD!B3</f>
        <v>110</v>
      </c>
      <c r="I7" s="13"/>
      <c r="J7" s="13">
        <f>Consommation!B2+Consommation!B3*1.1</f>
        <v>8575</v>
      </c>
      <c r="K7" s="13"/>
      <c r="L7" s="13">
        <f>Vente!B2+Vente!B3</f>
        <v>33800</v>
      </c>
      <c r="M7" s="13"/>
      <c r="N7" s="13">
        <f>(Vente!B2*Vente!C2+Vente!B3*Vente!C3)/100</f>
        <v>698.5</v>
      </c>
      <c r="O7" s="13"/>
    </row>
    <row r="8" spans="1:15" ht="35.1" customHeight="1" x14ac:dyDescent="0.25">
      <c r="A8" s="2" t="s">
        <v>4</v>
      </c>
      <c r="B8" s="13"/>
      <c r="C8" s="13"/>
      <c r="D8" s="13"/>
      <c r="E8" s="13"/>
      <c r="F8" s="13">
        <f>F5/F7</f>
        <v>1.44</v>
      </c>
      <c r="G8" s="13"/>
      <c r="H8" s="13">
        <f>H5/H7</f>
        <v>44</v>
      </c>
      <c r="I8" s="13"/>
      <c r="J8" s="13">
        <f>J5/J7</f>
        <v>1.62</v>
      </c>
      <c r="K8" s="13"/>
      <c r="L8" s="13">
        <f>L5/L7</f>
        <v>0.2</v>
      </c>
      <c r="M8" s="13"/>
      <c r="N8" s="13">
        <f>N5/N7</f>
        <v>3.3000000000000003</v>
      </c>
      <c r="O8" s="13"/>
    </row>
  </sheetData>
  <mergeCells count="42">
    <mergeCell ref="N6:O6"/>
    <mergeCell ref="B6:C6"/>
    <mergeCell ref="J6:K6"/>
    <mergeCell ref="L6:M6"/>
    <mergeCell ref="F6:G6"/>
    <mergeCell ref="H6:I6"/>
    <mergeCell ref="B1:C1"/>
    <mergeCell ref="N2:O2"/>
    <mergeCell ref="L2:M2"/>
    <mergeCell ref="J2:K2"/>
    <mergeCell ref="H2:I2"/>
    <mergeCell ref="F2:G2"/>
    <mergeCell ref="D2:E2"/>
    <mergeCell ref="B2:C2"/>
    <mergeCell ref="N1:O1"/>
    <mergeCell ref="L1:M1"/>
    <mergeCell ref="J1:K1"/>
    <mergeCell ref="H1:I1"/>
    <mergeCell ref="F1:G1"/>
    <mergeCell ref="D1:E1"/>
    <mergeCell ref="N5:O5"/>
    <mergeCell ref="L5:M5"/>
    <mergeCell ref="J5:K5"/>
    <mergeCell ref="H5:I5"/>
    <mergeCell ref="F5:G5"/>
    <mergeCell ref="D5:E5"/>
    <mergeCell ref="B5:C5"/>
    <mergeCell ref="B8:C8"/>
    <mergeCell ref="B7:C7"/>
    <mergeCell ref="D8:E8"/>
    <mergeCell ref="D7:E7"/>
    <mergeCell ref="D6:E6"/>
    <mergeCell ref="H8:I8"/>
    <mergeCell ref="H7:I7"/>
    <mergeCell ref="F8:G8"/>
    <mergeCell ref="F7:G7"/>
    <mergeCell ref="N8:O8"/>
    <mergeCell ref="N7:O7"/>
    <mergeCell ref="L8:M8"/>
    <mergeCell ref="L7:M7"/>
    <mergeCell ref="J8:K8"/>
    <mergeCell ref="J7:K7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B3239-7588-4832-B3D8-8EE571C5B0DA}">
  <dimension ref="A1:C3"/>
  <sheetViews>
    <sheetView workbookViewId="0">
      <selection activeCell="E4" sqref="E4"/>
    </sheetView>
  </sheetViews>
  <sheetFormatPr defaultColWidth="20.7109375" defaultRowHeight="35.1" customHeight="1" x14ac:dyDescent="0.25"/>
  <cols>
    <col min="1" max="16384" width="20.7109375" style="1"/>
  </cols>
  <sheetData>
    <row r="1" spans="1:3" ht="35.1" customHeight="1" thickBot="1" x14ac:dyDescent="0.3">
      <c r="A1" s="7" t="s">
        <v>43</v>
      </c>
      <c r="B1" s="7" t="s">
        <v>31</v>
      </c>
      <c r="C1"/>
    </row>
    <row r="2" spans="1:3" ht="35.1" customHeight="1" thickTop="1" x14ac:dyDescent="0.25">
      <c r="A2" s="2" t="s">
        <v>32</v>
      </c>
      <c r="B2" s="9">
        <v>11200</v>
      </c>
      <c r="C2"/>
    </row>
    <row r="3" spans="1:3" ht="35.1" customHeight="1" x14ac:dyDescent="0.25">
      <c r="A3" s="2" t="s">
        <v>33</v>
      </c>
      <c r="B3" s="9">
        <v>23100</v>
      </c>
      <c r="C3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77D89-1FE4-4DA4-BEA8-73A6B98D5AE6}">
  <dimension ref="A1:C7"/>
  <sheetViews>
    <sheetView workbookViewId="0">
      <selection activeCell="B2" sqref="B2"/>
    </sheetView>
  </sheetViews>
  <sheetFormatPr defaultColWidth="20.7109375" defaultRowHeight="35.1" customHeight="1" x14ac:dyDescent="0.25"/>
  <cols>
    <col min="1" max="16384" width="20.7109375" style="1"/>
  </cols>
  <sheetData>
    <row r="1" spans="1:3" ht="35.1" customHeight="1" thickBot="1" x14ac:dyDescent="0.3">
      <c r="A1" s="7" t="s">
        <v>26</v>
      </c>
      <c r="B1" s="7" t="s">
        <v>24</v>
      </c>
      <c r="C1" s="7" t="s">
        <v>25</v>
      </c>
    </row>
    <row r="2" spans="1:3" ht="35.1" customHeight="1" thickTop="1" x14ac:dyDescent="0.25">
      <c r="A2" s="2" t="s">
        <v>27</v>
      </c>
      <c r="B2" s="4">
        <f>B6*B7</f>
        <v>8100</v>
      </c>
      <c r="C2" s="5">
        <v>72.5</v>
      </c>
    </row>
    <row r="3" spans="1:3" ht="35.1" customHeight="1" x14ac:dyDescent="0.25">
      <c r="A3" s="2" t="s">
        <v>23</v>
      </c>
      <c r="B3" s="4">
        <v>160</v>
      </c>
      <c r="C3" s="6">
        <v>0.81</v>
      </c>
    </row>
    <row r="6" spans="1:3" ht="35.1" customHeight="1" x14ac:dyDescent="0.25">
      <c r="A6" s="2" t="s">
        <v>28</v>
      </c>
      <c r="B6" s="3">
        <v>324</v>
      </c>
    </row>
    <row r="7" spans="1:3" ht="35.1" customHeight="1" x14ac:dyDescent="0.25">
      <c r="A7" s="2" t="s">
        <v>29</v>
      </c>
      <c r="B7" s="3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7F947-21D1-4779-A591-7849A37AF6ED}">
  <dimension ref="A1:N15"/>
  <sheetViews>
    <sheetView workbookViewId="0">
      <selection activeCell="B19" sqref="B19"/>
    </sheetView>
  </sheetViews>
  <sheetFormatPr defaultColWidth="20.7109375" defaultRowHeight="35.1" customHeight="1" x14ac:dyDescent="0.25"/>
  <cols>
    <col min="1" max="16384" width="20.7109375" style="1"/>
  </cols>
  <sheetData>
    <row r="1" spans="1:14" ht="35.1" customHeight="1" thickTop="1" thickBot="1" x14ac:dyDescent="0.3">
      <c r="A1" s="7" t="s">
        <v>19</v>
      </c>
      <c r="B1" s="7" t="s">
        <v>24</v>
      </c>
      <c r="C1" s="7" t="s">
        <v>25</v>
      </c>
      <c r="D1" s="7" t="s">
        <v>18</v>
      </c>
      <c r="F1" s="32" t="s">
        <v>56</v>
      </c>
      <c r="G1" s="33"/>
      <c r="H1" s="33"/>
      <c r="I1" s="34"/>
      <c r="K1" s="32" t="s">
        <v>59</v>
      </c>
      <c r="L1" s="33"/>
      <c r="M1" s="33"/>
      <c r="N1" s="34"/>
    </row>
    <row r="2" spans="1:14" ht="35.1" customHeight="1" thickTop="1" thickBot="1" x14ac:dyDescent="0.3">
      <c r="A2" s="2" t="s">
        <v>20</v>
      </c>
      <c r="B2" s="4">
        <v>200</v>
      </c>
      <c r="C2" s="8">
        <v>3.0950000000000002</v>
      </c>
      <c r="D2" s="8">
        <f>B2*C2</f>
        <v>619</v>
      </c>
      <c r="F2" s="19"/>
      <c r="G2" s="20" t="s">
        <v>24</v>
      </c>
      <c r="H2" s="20" t="s">
        <v>25</v>
      </c>
      <c r="I2" s="21" t="s">
        <v>44</v>
      </c>
      <c r="K2" s="19"/>
      <c r="L2" s="20" t="s">
        <v>24</v>
      </c>
      <c r="M2" s="20" t="s">
        <v>25</v>
      </c>
      <c r="N2" s="21" t="s">
        <v>44</v>
      </c>
    </row>
    <row r="3" spans="1:14" ht="35.1" customHeight="1" thickTop="1" thickBot="1" x14ac:dyDescent="0.3">
      <c r="A3" s="2" t="s">
        <v>21</v>
      </c>
      <c r="B3" s="9">
        <v>270</v>
      </c>
      <c r="C3" s="8">
        <f>D3/B3</f>
        <v>1.5307407407407407</v>
      </c>
      <c r="D3" s="8">
        <v>413.3</v>
      </c>
      <c r="F3" s="22" t="s">
        <v>52</v>
      </c>
      <c r="G3" s="23">
        <f>B2</f>
        <v>200</v>
      </c>
      <c r="H3" s="38">
        <f>C2</f>
        <v>3.0950000000000002</v>
      </c>
      <c r="I3" s="36">
        <f>D2</f>
        <v>619</v>
      </c>
      <c r="K3" s="22" t="s">
        <v>52</v>
      </c>
      <c r="L3" s="42">
        <f>B3</f>
        <v>270</v>
      </c>
      <c r="M3" s="38">
        <f>C3</f>
        <v>1.5307407407407407</v>
      </c>
      <c r="N3" s="36">
        <f>L3*M3</f>
        <v>413.3</v>
      </c>
    </row>
    <row r="4" spans="1:14" ht="35.1" customHeight="1" thickBot="1" x14ac:dyDescent="0.3">
      <c r="A4" s="2" t="s">
        <v>22</v>
      </c>
      <c r="B4" s="9">
        <v>950</v>
      </c>
      <c r="C4" s="8">
        <f>D4/B4</f>
        <v>1.9125263157894739</v>
      </c>
      <c r="D4" s="8">
        <v>1816.9</v>
      </c>
      <c r="F4" s="28" t="s">
        <v>53</v>
      </c>
      <c r="G4" s="23">
        <f>'Charges Direct'!B2</f>
        <v>8100</v>
      </c>
      <c r="H4" s="38">
        <f>'Charges Direct'!C2/'Charges Direct'!B7</f>
        <v>2.9</v>
      </c>
      <c r="I4" s="36">
        <f>G4*H4</f>
        <v>23490</v>
      </c>
      <c r="K4" s="28" t="s">
        <v>53</v>
      </c>
      <c r="L4" s="42">
        <f>Production!B2</f>
        <v>11200</v>
      </c>
      <c r="M4" s="38">
        <f>N4/L4</f>
        <v>12.551919642857143</v>
      </c>
      <c r="N4" s="36">
        <f>'Cout de production'!I11</f>
        <v>140581.5</v>
      </c>
    </row>
    <row r="5" spans="1:14" ht="35.1" customHeight="1" thickBot="1" x14ac:dyDescent="0.3">
      <c r="A5" s="2" t="s">
        <v>23</v>
      </c>
      <c r="B5" s="4">
        <v>80</v>
      </c>
      <c r="C5" s="8">
        <v>0.96</v>
      </c>
      <c r="D5" s="8">
        <f>B5*C5</f>
        <v>76.8</v>
      </c>
      <c r="F5" s="27" t="s">
        <v>18</v>
      </c>
      <c r="G5" s="23">
        <f>G3+G4</f>
        <v>8300</v>
      </c>
      <c r="H5" s="38">
        <f>I5/G5</f>
        <v>2.9046987951807228</v>
      </c>
      <c r="I5" s="36">
        <f>I3+I4</f>
        <v>24109</v>
      </c>
      <c r="K5" s="27" t="s">
        <v>18</v>
      </c>
      <c r="L5" s="42">
        <f>L3+L4</f>
        <v>11470</v>
      </c>
      <c r="M5" s="38">
        <f>(L3*M3+L4*M4)/(L3+L4)</f>
        <v>12.292484742807323</v>
      </c>
      <c r="N5" s="36">
        <f>N3+N4</f>
        <v>140994.79999999999</v>
      </c>
    </row>
    <row r="6" spans="1:14" ht="35.1" customHeight="1" thickBot="1" x14ac:dyDescent="0.3">
      <c r="F6" s="28" t="s">
        <v>54</v>
      </c>
      <c r="G6" s="23">
        <f>Consommation!B2+Consommation!B3</f>
        <v>8050</v>
      </c>
      <c r="H6" s="38">
        <f>H5</f>
        <v>2.9046987951807228</v>
      </c>
      <c r="I6" s="36">
        <f t="shared" ref="I4:I7" si="0">G6*H6</f>
        <v>23382.825301204819</v>
      </c>
      <c r="K6" s="28" t="s">
        <v>54</v>
      </c>
      <c r="L6" s="42">
        <f>Vente!B2</f>
        <v>11300</v>
      </c>
      <c r="M6" s="38">
        <f>M5</f>
        <v>12.292484742807323</v>
      </c>
      <c r="N6" s="36">
        <f t="shared" ref="N6:N9" si="1">L6*M6</f>
        <v>138905.07759372276</v>
      </c>
    </row>
    <row r="7" spans="1:14" ht="35.1" customHeight="1" thickBot="1" x14ac:dyDescent="0.3">
      <c r="F7" s="28" t="s">
        <v>55</v>
      </c>
      <c r="G7" s="35">
        <f>G5-G6</f>
        <v>250</v>
      </c>
      <c r="H7" s="46">
        <f>H5</f>
        <v>2.9046987951807228</v>
      </c>
      <c r="I7" s="37">
        <f t="shared" si="0"/>
        <v>726.17469879518069</v>
      </c>
      <c r="K7" s="28" t="s">
        <v>55</v>
      </c>
      <c r="L7" s="43">
        <f>L5-L6</f>
        <v>170</v>
      </c>
      <c r="M7" s="46">
        <f>M5</f>
        <v>12.292484742807323</v>
      </c>
      <c r="N7" s="37">
        <f t="shared" si="1"/>
        <v>2089.7224062772448</v>
      </c>
    </row>
    <row r="8" spans="1:14" ht="35.1" customHeight="1" thickBot="1" x14ac:dyDescent="0.3"/>
    <row r="9" spans="1:14" ht="35.1" customHeight="1" thickTop="1" thickBot="1" x14ac:dyDescent="0.3">
      <c r="F9" s="32" t="s">
        <v>57</v>
      </c>
      <c r="G9" s="33"/>
      <c r="H9" s="33"/>
      <c r="I9" s="34"/>
      <c r="K9" s="32" t="s">
        <v>60</v>
      </c>
      <c r="L9" s="33"/>
      <c r="M9" s="33"/>
      <c r="N9" s="34"/>
    </row>
    <row r="10" spans="1:14" ht="35.1" customHeight="1" thickTop="1" thickBot="1" x14ac:dyDescent="0.3">
      <c r="F10" s="19"/>
      <c r="G10" s="20" t="s">
        <v>24</v>
      </c>
      <c r="H10" s="20" t="s">
        <v>25</v>
      </c>
      <c r="I10" s="21" t="s">
        <v>44</v>
      </c>
      <c r="K10" s="19"/>
      <c r="L10" s="20" t="s">
        <v>24</v>
      </c>
      <c r="M10" s="20" t="s">
        <v>25</v>
      </c>
      <c r="N10" s="21" t="s">
        <v>44</v>
      </c>
    </row>
    <row r="11" spans="1:14" ht="35.1" customHeight="1" thickTop="1" thickBot="1" x14ac:dyDescent="0.3">
      <c r="F11" s="22" t="s">
        <v>52</v>
      </c>
      <c r="G11" s="23">
        <f>B5</f>
        <v>80</v>
      </c>
      <c r="H11" s="38">
        <f>C5</f>
        <v>0.96</v>
      </c>
      <c r="I11" s="36">
        <f>G11*H11</f>
        <v>76.8</v>
      </c>
      <c r="K11" s="22" t="s">
        <v>52</v>
      </c>
      <c r="L11" s="42">
        <f>B4</f>
        <v>950</v>
      </c>
      <c r="M11" s="38">
        <f>C4</f>
        <v>1.9125263157894739</v>
      </c>
      <c r="N11" s="36">
        <f>L11*M11</f>
        <v>1816.9</v>
      </c>
    </row>
    <row r="12" spans="1:14" ht="35.1" customHeight="1" thickBot="1" x14ac:dyDescent="0.3">
      <c r="F12" s="28" t="s">
        <v>53</v>
      </c>
      <c r="G12" s="23">
        <f>'Charges Direct'!B3</f>
        <v>160</v>
      </c>
      <c r="H12" s="38">
        <f>'Charges Direct'!C3</f>
        <v>0.81</v>
      </c>
      <c r="I12" s="36">
        <f>G12*H12</f>
        <v>129.60000000000002</v>
      </c>
      <c r="K12" s="28" t="s">
        <v>53</v>
      </c>
      <c r="L12" s="42">
        <f>Production!B3</f>
        <v>23100</v>
      </c>
      <c r="M12" s="38">
        <f>N12/L12</f>
        <v>11.486071428571428</v>
      </c>
      <c r="N12" s="36">
        <f>'Cout de production'!D12</f>
        <v>265328.25</v>
      </c>
    </row>
    <row r="13" spans="1:14" ht="35.1" customHeight="1" thickBot="1" x14ac:dyDescent="0.3">
      <c r="F13" s="27" t="s">
        <v>18</v>
      </c>
      <c r="G13" s="23">
        <f>G11+G12</f>
        <v>240</v>
      </c>
      <c r="H13" s="38">
        <f>I13/G13</f>
        <v>0.8600000000000001</v>
      </c>
      <c r="I13" s="36">
        <f>I11+I12</f>
        <v>206.40000000000003</v>
      </c>
      <c r="K13" s="27" t="s">
        <v>18</v>
      </c>
      <c r="L13" s="42">
        <f>L11+L12</f>
        <v>24050</v>
      </c>
      <c r="M13" s="38">
        <f>(L11*M11+L12*M12)/(L11+L12)</f>
        <v>11.107906444906446</v>
      </c>
      <c r="N13" s="36">
        <f>N11+N12</f>
        <v>267145.15000000002</v>
      </c>
    </row>
    <row r="14" spans="1:14" ht="35.1" customHeight="1" thickBot="1" x14ac:dyDescent="0.3">
      <c r="F14" s="28" t="s">
        <v>54</v>
      </c>
      <c r="G14" s="23">
        <f>Consommation!B4</f>
        <v>105</v>
      </c>
      <c r="H14" s="38">
        <f>H13</f>
        <v>0.8600000000000001</v>
      </c>
      <c r="I14" s="36">
        <f t="shared" ref="I14:I15" si="2">G14*H14</f>
        <v>90.300000000000011</v>
      </c>
      <c r="K14" s="28" t="s">
        <v>54</v>
      </c>
      <c r="L14" s="42">
        <f>Vente!B3</f>
        <v>22500</v>
      </c>
      <c r="M14" s="38">
        <f>M13</f>
        <v>11.107906444906446</v>
      </c>
      <c r="N14" s="36">
        <f t="shared" ref="N14:N15" si="3">L14*M14</f>
        <v>249927.89501039503</v>
      </c>
    </row>
    <row r="15" spans="1:14" ht="35.1" customHeight="1" thickBot="1" x14ac:dyDescent="0.3">
      <c r="F15" s="28" t="s">
        <v>55</v>
      </c>
      <c r="G15" s="35">
        <f>G13-G14</f>
        <v>135</v>
      </c>
      <c r="H15" s="46">
        <f>H13</f>
        <v>0.8600000000000001</v>
      </c>
      <c r="I15" s="37">
        <f t="shared" si="2"/>
        <v>116.10000000000001</v>
      </c>
      <c r="K15" s="28" t="s">
        <v>55</v>
      </c>
      <c r="L15" s="43">
        <f>L13-L14</f>
        <v>1550</v>
      </c>
      <c r="M15" s="46">
        <f>M13</f>
        <v>11.107906444906446</v>
      </c>
      <c r="N15" s="37">
        <f t="shared" si="3"/>
        <v>17217.25498960499</v>
      </c>
    </row>
  </sheetData>
  <mergeCells count="4">
    <mergeCell ref="F1:I1"/>
    <mergeCell ref="F9:I9"/>
    <mergeCell ref="K1:N1"/>
    <mergeCell ref="K9:N9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B4128-51A1-41DC-8711-268CD315E2FE}">
  <dimension ref="A1:I12"/>
  <sheetViews>
    <sheetView workbookViewId="0">
      <selection activeCell="G16" sqref="G16"/>
    </sheetView>
  </sheetViews>
  <sheetFormatPr defaultColWidth="20.7109375" defaultRowHeight="35.1" customHeight="1" x14ac:dyDescent="0.25"/>
  <sheetData>
    <row r="1" spans="1:9" ht="35.1" customHeight="1" thickBot="1" x14ac:dyDescent="0.3">
      <c r="A1" s="16" t="s">
        <v>48</v>
      </c>
      <c r="B1" s="17"/>
      <c r="C1" s="17"/>
      <c r="D1" s="18"/>
      <c r="F1" s="16" t="s">
        <v>58</v>
      </c>
      <c r="G1" s="17"/>
      <c r="H1" s="17"/>
      <c r="I1" s="18"/>
    </row>
    <row r="2" spans="1:9" ht="35.1" customHeight="1" thickTop="1" thickBot="1" x14ac:dyDescent="0.3">
      <c r="A2" s="19"/>
      <c r="B2" s="20" t="s">
        <v>24</v>
      </c>
      <c r="C2" s="20" t="s">
        <v>25</v>
      </c>
      <c r="D2" s="21" t="s">
        <v>44</v>
      </c>
      <c r="F2" s="19"/>
      <c r="G2" s="20" t="s">
        <v>24</v>
      </c>
      <c r="H2" s="20" t="s">
        <v>25</v>
      </c>
      <c r="I2" s="21" t="s">
        <v>44</v>
      </c>
    </row>
    <row r="3" spans="1:9" ht="35.1" customHeight="1" thickTop="1" thickBot="1" x14ac:dyDescent="0.3">
      <c r="A3" s="22" t="s">
        <v>45</v>
      </c>
      <c r="B3" s="23"/>
      <c r="C3" s="24"/>
      <c r="D3" s="25"/>
      <c r="F3" s="22" t="s">
        <v>45</v>
      </c>
      <c r="G3" s="23"/>
      <c r="H3" s="24"/>
      <c r="I3" s="25"/>
    </row>
    <row r="4" spans="1:9" ht="35.1" customHeight="1" thickBot="1" x14ac:dyDescent="0.3">
      <c r="A4" s="22" t="s">
        <v>47</v>
      </c>
      <c r="B4" s="23">
        <f>Consommation!B3</f>
        <v>5250</v>
      </c>
      <c r="C4" s="38">
        <f>'Coût d''achat'!C7</f>
        <v>4.34</v>
      </c>
      <c r="D4" s="36">
        <f>B4*C4</f>
        <v>22785</v>
      </c>
      <c r="F4" s="28" t="s">
        <v>47</v>
      </c>
      <c r="G4" s="23">
        <f>Consommation!B2</f>
        <v>2800</v>
      </c>
      <c r="H4" s="38">
        <f>'Coût d''achat'!C7</f>
        <v>4.34</v>
      </c>
      <c r="I4" s="36">
        <f>G4*H4</f>
        <v>12152</v>
      </c>
    </row>
    <row r="5" spans="1:9" ht="35.1" customHeight="1" thickBot="1" x14ac:dyDescent="0.3">
      <c r="A5" s="26" t="s">
        <v>23</v>
      </c>
      <c r="B5" s="31">
        <f>Consommation!B4</f>
        <v>105</v>
      </c>
      <c r="C5" s="39">
        <f>'Coût d''achat'!H7</f>
        <v>2.25</v>
      </c>
      <c r="D5" s="36">
        <f>B5*C5</f>
        <v>236.25</v>
      </c>
      <c r="F5" s="27" t="s">
        <v>51</v>
      </c>
      <c r="G5" s="30">
        <v>1</v>
      </c>
      <c r="H5" s="38">
        <v>56</v>
      </c>
      <c r="I5" s="36">
        <f>H5</f>
        <v>56</v>
      </c>
    </row>
    <row r="6" spans="1:9" ht="35.1" customHeight="1" thickBot="1" x14ac:dyDescent="0.3">
      <c r="A6" s="27" t="s">
        <v>51</v>
      </c>
      <c r="B6" s="30">
        <v>1</v>
      </c>
      <c r="C6" s="38">
        <f>Consommation!B6</f>
        <v>114</v>
      </c>
      <c r="D6" s="36">
        <f>C6</f>
        <v>114</v>
      </c>
      <c r="F6" s="28" t="s">
        <v>49</v>
      </c>
      <c r="G6" s="29">
        <f>MOD!B2</f>
        <v>25</v>
      </c>
      <c r="H6" s="38">
        <f>MOD!C2</f>
        <v>7.5</v>
      </c>
      <c r="I6" s="36">
        <f>G6*H6</f>
        <v>187.5</v>
      </c>
    </row>
    <row r="7" spans="1:9" ht="35.1" customHeight="1" thickBot="1" x14ac:dyDescent="0.3">
      <c r="A7" s="28" t="s">
        <v>49</v>
      </c>
      <c r="B7" s="29">
        <f>MOD!B3</f>
        <v>85</v>
      </c>
      <c r="C7" s="38">
        <f>MOD!C3</f>
        <v>7.5</v>
      </c>
      <c r="D7" s="36">
        <f>B7*C7</f>
        <v>637.5</v>
      </c>
      <c r="F7" s="28" t="s">
        <v>50</v>
      </c>
      <c r="G7" s="40">
        <f>MOD!B6</f>
        <v>60</v>
      </c>
      <c r="H7" s="39">
        <f>MOD!C6</f>
        <v>7.5</v>
      </c>
      <c r="I7" s="36">
        <f>G7*H7</f>
        <v>450</v>
      </c>
    </row>
    <row r="8" spans="1:9" ht="35.1" customHeight="1" thickBot="1" x14ac:dyDescent="0.3">
      <c r="A8" s="28" t="s">
        <v>50</v>
      </c>
      <c r="B8" s="40">
        <f>MOD!B7</f>
        <v>160</v>
      </c>
      <c r="C8" s="39">
        <f>MOD!C7</f>
        <v>7.5</v>
      </c>
      <c r="D8" s="36">
        <f>B8*C8</f>
        <v>1200</v>
      </c>
      <c r="F8" s="27" t="s">
        <v>46</v>
      </c>
      <c r="G8" s="23"/>
      <c r="H8" s="38"/>
      <c r="I8" s="36"/>
    </row>
    <row r="9" spans="1:9" ht="35.1" customHeight="1" thickBot="1" x14ac:dyDescent="0.3">
      <c r="A9" s="27" t="s">
        <v>46</v>
      </c>
      <c r="B9" s="23"/>
      <c r="C9" s="38"/>
      <c r="D9" s="36"/>
      <c r="F9" s="28" t="s">
        <v>64</v>
      </c>
      <c r="G9" s="23">
        <f>Consommation!B2</f>
        <v>2800</v>
      </c>
      <c r="H9" s="38">
        <f>Répartition!H8</f>
        <v>44</v>
      </c>
      <c r="I9" s="36">
        <f>G9*H9</f>
        <v>123200</v>
      </c>
    </row>
    <row r="10" spans="1:9" ht="35.1" customHeight="1" thickBot="1" x14ac:dyDescent="0.3">
      <c r="A10" s="28" t="s">
        <v>64</v>
      </c>
      <c r="B10" s="23">
        <f>Consommation!B3</f>
        <v>5250</v>
      </c>
      <c r="C10" s="38">
        <f>Répartition!H8</f>
        <v>44</v>
      </c>
      <c r="D10" s="36">
        <f>B10*C10</f>
        <v>231000</v>
      </c>
      <c r="F10" s="28" t="s">
        <v>65</v>
      </c>
      <c r="G10" s="41">
        <f>G9</f>
        <v>2800</v>
      </c>
      <c r="H10" s="39">
        <f>Répartition!J8</f>
        <v>1.62</v>
      </c>
      <c r="I10" s="36">
        <f>G10*H10</f>
        <v>4536</v>
      </c>
    </row>
    <row r="11" spans="1:9" ht="35.1" customHeight="1" thickBot="1" x14ac:dyDescent="0.3">
      <c r="A11" s="28" t="s">
        <v>65</v>
      </c>
      <c r="B11" s="41">
        <f>Consommation!B3*1.1</f>
        <v>5775.0000000000009</v>
      </c>
      <c r="C11" s="39">
        <f>Répartition!J8</f>
        <v>1.62</v>
      </c>
      <c r="D11" s="36">
        <f>B11*C11</f>
        <v>9355.5000000000018</v>
      </c>
      <c r="F11" s="28" t="s">
        <v>18</v>
      </c>
      <c r="G11" s="48">
        <f>G10</f>
        <v>2800</v>
      </c>
      <c r="H11" s="47">
        <f>I11/G11</f>
        <v>50.207678571428573</v>
      </c>
      <c r="I11" s="45">
        <f>SUM(I4:I10)</f>
        <v>140581.5</v>
      </c>
    </row>
    <row r="12" spans="1:9" ht="35.1" customHeight="1" thickBot="1" x14ac:dyDescent="0.3">
      <c r="A12" s="28" t="s">
        <v>18</v>
      </c>
      <c r="B12" s="48">
        <f>B11</f>
        <v>5775.0000000000009</v>
      </c>
      <c r="C12" s="47">
        <f>D12/B12</f>
        <v>45.944285714285705</v>
      </c>
      <c r="D12" s="45">
        <f>SUM(D4:D11)</f>
        <v>265328.25</v>
      </c>
    </row>
  </sheetData>
  <mergeCells count="2">
    <mergeCell ref="A1:D1"/>
    <mergeCell ref="F1:I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EE47A-6AD1-47FE-9CBB-8C642878622B}">
  <dimension ref="A1:I7"/>
  <sheetViews>
    <sheetView workbookViewId="0">
      <selection sqref="A1:D7"/>
    </sheetView>
  </sheetViews>
  <sheetFormatPr defaultColWidth="20.7109375" defaultRowHeight="35.1" customHeight="1" x14ac:dyDescent="0.25"/>
  <cols>
    <col min="1" max="16384" width="20.7109375" style="44"/>
  </cols>
  <sheetData>
    <row r="1" spans="1:9" ht="35.1" customHeight="1" thickBot="1" x14ac:dyDescent="0.3">
      <c r="A1" s="16" t="s">
        <v>66</v>
      </c>
      <c r="B1" s="17"/>
      <c r="C1" s="17"/>
      <c r="D1" s="18"/>
      <c r="F1" s="16" t="s">
        <v>67</v>
      </c>
      <c r="G1" s="17"/>
      <c r="H1" s="17"/>
      <c r="I1" s="18"/>
    </row>
    <row r="2" spans="1:9" ht="35.1" customHeight="1" thickTop="1" thickBot="1" x14ac:dyDescent="0.3">
      <c r="A2" s="19"/>
      <c r="B2" s="20" t="s">
        <v>24</v>
      </c>
      <c r="C2" s="20" t="s">
        <v>25</v>
      </c>
      <c r="D2" s="21" t="s">
        <v>44</v>
      </c>
      <c r="F2" s="19"/>
      <c r="G2" s="20" t="s">
        <v>24</v>
      </c>
      <c r="H2" s="20" t="s">
        <v>25</v>
      </c>
      <c r="I2" s="21" t="s">
        <v>44</v>
      </c>
    </row>
    <row r="3" spans="1:9" ht="35.1" customHeight="1" thickTop="1" thickBot="1" x14ac:dyDescent="0.3">
      <c r="A3" s="22" t="s">
        <v>45</v>
      </c>
      <c r="B3" s="23"/>
      <c r="C3" s="24"/>
      <c r="D3" s="25"/>
      <c r="F3" s="22" t="s">
        <v>45</v>
      </c>
      <c r="G3" s="23"/>
      <c r="H3" s="24"/>
      <c r="I3" s="25"/>
    </row>
    <row r="4" spans="1:9" ht="35.1" customHeight="1" thickBot="1" x14ac:dyDescent="0.3">
      <c r="A4" s="28" t="s">
        <v>63</v>
      </c>
      <c r="B4" s="23">
        <f>'Charges Direct'!B2</f>
        <v>8100</v>
      </c>
      <c r="C4" s="38">
        <f>'Charges Direct'!C2/'Charges Direct'!B7</f>
        <v>2.9</v>
      </c>
      <c r="D4" s="36">
        <f>B4*C4</f>
        <v>23490</v>
      </c>
      <c r="F4" s="28" t="s">
        <v>62</v>
      </c>
      <c r="G4" s="23">
        <f>'Charges Direct'!B3</f>
        <v>160</v>
      </c>
      <c r="H4" s="38">
        <f>'Charges Direct'!C3</f>
        <v>0.81</v>
      </c>
      <c r="I4" s="36">
        <f>G4*H4</f>
        <v>129.60000000000002</v>
      </c>
    </row>
    <row r="5" spans="1:9" ht="35.1" customHeight="1" thickBot="1" x14ac:dyDescent="0.3">
      <c r="A5" s="27" t="s">
        <v>46</v>
      </c>
      <c r="B5" s="23"/>
      <c r="C5" s="38"/>
      <c r="D5" s="36"/>
      <c r="F5" s="27" t="s">
        <v>46</v>
      </c>
      <c r="G5" s="23"/>
      <c r="H5" s="38"/>
      <c r="I5" s="36"/>
    </row>
    <row r="6" spans="1:9" ht="35.1" customHeight="1" thickBot="1" x14ac:dyDescent="0.3">
      <c r="A6" s="28" t="s">
        <v>61</v>
      </c>
      <c r="B6" s="23">
        <f>B4</f>
        <v>8100</v>
      </c>
      <c r="C6" s="38">
        <f>Répartition!F8</f>
        <v>1.44</v>
      </c>
      <c r="D6" s="36">
        <f>B6*C6</f>
        <v>11664</v>
      </c>
      <c r="F6" s="28" t="s">
        <v>61</v>
      </c>
      <c r="G6" s="23">
        <f>G4</f>
        <v>160</v>
      </c>
      <c r="H6" s="38">
        <f>Répartition!F8</f>
        <v>1.44</v>
      </c>
      <c r="I6" s="36">
        <f>G6*H6</f>
        <v>230.39999999999998</v>
      </c>
    </row>
    <row r="7" spans="1:9" ht="35.1" customHeight="1" thickBot="1" x14ac:dyDescent="0.3">
      <c r="A7" s="28" t="s">
        <v>18</v>
      </c>
      <c r="B7" s="48">
        <f>B6</f>
        <v>8100</v>
      </c>
      <c r="C7" s="47">
        <f>D7/B7</f>
        <v>4.34</v>
      </c>
      <c r="D7" s="45">
        <f>D4+D6</f>
        <v>35154</v>
      </c>
      <c r="F7" s="28" t="s">
        <v>18</v>
      </c>
      <c r="G7" s="48">
        <f>G6</f>
        <v>160</v>
      </c>
      <c r="H7" s="47">
        <f>I7/G7</f>
        <v>2.25</v>
      </c>
      <c r="I7" s="45">
        <f>I6+I4</f>
        <v>360</v>
      </c>
    </row>
  </sheetData>
  <mergeCells count="2">
    <mergeCell ref="A1:D1"/>
    <mergeCell ref="F1:I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1A8D8-ABAE-4B17-A3D2-FAE8730E91E7}">
  <dimension ref="A1:I8"/>
  <sheetViews>
    <sheetView tabSelected="1" workbookViewId="0">
      <selection activeCell="I11" sqref="I11"/>
    </sheetView>
  </sheetViews>
  <sheetFormatPr defaultColWidth="20.7109375" defaultRowHeight="35.1" customHeight="1" x14ac:dyDescent="0.25"/>
  <cols>
    <col min="1" max="16384" width="20.7109375" style="1"/>
  </cols>
  <sheetData>
    <row r="1" spans="1:9" ht="35.1" customHeight="1" thickBot="1" x14ac:dyDescent="0.3">
      <c r="A1" s="16" t="s">
        <v>68</v>
      </c>
      <c r="B1" s="17"/>
      <c r="C1" s="17"/>
      <c r="D1" s="18"/>
      <c r="F1" s="16" t="s">
        <v>72</v>
      </c>
      <c r="G1" s="17"/>
      <c r="H1" s="17"/>
      <c r="I1" s="18"/>
    </row>
    <row r="2" spans="1:9" ht="35.1" customHeight="1" thickTop="1" thickBot="1" x14ac:dyDescent="0.3">
      <c r="A2" s="19"/>
      <c r="B2" s="20" t="s">
        <v>24</v>
      </c>
      <c r="C2" s="20" t="s">
        <v>25</v>
      </c>
      <c r="D2" s="21" t="s">
        <v>44</v>
      </c>
      <c r="F2" s="19"/>
      <c r="G2" s="20" t="s">
        <v>24</v>
      </c>
      <c r="H2" s="20" t="s">
        <v>25</v>
      </c>
      <c r="I2" s="21" t="s">
        <v>44</v>
      </c>
    </row>
    <row r="3" spans="1:9" ht="35.1" customHeight="1" thickTop="1" thickBot="1" x14ac:dyDescent="0.3">
      <c r="A3" s="22" t="s">
        <v>45</v>
      </c>
      <c r="B3" s="23"/>
      <c r="C3" s="24"/>
      <c r="D3" s="25"/>
      <c r="F3" s="22" t="s">
        <v>45</v>
      </c>
      <c r="G3" s="23"/>
      <c r="H3" s="24"/>
      <c r="I3" s="25"/>
    </row>
    <row r="4" spans="1:9" ht="35.1" customHeight="1" thickBot="1" x14ac:dyDescent="0.3">
      <c r="A4" s="28" t="s">
        <v>69</v>
      </c>
      <c r="B4" s="42">
        <f>Stock!L14</f>
        <v>22500</v>
      </c>
      <c r="C4" s="38">
        <f>Stock!M14</f>
        <v>11.107906444906446</v>
      </c>
      <c r="D4" s="36">
        <f>B4*C4</f>
        <v>249927.89501039503</v>
      </c>
      <c r="F4" s="28" t="s">
        <v>69</v>
      </c>
      <c r="G4" s="42">
        <f>Stock!L6</f>
        <v>11300</v>
      </c>
      <c r="H4" s="38">
        <f>Stock!M6</f>
        <v>12.292484742807323</v>
      </c>
      <c r="I4" s="36">
        <f>G4*H4</f>
        <v>138905.07759372276</v>
      </c>
    </row>
    <row r="5" spans="1:9" ht="35.1" customHeight="1" thickBot="1" x14ac:dyDescent="0.3">
      <c r="A5" s="27" t="s">
        <v>46</v>
      </c>
      <c r="B5" s="23"/>
      <c r="C5" s="38"/>
      <c r="D5" s="36"/>
      <c r="F5" s="27" t="s">
        <v>46</v>
      </c>
      <c r="G5" s="23"/>
      <c r="H5" s="38"/>
      <c r="I5" s="36"/>
    </row>
    <row r="6" spans="1:9" ht="35.1" customHeight="1" thickBot="1" x14ac:dyDescent="0.3">
      <c r="A6" s="28" t="s">
        <v>70</v>
      </c>
      <c r="B6" s="30">
        <f>(Stock!N14)/100</f>
        <v>2499.2789501039501</v>
      </c>
      <c r="C6" s="38">
        <f>Répartition!N8</f>
        <v>3.3000000000000003</v>
      </c>
      <c r="D6" s="36">
        <f>B6*C6</f>
        <v>8247.620535343036</v>
      </c>
      <c r="F6" s="28" t="s">
        <v>70</v>
      </c>
      <c r="G6" s="30">
        <f>Stock!N14/100</f>
        <v>2499.2789501039501</v>
      </c>
      <c r="H6" s="38">
        <f>Répartition!N8</f>
        <v>3.3000000000000003</v>
      </c>
      <c r="I6" s="36">
        <f>G6*H6</f>
        <v>8247.620535343036</v>
      </c>
    </row>
    <row r="7" spans="1:9" ht="35.1" customHeight="1" thickBot="1" x14ac:dyDescent="0.3">
      <c r="A7" s="28" t="s">
        <v>71</v>
      </c>
      <c r="B7" s="30">
        <f>Stock!L14</f>
        <v>22500</v>
      </c>
      <c r="C7" s="38">
        <f>Répartition!L8</f>
        <v>0.2</v>
      </c>
      <c r="D7" s="36">
        <f>B7*C7</f>
        <v>4500</v>
      </c>
      <c r="F7" s="28" t="s">
        <v>71</v>
      </c>
      <c r="G7" s="30">
        <f>Stock!L6</f>
        <v>11300</v>
      </c>
      <c r="H7" s="38">
        <f>Répartition!L8</f>
        <v>0.2</v>
      </c>
      <c r="I7" s="36">
        <f>G7*H7</f>
        <v>2260</v>
      </c>
    </row>
    <row r="8" spans="1:9" ht="35.1" customHeight="1" thickBot="1" x14ac:dyDescent="0.3">
      <c r="A8" s="28" t="s">
        <v>18</v>
      </c>
      <c r="B8" s="48"/>
      <c r="C8" s="47"/>
      <c r="D8" s="45">
        <f>D7+D6+D4</f>
        <v>262675.51554573805</v>
      </c>
      <c r="F8" s="28" t="s">
        <v>18</v>
      </c>
      <c r="G8" s="48"/>
      <c r="H8" s="47"/>
      <c r="I8" s="45">
        <f>I7+I6+I4</f>
        <v>149412.6981290658</v>
      </c>
    </row>
  </sheetData>
  <mergeCells count="2">
    <mergeCell ref="A1:D1"/>
    <mergeCell ref="F1:I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12892-366A-4517-A288-51444B7A7245}">
  <dimension ref="A1:I5"/>
  <sheetViews>
    <sheetView workbookViewId="0">
      <selection activeCell="C4" sqref="C4"/>
    </sheetView>
  </sheetViews>
  <sheetFormatPr defaultColWidth="20.7109375" defaultRowHeight="35.1" customHeight="1" x14ac:dyDescent="0.25"/>
  <cols>
    <col min="1" max="16384" width="20.7109375" style="1"/>
  </cols>
  <sheetData>
    <row r="1" spans="1:9" ht="35.1" customHeight="1" thickBot="1" x14ac:dyDescent="0.3">
      <c r="A1" s="16" t="s">
        <v>74</v>
      </c>
      <c r="B1" s="17"/>
      <c r="C1" s="17"/>
      <c r="D1" s="18"/>
      <c r="F1" s="16" t="s">
        <v>76</v>
      </c>
      <c r="G1" s="17"/>
      <c r="H1" s="17"/>
      <c r="I1" s="18"/>
    </row>
    <row r="2" spans="1:9" ht="35.1" customHeight="1" thickTop="1" thickBot="1" x14ac:dyDescent="0.3">
      <c r="A2" s="19"/>
      <c r="B2" s="20" t="s">
        <v>24</v>
      </c>
      <c r="C2" s="20" t="s">
        <v>25</v>
      </c>
      <c r="D2" s="21" t="s">
        <v>44</v>
      </c>
      <c r="F2" s="19"/>
      <c r="G2" s="20" t="s">
        <v>24</v>
      </c>
      <c r="H2" s="20" t="s">
        <v>25</v>
      </c>
      <c r="I2" s="21" t="s">
        <v>44</v>
      </c>
    </row>
    <row r="3" spans="1:9" ht="35.1" customHeight="1" thickTop="1" thickBot="1" x14ac:dyDescent="0.3">
      <c r="A3" s="22" t="s">
        <v>73</v>
      </c>
      <c r="B3" s="52">
        <f>Stock!L14</f>
        <v>22500</v>
      </c>
      <c r="C3" s="50">
        <f>Stock!M14</f>
        <v>11.107906444906446</v>
      </c>
      <c r="D3" s="25">
        <f>B3*C3</f>
        <v>249927.89501039503</v>
      </c>
      <c r="F3" s="22" t="s">
        <v>73</v>
      </c>
      <c r="G3" s="49">
        <f>Stock!L6</f>
        <v>11300</v>
      </c>
      <c r="H3" s="50">
        <f>Stock!M6</f>
        <v>12.292484742807323</v>
      </c>
      <c r="I3" s="25">
        <f>Stock!N6</f>
        <v>138905.07759372276</v>
      </c>
    </row>
    <row r="4" spans="1:9" ht="35.1" customHeight="1" thickBot="1" x14ac:dyDescent="0.3">
      <c r="A4" s="28" t="s">
        <v>75</v>
      </c>
      <c r="B4" s="49">
        <f>'Cout de production'!B12</f>
        <v>5775.0000000000009</v>
      </c>
      <c r="C4" s="51">
        <f>'Cout de production'!C12</f>
        <v>45.944285714285705</v>
      </c>
      <c r="D4" s="36">
        <f>B4*C4</f>
        <v>265328.25</v>
      </c>
      <c r="F4" s="28" t="s">
        <v>75</v>
      </c>
      <c r="G4" s="49">
        <f>'Cout de production'!G11</f>
        <v>2800</v>
      </c>
      <c r="H4" s="51">
        <f>'Cout de production'!H11</f>
        <v>50.207678571428573</v>
      </c>
      <c r="I4" s="36">
        <f>G4*H4</f>
        <v>140581.5</v>
      </c>
    </row>
    <row r="5" spans="1:9" ht="35.1" customHeight="1" thickBot="1" x14ac:dyDescent="0.3">
      <c r="A5" s="27" t="s">
        <v>18</v>
      </c>
      <c r="B5" s="35"/>
      <c r="C5" s="46"/>
      <c r="D5" s="37">
        <f>D3-D4</f>
        <v>-15400.354989604966</v>
      </c>
      <c r="F5" s="27" t="s">
        <v>18</v>
      </c>
      <c r="G5" s="35"/>
      <c r="H5" s="46"/>
      <c r="I5" s="37">
        <f>I3-I4</f>
        <v>-1676.422406277241</v>
      </c>
    </row>
  </sheetData>
  <mergeCells count="2">
    <mergeCell ref="A1:D1"/>
    <mergeCell ref="F1:I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2D0B0-54D0-4A66-87C7-08C26189BDC2}">
  <dimension ref="A1:C7"/>
  <sheetViews>
    <sheetView workbookViewId="0">
      <selection activeCell="E10" sqref="E10"/>
    </sheetView>
  </sheetViews>
  <sheetFormatPr defaultColWidth="20.7109375" defaultRowHeight="35.1" customHeight="1" x14ac:dyDescent="0.25"/>
  <cols>
    <col min="1" max="16384" width="20.7109375" style="1"/>
  </cols>
  <sheetData>
    <row r="1" spans="1:3" ht="35.1" customHeight="1" thickBot="1" x14ac:dyDescent="0.3">
      <c r="A1" s="7" t="s">
        <v>34</v>
      </c>
      <c r="B1" s="7" t="s">
        <v>24</v>
      </c>
      <c r="C1" s="7" t="s">
        <v>36</v>
      </c>
    </row>
    <row r="2" spans="1:3" ht="35.1" customHeight="1" thickTop="1" x14ac:dyDescent="0.25">
      <c r="A2" s="2" t="s">
        <v>32</v>
      </c>
      <c r="B2" s="11">
        <v>25</v>
      </c>
      <c r="C2" s="10">
        <v>7.5</v>
      </c>
    </row>
    <row r="3" spans="1:3" ht="35.1" customHeight="1" x14ac:dyDescent="0.25">
      <c r="A3" s="2" t="s">
        <v>33</v>
      </c>
      <c r="B3" s="11">
        <v>85</v>
      </c>
      <c r="C3" s="10">
        <v>7.5</v>
      </c>
    </row>
    <row r="5" spans="1:3" ht="35.1" customHeight="1" thickBot="1" x14ac:dyDescent="0.3">
      <c r="A5" s="7" t="s">
        <v>35</v>
      </c>
      <c r="B5" s="7" t="s">
        <v>24</v>
      </c>
      <c r="C5" s="7" t="s">
        <v>36</v>
      </c>
    </row>
    <row r="6" spans="1:3" ht="35.1" customHeight="1" thickTop="1" x14ac:dyDescent="0.25">
      <c r="A6" s="2" t="s">
        <v>32</v>
      </c>
      <c r="B6" s="11">
        <v>60</v>
      </c>
      <c r="C6" s="10">
        <v>7.5</v>
      </c>
    </row>
    <row r="7" spans="1:3" ht="35.1" customHeight="1" x14ac:dyDescent="0.25">
      <c r="A7" s="2" t="s">
        <v>33</v>
      </c>
      <c r="B7" s="11">
        <v>160</v>
      </c>
      <c r="C7" s="10">
        <v>7.5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56582-9AAE-4DE0-B3FF-0F98A51F06A2}">
  <dimension ref="A1:B6"/>
  <sheetViews>
    <sheetView workbookViewId="0">
      <selection activeCell="C12" sqref="C12"/>
    </sheetView>
  </sheetViews>
  <sheetFormatPr defaultColWidth="20.7109375" defaultRowHeight="35.1" customHeight="1" x14ac:dyDescent="0.25"/>
  <cols>
    <col min="1" max="16384" width="20.7109375" style="1"/>
  </cols>
  <sheetData>
    <row r="1" spans="1:2" ht="35.1" customHeight="1" thickBot="1" x14ac:dyDescent="0.3">
      <c r="A1" s="7" t="s">
        <v>37</v>
      </c>
      <c r="B1" s="7" t="s">
        <v>42</v>
      </c>
    </row>
    <row r="2" spans="1:2" ht="35.1" customHeight="1" thickTop="1" x14ac:dyDescent="0.25">
      <c r="A2" s="2" t="s">
        <v>38</v>
      </c>
      <c r="B2" s="4">
        <v>2800</v>
      </c>
    </row>
    <row r="3" spans="1:2" ht="35.1" customHeight="1" x14ac:dyDescent="0.25">
      <c r="A3" s="2" t="s">
        <v>39</v>
      </c>
      <c r="B3" s="4">
        <v>5250</v>
      </c>
    </row>
    <row r="4" spans="1:2" ht="35.1" customHeight="1" x14ac:dyDescent="0.25">
      <c r="A4" s="2" t="s">
        <v>23</v>
      </c>
      <c r="B4" s="4">
        <v>105</v>
      </c>
    </row>
    <row r="5" spans="1:2" ht="35.1" customHeight="1" x14ac:dyDescent="0.25">
      <c r="A5" s="2" t="s">
        <v>40</v>
      </c>
      <c r="B5" s="12">
        <v>56</v>
      </c>
    </row>
    <row r="6" spans="1:2" ht="35.1" customHeight="1" x14ac:dyDescent="0.25">
      <c r="A6" s="2" t="s">
        <v>41</v>
      </c>
      <c r="B6" s="12">
        <v>114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C0010C-FB65-40DC-B39C-C8420D5A28C9}">
  <dimension ref="A1:C3"/>
  <sheetViews>
    <sheetView workbookViewId="0">
      <selection activeCell="D13" sqref="D13"/>
    </sheetView>
  </sheetViews>
  <sheetFormatPr defaultColWidth="20.7109375" defaultRowHeight="35.1" customHeight="1" x14ac:dyDescent="0.25"/>
  <cols>
    <col min="1" max="16384" width="20.7109375" style="1"/>
  </cols>
  <sheetData>
    <row r="1" spans="1:3" ht="35.1" customHeight="1" thickBot="1" x14ac:dyDescent="0.3">
      <c r="A1" s="7" t="s">
        <v>30</v>
      </c>
      <c r="B1" s="7" t="s">
        <v>31</v>
      </c>
      <c r="C1" s="7" t="s">
        <v>25</v>
      </c>
    </row>
    <row r="2" spans="1:3" ht="35.1" customHeight="1" thickTop="1" x14ac:dyDescent="0.25">
      <c r="A2" s="2" t="s">
        <v>32</v>
      </c>
      <c r="B2" s="9">
        <v>11300</v>
      </c>
      <c r="C2" s="10">
        <v>2</v>
      </c>
    </row>
    <row r="3" spans="1:3" ht="35.1" customHeight="1" x14ac:dyDescent="0.25">
      <c r="A3" s="2" t="s">
        <v>33</v>
      </c>
      <c r="B3" s="9">
        <v>22500</v>
      </c>
      <c r="C3" s="10">
        <v>2.1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Répartition</vt:lpstr>
      <vt:lpstr>Stock</vt:lpstr>
      <vt:lpstr>Cout de production</vt:lpstr>
      <vt:lpstr>Coût d'achat</vt:lpstr>
      <vt:lpstr>Coût de revient</vt:lpstr>
      <vt:lpstr>Analyse</vt:lpstr>
      <vt:lpstr>MOD</vt:lpstr>
      <vt:lpstr>Consommation</vt:lpstr>
      <vt:lpstr>Vente</vt:lpstr>
      <vt:lpstr>Production</vt:lpstr>
      <vt:lpstr>Charges Direct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Vera</dc:creator>
  <cp:lastModifiedBy>Nicolas Vera</cp:lastModifiedBy>
  <dcterms:created xsi:type="dcterms:W3CDTF">2024-10-09T15:47:43Z</dcterms:created>
  <dcterms:modified xsi:type="dcterms:W3CDTF">2024-10-12T18:10:21Z</dcterms:modified>
</cp:coreProperties>
</file>